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6.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7.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8.xml" ContentType="application/vnd.openxmlformats-officedocument.drawing+xml"/>
  <Override PartName="/xl/drawings/drawing19.xml" ContentType="application/vnd.openxmlformats-officedocument.drawing+xml"/>
  <Override PartName="/xl/comments8.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9.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10.xml" ContentType="application/vnd.openxmlformats-officedocument.spreadsheetml.comments+xml"/>
  <Override PartName="/xl/drawings/drawing28.xml" ContentType="application/vnd.openxmlformats-officedocument.drawing+xml"/>
  <Override PartName="/xl/comments11.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12.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https://crautonomagovco-my.sharepoint.com/personal/rmoreno_crautonoma_gov_co/Documents/INFORMES DE GESTIÓN 2018-2023/INF.DE GESTIÓN 2023/5. SGMTO CUMPLIMIENTO METAS A DIC.31 2023/AJUSTES SOLICITADOS POR MADS/"/>
    </mc:Choice>
  </mc:AlternateContent>
  <xr:revisionPtr revIDLastSave="0" documentId="8_{D142D5AC-43E9-497B-8F28-A3E7699169FC}" xr6:coauthVersionLast="47" xr6:coauthVersionMax="47" xr10:uidLastSave="{00000000-0000-0000-0000-000000000000}"/>
  <bookViews>
    <workbookView xWindow="-108" yWindow="-108" windowWidth="23256" windowHeight="12576" tabRatio="743" firstSheet="18" activeTab="27" xr2:uid="{00000000-000D-0000-FFFF-FFFF00000000}"/>
  </bookViews>
  <sheets>
    <sheet name="Hoja1" sheetId="41" state="hidden" r:id="rId1"/>
    <sheet name="Informe Ingresos" sheetId="36" state="hidden" r:id="rId2"/>
    <sheet name="PROTOCOLO INGRESOS" sheetId="39" state="hidden" r:id="rId3"/>
    <sheet name="Datos Generales" sheetId="44" r:id="rId4"/>
    <sheet name="Anexo 1 Matriz Inf Gestión" sheetId="47" r:id="rId5"/>
    <sheet name="Protocolo Inf Gestión" sheetId="46" state="hidden" r:id="rId6"/>
    <sheet name="Anexo 3 Matriz IMG" sheetId="19" r:id="rId7"/>
    <sheet name="1POMCAS" sheetId="1" r:id="rId8"/>
    <sheet name="2PORH" sheetId="2" r:id="rId9"/>
    <sheet name="3PSMV" sheetId="3" r:id="rId10"/>
    <sheet name="4UsoAguas" sheetId="4" r:id="rId11"/>
    <sheet name="5PUEAA" sheetId="5" r:id="rId12"/>
    <sheet name="6POMCASejec" sheetId="6" r:id="rId13"/>
    <sheet name="7Clima" sheetId="8" r:id="rId14"/>
    <sheet name="8Suelo" sheetId="9" r:id="rId15"/>
    <sheet name="9RUNAP" sheetId="10" r:id="rId16"/>
    <sheet name="10Paramos" sheetId="11" r:id="rId17"/>
    <sheet name="11Forest" sheetId="12" r:id="rId18"/>
    <sheet name="12PlanesAP" sheetId="13" r:id="rId19"/>
    <sheet name="13Amenaz" sheetId="14" r:id="rId20"/>
    <sheet name="14Invasor" sheetId="15" r:id="rId21"/>
    <sheet name="15Restaura" sheetId="16" r:id="rId22"/>
    <sheet name="16MIZC" sheetId="17" r:id="rId23"/>
    <sheet name="17PGIRS" sheetId="18" r:id="rId24"/>
    <sheet name="18Sector" sheetId="20" r:id="rId25"/>
    <sheet name="19GAU" sheetId="21" r:id="rId26"/>
    <sheet name="20Negoc" sheetId="22" r:id="rId27"/>
    <sheet name="21TiempoT" sheetId="23" r:id="rId28"/>
    <sheet name="22Autor" sheetId="24" r:id="rId29"/>
    <sheet name="23Sanc" sheetId="25" r:id="rId30"/>
    <sheet name="24POT" sheetId="26" r:id="rId31"/>
    <sheet name="25Redes" sheetId="27" r:id="rId32"/>
    <sheet name="26SIAC" sheetId="28" r:id="rId33"/>
    <sheet name="27Educa" sheetId="29" r:id="rId34"/>
    <sheet name="Observa" sheetId="32" r:id="rId35"/>
    <sheet name="Formulas" sheetId="33"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xlnm._FilterDatabase" localSheetId="9" hidden="1">'3PSMV'!$E$6:$E$75</definedName>
    <definedName name="_xlnm._FilterDatabase" localSheetId="4" hidden="1">'Anexo 1 Matriz Inf Gestión'!$A$6:$BL$297</definedName>
    <definedName name="_xlnm._FilterDatabase" localSheetId="1" hidden="1">'Informe Ingresos'!$A$6:$XES$320</definedName>
    <definedName name="_Toc467769469" localSheetId="8">'2PORH'!#REF!</definedName>
    <definedName name="_Toc467769470" localSheetId="9">'3PSMV'!#REF!</definedName>
    <definedName name="_Toc467769471" localSheetId="10">'4UsoAguas'!#REF!</definedName>
    <definedName name="_Toc467769472" localSheetId="11">'5PUEAA'!#REF!</definedName>
    <definedName name="_Toc467769473" localSheetId="12">'6POMCASejec'!#REF!</definedName>
    <definedName name="_Toc467769474" localSheetId="13">'7Clima'!#REF!</definedName>
    <definedName name="_Toc467769475" localSheetId="14">'8Suelo'!#REF!</definedName>
    <definedName name="_Toc467769476" localSheetId="15">'9RUNAP'!$B$6</definedName>
    <definedName name="_Toc467769477" localSheetId="16">'10Paramos'!#REF!</definedName>
    <definedName name="_Toc467769478" localSheetId="17">'11Forest'!#REF!</definedName>
    <definedName name="_Toc467769479" localSheetId="18">'12PlanesAP'!#REF!</definedName>
    <definedName name="_Toc467769480" localSheetId="19">'13Amenaz'!#REF!</definedName>
    <definedName name="_Toc467769481" localSheetId="20">'14Invasor'!#REF!</definedName>
    <definedName name="_Toc467769482" localSheetId="21">'15Restaura'!#REF!</definedName>
    <definedName name="_Toc467769483" localSheetId="22">'16MIZC'!#REF!</definedName>
    <definedName name="_Toc467769484" localSheetId="23">'17PGIRS'!#REF!</definedName>
    <definedName name="_Toc467769485" localSheetId="24">'18Sector'!#REF!</definedName>
    <definedName name="_Toc467769486" localSheetId="25">'19GAU'!#REF!</definedName>
    <definedName name="_Toc467769487" localSheetId="26">'20Negoc'!#REF!</definedName>
    <definedName name="_Toc467769488" localSheetId="27">'21TiempoT'!#REF!</definedName>
    <definedName name="_Toc467769489" localSheetId="28">'22Autor'!#REF!</definedName>
    <definedName name="_Toc467769490" localSheetId="29">'23Sanc'!#REF!</definedName>
    <definedName name="_Toc467769491" localSheetId="30">'24POT'!#REF!</definedName>
    <definedName name="_Toc467769492" localSheetId="31">'25Redes'!#REF!</definedName>
    <definedName name="_Toc467769493" localSheetId="32">'26SIAC'!#REF!</definedName>
    <definedName name="_Toc467769494" localSheetId="33">'27Educa'!#REF!</definedName>
    <definedName name="_xlnm.Print_Area" localSheetId="4">'Anexo 1 Matriz Inf Gestión'!$A$3:$AW$297</definedName>
    <definedName name="_xlnm.Print_Area" localSheetId="1">'Informe Ingresos'!#REF!</definedName>
    <definedName name="_xlnm.Print_Area" localSheetId="5">'Protocolo Inf Gestión'!$A$1:$B$44</definedName>
    <definedName name="GASTOS" comment="OPCION SI O NO">[1]Formulas!$D$33:$D$34</definedName>
    <definedName name="Informe" comment="OPCION SI O NO">[1]Formulas!$D$33:$D$34</definedName>
    <definedName name="INGRESOS">'[2]Datos Generales'!$H$5:$H$37</definedName>
    <definedName name="Lista_CAR" localSheetId="4">'[3]Datos Generales'!$H$5:$H$37</definedName>
    <definedName name="Lista_CAR" localSheetId="3">'Datos Generales'!$H$5:$H$37</definedName>
    <definedName name="Lista_CAR" localSheetId="5">'[4]Datos Generales'!$H$5:$H$36</definedName>
    <definedName name="Lista_CAR">#REF!</definedName>
    <definedName name="REPORTE" comment="SI SE REPORTA" localSheetId="4">[5]Formulas!$F$33:$F$34</definedName>
    <definedName name="REPORTE" comment="SI SE REPORTA" localSheetId="3">[6]Formulas!$F$33:$F$34</definedName>
    <definedName name="REPORTE" comment="SI SE REPORTA" localSheetId="5">[4]Formulas!$F$33:$F$34</definedName>
    <definedName name="REPORTE" comment="SI SE REPORTA">Formulas!$F$33:$F$34</definedName>
    <definedName name="SI" comment="OPCION SI O NO" localSheetId="4">[5]Formulas!$D$33:$D$34</definedName>
    <definedName name="SI" comment="OPCION SI O NO" localSheetId="3">[6]Formulas!$D$33:$D$34</definedName>
    <definedName name="SI" comment="OPCION SI O NO" localSheetId="5">[4]Formulas!$D$33:$D$34</definedName>
    <definedName name="SI" comment="OPCION SI O NO">Formulas!$D$33:$D$34</definedName>
    <definedName name="Vigencias" localSheetId="3">'Datos Generales'!$H$39:$H$46</definedName>
    <definedName name="Vigencias" localSheetId="5">'[4]Datos Generales'!$H$38:$H$45</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303" i="47" l="1"/>
  <c r="AZ299" i="47"/>
  <c r="AZ294" i="47"/>
  <c r="AZ293" i="47" s="1"/>
  <c r="AZ289" i="47"/>
  <c r="AZ287" i="47"/>
  <c r="AZ286" i="47"/>
  <c r="AZ284" i="47"/>
  <c r="AZ282" i="47"/>
  <c r="AZ279" i="47"/>
  <c r="AZ278" i="47"/>
  <c r="AZ271" i="47"/>
  <c r="AZ270" i="47" s="1"/>
  <c r="AZ268" i="47"/>
  <c r="AZ266" i="47"/>
  <c r="AZ261" i="47"/>
  <c r="AZ260" i="47"/>
  <c r="AZ257" i="47"/>
  <c r="AZ251" i="47"/>
  <c r="AZ250" i="47" s="1"/>
  <c r="AZ246" i="47"/>
  <c r="AZ245" i="47"/>
  <c r="AZ240" i="47"/>
  <c r="AZ239" i="47"/>
  <c r="AZ234" i="47"/>
  <c r="AZ230" i="47"/>
  <c r="AZ229" i="47"/>
  <c r="AZ227" i="47"/>
  <c r="AZ218" i="47" s="1"/>
  <c r="AZ219" i="47"/>
  <c r="AZ213" i="47"/>
  <c r="AZ212" i="47"/>
  <c r="AZ209" i="47"/>
  <c r="AZ208" i="47"/>
  <c r="AZ203" i="47"/>
  <c r="AZ202" i="47" s="1"/>
  <c r="AZ200" i="47"/>
  <c r="AZ191" i="47"/>
  <c r="AZ190" i="47"/>
  <c r="AZ183" i="47"/>
  <c r="AZ178" i="47"/>
  <c r="AZ176" i="47"/>
  <c r="AZ168" i="47"/>
  <c r="AZ167" i="47" s="1"/>
  <c r="AZ165" i="47"/>
  <c r="AZ163" i="47"/>
  <c r="AZ161" i="47"/>
  <c r="AZ158" i="47"/>
  <c r="AZ157" i="47" s="1"/>
  <c r="AZ155" i="47"/>
  <c r="AZ150" i="47" s="1"/>
  <c r="AZ153" i="47"/>
  <c r="AZ151" i="47"/>
  <c r="AZ148" i="47"/>
  <c r="AZ147" i="47"/>
  <c r="AZ144" i="47"/>
  <c r="AZ141" i="47"/>
  <c r="AZ140" i="47"/>
  <c r="AZ135" i="47"/>
  <c r="AZ134" i="47"/>
  <c r="AZ132" i="47"/>
  <c r="AZ125" i="47"/>
  <c r="AZ121" i="47"/>
  <c r="AZ118" i="47"/>
  <c r="AZ117" i="47"/>
  <c r="AZ99" i="47" s="1"/>
  <c r="AZ114" i="47"/>
  <c r="AZ111" i="47"/>
  <c r="AZ105" i="47"/>
  <c r="AZ101" i="47"/>
  <c r="AZ100" i="47"/>
  <c r="AZ97" i="47"/>
  <c r="AZ92" i="47"/>
  <c r="AZ79" i="47"/>
  <c r="AZ78" i="47" s="1"/>
  <c r="AZ75" i="47"/>
  <c r="AZ73" i="47"/>
  <c r="AZ70" i="47"/>
  <c r="AZ69" i="47"/>
  <c r="AZ63" i="47"/>
  <c r="AZ57" i="47"/>
  <c r="AZ56" i="47" s="1"/>
  <c r="AZ49" i="47"/>
  <c r="AZ48" i="47"/>
  <c r="AZ44" i="47"/>
  <c r="AZ36" i="47"/>
  <c r="AZ32" i="47"/>
  <c r="AZ31" i="47"/>
  <c r="AZ25" i="47"/>
  <c r="AZ22" i="47"/>
  <c r="AZ9" i="47"/>
  <c r="AZ8" i="47" s="1"/>
  <c r="AZ7" i="47" s="1"/>
  <c r="AZ146" i="47" l="1"/>
  <c r="AZ211" i="47"/>
  <c r="AZ55" i="47"/>
  <c r="AZ296" i="47" s="1"/>
  <c r="AZ298" i="47" s="1"/>
  <c r="F37" i="20" l="1"/>
  <c r="E42" i="20"/>
  <c r="E25" i="27"/>
  <c r="H65" i="27"/>
  <c r="H82" i="10" l="1"/>
  <c r="I82" i="10" s="1"/>
  <c r="G45" i="10"/>
  <c r="H23" i="2" l="1"/>
  <c r="I23" i="2"/>
  <c r="R17" i="47"/>
  <c r="AP299" i="47" l="1"/>
  <c r="AK299" i="47"/>
  <c r="AG299" i="47"/>
  <c r="BC295" i="47"/>
  <c r="BC294" i="47" s="1"/>
  <c r="BC293" i="47" s="1"/>
  <c r="BA295" i="47"/>
  <c r="AY295" i="47"/>
  <c r="AR295" i="47"/>
  <c r="AQ295" i="47"/>
  <c r="AL295" i="47"/>
  <c r="Y295" i="47"/>
  <c r="Q295" i="47"/>
  <c r="Q294" i="47" s="1"/>
  <c r="Q293" i="47" s="1"/>
  <c r="P295" i="47"/>
  <c r="P294" i="47" s="1"/>
  <c r="P293" i="47" s="1"/>
  <c r="O295" i="47"/>
  <c r="O294" i="47" s="1"/>
  <c r="O293" i="47" s="1"/>
  <c r="K295" i="47"/>
  <c r="R295" i="47" s="1"/>
  <c r="R294" i="47" s="1"/>
  <c r="R293" i="47" s="1"/>
  <c r="AX294" i="47"/>
  <c r="AW294" i="47"/>
  <c r="AW293" i="47" s="1"/>
  <c r="AV294" i="47"/>
  <c r="AV293" i="47" s="1"/>
  <c r="AU294" i="47"/>
  <c r="AU293" i="47" s="1"/>
  <c r="AT294" i="47"/>
  <c r="AT293" i="47" s="1"/>
  <c r="AS294" i="47"/>
  <c r="AS293" i="47" s="1"/>
  <c r="AP294" i="47"/>
  <c r="AP293" i="47" s="1"/>
  <c r="AO294" i="47"/>
  <c r="AO293" i="47" s="1"/>
  <c r="AN294" i="47"/>
  <c r="AM294" i="47"/>
  <c r="AM293" i="47" s="1"/>
  <c r="AK294" i="47"/>
  <c r="AK293" i="47" s="1"/>
  <c r="AJ294" i="47"/>
  <c r="AJ293" i="47" s="1"/>
  <c r="AI294" i="47"/>
  <c r="AI293" i="47" s="1"/>
  <c r="AH294" i="47"/>
  <c r="AH293" i="47" s="1"/>
  <c r="AG294" i="47"/>
  <c r="AL294" i="47" s="1"/>
  <c r="BC292" i="47"/>
  <c r="BD292" i="47" s="1"/>
  <c r="BA292" i="47"/>
  <c r="BB292" i="47" s="1"/>
  <c r="AY292" i="47"/>
  <c r="AR292" i="47"/>
  <c r="AQ292" i="47"/>
  <c r="AL292" i="47"/>
  <c r="Z292" i="47"/>
  <c r="Y292" i="47"/>
  <c r="R292" i="47"/>
  <c r="Q292" i="47"/>
  <c r="P292" i="47"/>
  <c r="O292" i="47"/>
  <c r="BC291" i="47"/>
  <c r="BD291" i="47" s="1"/>
  <c r="BA291" i="47"/>
  <c r="BB291" i="47" s="1"/>
  <c r="AY291" i="47"/>
  <c r="AR291" i="47"/>
  <c r="AQ291" i="47"/>
  <c r="AL291" i="47"/>
  <c r="Z291" i="47"/>
  <c r="Y291" i="47"/>
  <c r="R291" i="47"/>
  <c r="Q291" i="47"/>
  <c r="P291" i="47"/>
  <c r="O291" i="47"/>
  <c r="BC290" i="47"/>
  <c r="BD290" i="47" s="1"/>
  <c r="BA290" i="47"/>
  <c r="BB290" i="47" s="1"/>
  <c r="AY290" i="47"/>
  <c r="AT290" i="47"/>
  <c r="AT289" i="47" s="1"/>
  <c r="AS290" i="47"/>
  <c r="AS289" i="47" s="1"/>
  <c r="AR290" i="47"/>
  <c r="AQ290" i="47"/>
  <c r="AL290" i="47"/>
  <c r="AH290" i="47"/>
  <c r="AH289" i="47" s="1"/>
  <c r="Z290" i="47"/>
  <c r="Y290" i="47"/>
  <c r="R290" i="47"/>
  <c r="Q290" i="47"/>
  <c r="P290" i="47"/>
  <c r="O290" i="47"/>
  <c r="AX289" i="47"/>
  <c r="AW289" i="47"/>
  <c r="AV289" i="47"/>
  <c r="AU289" i="47"/>
  <c r="AP289" i="47"/>
  <c r="AO289" i="47"/>
  <c r="AN289" i="47"/>
  <c r="AM289" i="47"/>
  <c r="AK289" i="47"/>
  <c r="AJ289" i="47"/>
  <c r="AI289" i="47"/>
  <c r="AG289" i="47"/>
  <c r="Z289" i="47"/>
  <c r="BC288" i="47"/>
  <c r="BD288" i="47" s="1"/>
  <c r="BA288" i="47"/>
  <c r="BB288" i="47" s="1"/>
  <c r="AY288" i="47"/>
  <c r="AR288" i="47"/>
  <c r="AR287" i="47" s="1"/>
  <c r="AQ288" i="47"/>
  <c r="AL288" i="47"/>
  <c r="Z288" i="47"/>
  <c r="Y288" i="47"/>
  <c r="Q288" i="47"/>
  <c r="Q287" i="47" s="1"/>
  <c r="P288" i="47"/>
  <c r="P287" i="47" s="1"/>
  <c r="O288" i="47"/>
  <c r="O287" i="47" s="1"/>
  <c r="AX287" i="47"/>
  <c r="AW287" i="47"/>
  <c r="AV287" i="47"/>
  <c r="AU287" i="47"/>
  <c r="AT287" i="47"/>
  <c r="AS287" i="47"/>
  <c r="AP287" i="47"/>
  <c r="AO287" i="47"/>
  <c r="AN287" i="47"/>
  <c r="AM287" i="47"/>
  <c r="AK287" i="47"/>
  <c r="AJ287" i="47"/>
  <c r="AI287" i="47"/>
  <c r="AH287" i="47"/>
  <c r="AG287" i="47"/>
  <c r="Z287" i="47"/>
  <c r="Z286" i="47"/>
  <c r="BC285" i="47"/>
  <c r="BD285" i="47" s="1"/>
  <c r="BA285" i="47"/>
  <c r="BB285" i="47" s="1"/>
  <c r="AY285" i="47"/>
  <c r="AR285" i="47"/>
  <c r="AR284" i="47" s="1"/>
  <c r="AQ285" i="47"/>
  <c r="AL285" i="47"/>
  <c r="Z285" i="47"/>
  <c r="Y285" i="47"/>
  <c r="R285" i="47"/>
  <c r="R284" i="47" s="1"/>
  <c r="Q285" i="47"/>
  <c r="P285" i="47"/>
  <c r="P284" i="47" s="1"/>
  <c r="O285" i="47"/>
  <c r="O284" i="47" s="1"/>
  <c r="AX284" i="47"/>
  <c r="AW284" i="47"/>
  <c r="AV284" i="47"/>
  <c r="AU284" i="47"/>
  <c r="AT284" i="47"/>
  <c r="AS284" i="47"/>
  <c r="AP284" i="47"/>
  <c r="AO284" i="47"/>
  <c r="AN284" i="47"/>
  <c r="AM284" i="47"/>
  <c r="AK284" i="47"/>
  <c r="AJ284" i="47"/>
  <c r="AI284" i="47"/>
  <c r="AH284" i="47"/>
  <c r="AG284" i="47"/>
  <c r="Z284" i="47"/>
  <c r="Q284" i="47"/>
  <c r="BC283" i="47"/>
  <c r="BD283" i="47" s="1"/>
  <c r="BA283" i="47"/>
  <c r="BB283" i="47" s="1"/>
  <c r="AY283" i="47"/>
  <c r="AR283" i="47"/>
  <c r="AQ283" i="47"/>
  <c r="AL283" i="47"/>
  <c r="Z283" i="47"/>
  <c r="Y283" i="47"/>
  <c r="R283" i="47"/>
  <c r="R282" i="47" s="1"/>
  <c r="Q283" i="47"/>
  <c r="Q282" i="47" s="1"/>
  <c r="P283" i="47"/>
  <c r="P282" i="47" s="1"/>
  <c r="O283" i="47"/>
  <c r="O282" i="47" s="1"/>
  <c r="AX282" i="47"/>
  <c r="AW282" i="47"/>
  <c r="AV282" i="47"/>
  <c r="AU282" i="47"/>
  <c r="AT282" i="47"/>
  <c r="AS282" i="47"/>
  <c r="AR282" i="47"/>
  <c r="AP282" i="47"/>
  <c r="AO282" i="47"/>
  <c r="AN282" i="47"/>
  <c r="AM282" i="47"/>
  <c r="AK282" i="47"/>
  <c r="AJ282" i="47"/>
  <c r="AI282" i="47"/>
  <c r="AH282" i="47"/>
  <c r="AG282" i="47"/>
  <c r="Z282" i="47"/>
  <c r="BC281" i="47"/>
  <c r="BD281" i="47" s="1"/>
  <c r="BA281" i="47"/>
  <c r="BB281" i="47" s="1"/>
  <c r="AY281" i="47"/>
  <c r="AR281" i="47"/>
  <c r="AQ281" i="47"/>
  <c r="AL281" i="47"/>
  <c r="Z281" i="47"/>
  <c r="Y281" i="47"/>
  <c r="R281" i="47"/>
  <c r="Q281" i="47"/>
  <c r="P281" i="47"/>
  <c r="O281" i="47"/>
  <c r="BC280" i="47"/>
  <c r="BD280" i="47" s="1"/>
  <c r="BA280" i="47"/>
  <c r="BB280" i="47" s="1"/>
  <c r="AY280" i="47"/>
  <c r="AT280" i="47"/>
  <c r="AS280" i="47"/>
  <c r="AS279" i="47" s="1"/>
  <c r="AR280" i="47"/>
  <c r="AQ280" i="47"/>
  <c r="AL280" i="47"/>
  <c r="AH280" i="47"/>
  <c r="Z280" i="47"/>
  <c r="Y280" i="47"/>
  <c r="R280" i="47"/>
  <c r="Q280" i="47"/>
  <c r="P280" i="47"/>
  <c r="O280" i="47"/>
  <c r="AX279" i="47"/>
  <c r="AW279" i="47"/>
  <c r="AV279" i="47"/>
  <c r="AU279" i="47"/>
  <c r="AT279" i="47"/>
  <c r="AP279" i="47"/>
  <c r="AO279" i="47"/>
  <c r="AN279" i="47"/>
  <c r="AM279" i="47"/>
  <c r="AK279" i="47"/>
  <c r="AJ279" i="47"/>
  <c r="AI279" i="47"/>
  <c r="AH279" i="47"/>
  <c r="AG279" i="47"/>
  <c r="Z279" i="47"/>
  <c r="Z278" i="47"/>
  <c r="BC277" i="47"/>
  <c r="BD277" i="47" s="1"/>
  <c r="BA277" i="47"/>
  <c r="BB277" i="47" s="1"/>
  <c r="AY277" i="47"/>
  <c r="AR277" i="47"/>
  <c r="AQ277" i="47"/>
  <c r="AL277" i="47"/>
  <c r="Z277" i="47"/>
  <c r="Y277" i="47"/>
  <c r="R277" i="47"/>
  <c r="Q277" i="47"/>
  <c r="P277" i="47"/>
  <c r="O277" i="47"/>
  <c r="BC276" i="47"/>
  <c r="BD276" i="47" s="1"/>
  <c r="BA276" i="47"/>
  <c r="BB276" i="47" s="1"/>
  <c r="AY276" i="47"/>
  <c r="AR276" i="47"/>
  <c r="AQ276" i="47"/>
  <c r="AL276" i="47"/>
  <c r="Z276" i="47"/>
  <c r="Y276" i="47"/>
  <c r="R276" i="47"/>
  <c r="Q276" i="47"/>
  <c r="P276" i="47"/>
  <c r="O276" i="47"/>
  <c r="BC275" i="47"/>
  <c r="BD275" i="47" s="1"/>
  <c r="BA275" i="47"/>
  <c r="BB275" i="47" s="1"/>
  <c r="AY275" i="47"/>
  <c r="AR275" i="47"/>
  <c r="AQ275" i="47"/>
  <c r="AL275" i="47"/>
  <c r="Z275" i="47"/>
  <c r="Y275" i="47"/>
  <c r="R275" i="47"/>
  <c r="Q275" i="47"/>
  <c r="P275" i="47"/>
  <c r="O275" i="47"/>
  <c r="BC274" i="47"/>
  <c r="BD274" i="47" s="1"/>
  <c r="BA274" i="47"/>
  <c r="BB274" i="47" s="1"/>
  <c r="AY274" i="47"/>
  <c r="AR274" i="47"/>
  <c r="AQ274" i="47"/>
  <c r="AL274" i="47"/>
  <c r="Z274" i="47"/>
  <c r="Y274" i="47"/>
  <c r="R274" i="47"/>
  <c r="Q274" i="47"/>
  <c r="P274" i="47"/>
  <c r="O274" i="47"/>
  <c r="BC273" i="47"/>
  <c r="BD273" i="47" s="1"/>
  <c r="BA273" i="47"/>
  <c r="BB273" i="47" s="1"/>
  <c r="AY273" i="47"/>
  <c r="AR273" i="47"/>
  <c r="AQ273" i="47"/>
  <c r="AL273" i="47"/>
  <c r="Z273" i="47"/>
  <c r="Y273" i="47"/>
  <c r="R273" i="47"/>
  <c r="Q273" i="47"/>
  <c r="P273" i="47"/>
  <c r="O273" i="47"/>
  <c r="BC272" i="47"/>
  <c r="BD272" i="47" s="1"/>
  <c r="BA272" i="47"/>
  <c r="BB272" i="47" s="1"/>
  <c r="AY272" i="47"/>
  <c r="AR272" i="47"/>
  <c r="AQ272" i="47"/>
  <c r="AL272" i="47"/>
  <c r="Z272" i="47"/>
  <c r="Y272" i="47"/>
  <c r="R272" i="47"/>
  <c r="Q272" i="47"/>
  <c r="P272" i="47"/>
  <c r="O272" i="47"/>
  <c r="AX271" i="47"/>
  <c r="AW271" i="47"/>
  <c r="AV271" i="47"/>
  <c r="AV270" i="47" s="1"/>
  <c r="AU271" i="47"/>
  <c r="AU270" i="47" s="1"/>
  <c r="AT271" i="47"/>
  <c r="AT270" i="47" s="1"/>
  <c r="AS271" i="47"/>
  <c r="AS270" i="47" s="1"/>
  <c r="AP271" i="47"/>
  <c r="AO271" i="47"/>
  <c r="AO270" i="47" s="1"/>
  <c r="AN271" i="47"/>
  <c r="AN270" i="47" s="1"/>
  <c r="AM271" i="47"/>
  <c r="AM270" i="47" s="1"/>
  <c r="AK271" i="47"/>
  <c r="AK270" i="47" s="1"/>
  <c r="AJ271" i="47"/>
  <c r="AJ270" i="47" s="1"/>
  <c r="AI271" i="47"/>
  <c r="AI270" i="47" s="1"/>
  <c r="AH271" i="47"/>
  <c r="AH270" i="47" s="1"/>
  <c r="AG271" i="47"/>
  <c r="AG270" i="47" s="1"/>
  <c r="Z271" i="47"/>
  <c r="AX270" i="47"/>
  <c r="Z270" i="47"/>
  <c r="BC269" i="47"/>
  <c r="BD269" i="47" s="1"/>
  <c r="BA269" i="47"/>
  <c r="BB269" i="47" s="1"/>
  <c r="AY269" i="47"/>
  <c r="AR269" i="47"/>
  <c r="AR268" i="47" s="1"/>
  <c r="AQ269" i="47"/>
  <c r="AL269" i="47"/>
  <c r="Z269" i="47"/>
  <c r="AA269" i="47" s="1"/>
  <c r="AA268" i="47" s="1"/>
  <c r="R269" i="47"/>
  <c r="R268" i="47" s="1"/>
  <c r="Q269" i="47"/>
  <c r="Q268" i="47" s="1"/>
  <c r="P269" i="47"/>
  <c r="P268" i="47" s="1"/>
  <c r="O269" i="47"/>
  <c r="O268" i="47" s="1"/>
  <c r="AX268" i="47"/>
  <c r="AW268" i="47"/>
  <c r="AV268" i="47"/>
  <c r="AU268" i="47"/>
  <c r="AT268" i="47"/>
  <c r="AS268" i="47"/>
  <c r="AP268" i="47"/>
  <c r="AO268" i="47"/>
  <c r="AN268" i="47"/>
  <c r="AM268" i="47"/>
  <c r="AK268" i="47"/>
  <c r="AJ268" i="47"/>
  <c r="AI268" i="47"/>
  <c r="AH268" i="47"/>
  <c r="AG268" i="47"/>
  <c r="Z268" i="47"/>
  <c r="BC267" i="47"/>
  <c r="BD267" i="47" s="1"/>
  <c r="BA267" i="47"/>
  <c r="BB267" i="47" s="1"/>
  <c r="AY267" i="47"/>
  <c r="AR267" i="47"/>
  <c r="AR266" i="47" s="1"/>
  <c r="AQ267" i="47"/>
  <c r="AL267" i="47"/>
  <c r="Z267" i="47"/>
  <c r="AA267" i="47" s="1"/>
  <c r="AA266" i="47" s="1"/>
  <c r="R267" i="47"/>
  <c r="R266" i="47" s="1"/>
  <c r="Q267" i="47"/>
  <c r="Q266" i="47" s="1"/>
  <c r="P267" i="47"/>
  <c r="P266" i="47" s="1"/>
  <c r="O267" i="47"/>
  <c r="O266" i="47" s="1"/>
  <c r="AX266" i="47"/>
  <c r="AW266" i="47"/>
  <c r="AV266" i="47"/>
  <c r="AU266" i="47"/>
  <c r="AT266" i="47"/>
  <c r="AS266" i="47"/>
  <c r="AP266" i="47"/>
  <c r="AO266" i="47"/>
  <c r="AN266" i="47"/>
  <c r="AM266" i="47"/>
  <c r="AK266" i="47"/>
  <c r="AJ266" i="47"/>
  <c r="AI266" i="47"/>
  <c r="AH266" i="47"/>
  <c r="AG266" i="47"/>
  <c r="Z266" i="47"/>
  <c r="BC265" i="47"/>
  <c r="BD265" i="47" s="1"/>
  <c r="BA265" i="47"/>
  <c r="BB265" i="47" s="1"/>
  <c r="AY265" i="47"/>
  <c r="AR265" i="47"/>
  <c r="AQ265" i="47"/>
  <c r="AL265" i="47"/>
  <c r="Z265" i="47"/>
  <c r="Y265" i="47"/>
  <c r="R265" i="47"/>
  <c r="Q265" i="47"/>
  <c r="P265" i="47"/>
  <c r="O265" i="47"/>
  <c r="BC264" i="47"/>
  <c r="BD264" i="47" s="1"/>
  <c r="BA264" i="47"/>
  <c r="BB264" i="47" s="1"/>
  <c r="AY264" i="47"/>
  <c r="AR264" i="47"/>
  <c r="AQ264" i="47"/>
  <c r="AL264" i="47"/>
  <c r="Z264" i="47"/>
  <c r="Y264" i="47"/>
  <c r="R264" i="47"/>
  <c r="Q264" i="47"/>
  <c r="P264" i="47"/>
  <c r="O264" i="47"/>
  <c r="BC263" i="47"/>
  <c r="BD263" i="47" s="1"/>
  <c r="BA263" i="47"/>
  <c r="BB263" i="47" s="1"/>
  <c r="AY263" i="47"/>
  <c r="AR263" i="47"/>
  <c r="AQ263" i="47"/>
  <c r="AL263" i="47"/>
  <c r="Z263" i="47"/>
  <c r="Y263" i="47"/>
  <c r="R263" i="47"/>
  <c r="Q263" i="47"/>
  <c r="P263" i="47"/>
  <c r="O263" i="47"/>
  <c r="BC262" i="47"/>
  <c r="BD262" i="47" s="1"/>
  <c r="BA262" i="47"/>
  <c r="BB262" i="47" s="1"/>
  <c r="AY262" i="47"/>
  <c r="AR262" i="47"/>
  <c r="AQ262" i="47"/>
  <c r="AL262" i="47"/>
  <c r="Z262" i="47"/>
  <c r="Y262" i="47"/>
  <c r="R262" i="47"/>
  <c r="Q262" i="47"/>
  <c r="P262" i="47"/>
  <c r="O262" i="47"/>
  <c r="AX261" i="47"/>
  <c r="AW261" i="47"/>
  <c r="AV261" i="47"/>
  <c r="AU261" i="47"/>
  <c r="AT261" i="47"/>
  <c r="AS261" i="47"/>
  <c r="AP261" i="47"/>
  <c r="AO261" i="47"/>
  <c r="AN261" i="47"/>
  <c r="AM261" i="47"/>
  <c r="AK261" i="47"/>
  <c r="AJ261" i="47"/>
  <c r="AI261" i="47"/>
  <c r="AH261" i="47"/>
  <c r="AG261" i="47"/>
  <c r="BC259" i="47"/>
  <c r="BD259" i="47" s="1"/>
  <c r="BA259" i="47"/>
  <c r="BB259" i="47" s="1"/>
  <c r="AY259" i="47"/>
  <c r="AR259" i="47"/>
  <c r="AQ259" i="47"/>
  <c r="AL259" i="47"/>
  <c r="Z259" i="47"/>
  <c r="Y259" i="47"/>
  <c r="R259" i="47"/>
  <c r="Q259" i="47"/>
  <c r="P259" i="47"/>
  <c r="O259" i="47"/>
  <c r="BC258" i="47"/>
  <c r="BD258" i="47" s="1"/>
  <c r="BA258" i="47"/>
  <c r="BB258" i="47" s="1"/>
  <c r="AY258" i="47"/>
  <c r="AR258" i="47"/>
  <c r="AQ258" i="47"/>
  <c r="AL258" i="47"/>
  <c r="Z258" i="47"/>
  <c r="Y258" i="47"/>
  <c r="R258" i="47"/>
  <c r="Q258" i="47"/>
  <c r="P258" i="47"/>
  <c r="O258" i="47"/>
  <c r="AX257" i="47"/>
  <c r="AW257" i="47"/>
  <c r="AV257" i="47"/>
  <c r="AU257" i="47"/>
  <c r="AT257" i="47"/>
  <c r="AS257" i="47"/>
  <c r="AP257" i="47"/>
  <c r="AO257" i="47"/>
  <c r="AN257" i="47"/>
  <c r="AM257" i="47"/>
  <c r="AK257" i="47"/>
  <c r="AJ257" i="47"/>
  <c r="AI257" i="47"/>
  <c r="AH257" i="47"/>
  <c r="AG257" i="47"/>
  <c r="BC256" i="47"/>
  <c r="BD256" i="47" s="1"/>
  <c r="BA256" i="47"/>
  <c r="BB256" i="47" s="1"/>
  <c r="AY256" i="47"/>
  <c r="AR256" i="47"/>
  <c r="AQ256" i="47"/>
  <c r="AL256" i="47"/>
  <c r="Z256" i="47"/>
  <c r="Y256" i="47"/>
  <c r="R256" i="47"/>
  <c r="Q256" i="47"/>
  <c r="P256" i="47"/>
  <c r="O256" i="47"/>
  <c r="BC255" i="47"/>
  <c r="BD255" i="47" s="1"/>
  <c r="BA255" i="47"/>
  <c r="BB255" i="47" s="1"/>
  <c r="AY255" i="47"/>
  <c r="AR255" i="47"/>
  <c r="AQ255" i="47"/>
  <c r="AL255" i="47"/>
  <c r="Z255" i="47"/>
  <c r="Y255" i="47"/>
  <c r="R255" i="47"/>
  <c r="Q255" i="47"/>
  <c r="P255" i="47"/>
  <c r="O255" i="47"/>
  <c r="BC254" i="47"/>
  <c r="BD254" i="47" s="1"/>
  <c r="BA254" i="47"/>
  <c r="BB254" i="47" s="1"/>
  <c r="AY254" i="47"/>
  <c r="AR254" i="47"/>
  <c r="AQ254" i="47"/>
  <c r="AL254" i="47"/>
  <c r="Z254" i="47"/>
  <c r="Y254" i="47"/>
  <c r="R254" i="47"/>
  <c r="Q254" i="47"/>
  <c r="P254" i="47"/>
  <c r="O254" i="47"/>
  <c r="BC253" i="47"/>
  <c r="BD253" i="47" s="1"/>
  <c r="BA253" i="47"/>
  <c r="BB253" i="47" s="1"/>
  <c r="AY253" i="47"/>
  <c r="AR253" i="47"/>
  <c r="AQ253" i="47"/>
  <c r="AL253" i="47"/>
  <c r="Z253" i="47"/>
  <c r="Y253" i="47"/>
  <c r="R253" i="47"/>
  <c r="Q253" i="47"/>
  <c r="P253" i="47"/>
  <c r="O253" i="47"/>
  <c r="BC252" i="47"/>
  <c r="BD252" i="47" s="1"/>
  <c r="BA252" i="47"/>
  <c r="BB252" i="47" s="1"/>
  <c r="AY252" i="47"/>
  <c r="AR252" i="47"/>
  <c r="AQ252" i="47"/>
  <c r="AL252" i="47"/>
  <c r="Z252" i="47"/>
  <c r="Y252" i="47"/>
  <c r="R252" i="47"/>
  <c r="Q252" i="47"/>
  <c r="P252" i="47"/>
  <c r="O252" i="47"/>
  <c r="AX251" i="47"/>
  <c r="AW251" i="47"/>
  <c r="AV251" i="47"/>
  <c r="AU251" i="47"/>
  <c r="AT251" i="47"/>
  <c r="AS251" i="47"/>
  <c r="AP251" i="47"/>
  <c r="AO251" i="47"/>
  <c r="AN251" i="47"/>
  <c r="AM251" i="47"/>
  <c r="AK251" i="47"/>
  <c r="AJ251" i="47"/>
  <c r="AJ250" i="47" s="1"/>
  <c r="AI251" i="47"/>
  <c r="AI250" i="47" s="1"/>
  <c r="AH251" i="47"/>
  <c r="AG251" i="47"/>
  <c r="AG250" i="47" s="1"/>
  <c r="BC249" i="47"/>
  <c r="BD249" i="47" s="1"/>
  <c r="BA249" i="47"/>
  <c r="BB249" i="47" s="1"/>
  <c r="AY249" i="47"/>
  <c r="AR249" i="47"/>
  <c r="AQ249" i="47"/>
  <c r="AL249" i="47"/>
  <c r="Z249" i="47"/>
  <c r="Y249" i="47"/>
  <c r="R249" i="47"/>
  <c r="Q249" i="47"/>
  <c r="P249" i="47"/>
  <c r="O249" i="47"/>
  <c r="BC248" i="47"/>
  <c r="BD248" i="47" s="1"/>
  <c r="BA248" i="47"/>
  <c r="BB248" i="47" s="1"/>
  <c r="AY248" i="47"/>
  <c r="AR248" i="47"/>
  <c r="AQ248" i="47"/>
  <c r="AL248" i="47"/>
  <c r="Z248" i="47"/>
  <c r="Y248" i="47"/>
  <c r="R248" i="47"/>
  <c r="Q248" i="47"/>
  <c r="P248" i="47"/>
  <c r="O248" i="47"/>
  <c r="BC247" i="47"/>
  <c r="BD247" i="47" s="1"/>
  <c r="BA247" i="47"/>
  <c r="BB247" i="47" s="1"/>
  <c r="AY247" i="47"/>
  <c r="AR247" i="47"/>
  <c r="AQ247" i="47"/>
  <c r="AL247" i="47"/>
  <c r="Z247" i="47"/>
  <c r="Y247" i="47"/>
  <c r="R247" i="47"/>
  <c r="Q247" i="47"/>
  <c r="P247" i="47"/>
  <c r="O247" i="47"/>
  <c r="AX246" i="47"/>
  <c r="AX245" i="47" s="1"/>
  <c r="AW246" i="47"/>
  <c r="AV246" i="47"/>
  <c r="AV245" i="47" s="1"/>
  <c r="AU246" i="47"/>
  <c r="AU245" i="47" s="1"/>
  <c r="AT246" i="47"/>
  <c r="AT245" i="47" s="1"/>
  <c r="AS246" i="47"/>
  <c r="AS245" i="47" s="1"/>
  <c r="AP246" i="47"/>
  <c r="AP245" i="47" s="1"/>
  <c r="AO246" i="47"/>
  <c r="AO245" i="47" s="1"/>
  <c r="AN246" i="47"/>
  <c r="AN245" i="47" s="1"/>
  <c r="AM246" i="47"/>
  <c r="AK246" i="47"/>
  <c r="AK245" i="47" s="1"/>
  <c r="AJ246" i="47"/>
  <c r="AJ245" i="47" s="1"/>
  <c r="AI246" i="47"/>
  <c r="AI245" i="47" s="1"/>
  <c r="AH246" i="47"/>
  <c r="AG246" i="47"/>
  <c r="BC244" i="47"/>
  <c r="BD244" i="47" s="1"/>
  <c r="BA244" i="47"/>
  <c r="BB244" i="47" s="1"/>
  <c r="AY244" i="47"/>
  <c r="AR244" i="47"/>
  <c r="AQ244" i="47"/>
  <c r="AL244" i="47"/>
  <c r="Z244" i="47"/>
  <c r="Y244" i="47"/>
  <c r="R244" i="47"/>
  <c r="Q244" i="47"/>
  <c r="P244" i="47"/>
  <c r="O244" i="47"/>
  <c r="BC243" i="47"/>
  <c r="BD243" i="47" s="1"/>
  <c r="BA243" i="47"/>
  <c r="BB243" i="47" s="1"/>
  <c r="AY243" i="47"/>
  <c r="AR243" i="47"/>
  <c r="AQ243" i="47"/>
  <c r="AL243" i="47"/>
  <c r="Z243" i="47"/>
  <c r="Y243" i="47"/>
  <c r="R243" i="47"/>
  <c r="Q243" i="47"/>
  <c r="P243" i="47"/>
  <c r="O243" i="47"/>
  <c r="BC242" i="47"/>
  <c r="BD242" i="47" s="1"/>
  <c r="BA242" i="47"/>
  <c r="BB242" i="47" s="1"/>
  <c r="AY242" i="47"/>
  <c r="AR242" i="47"/>
  <c r="AQ242" i="47"/>
  <c r="AL242" i="47"/>
  <c r="Z242" i="47"/>
  <c r="Y242" i="47"/>
  <c r="R242" i="47"/>
  <c r="Q242" i="47"/>
  <c r="P242" i="47"/>
  <c r="O242" i="47"/>
  <c r="BC241" i="47"/>
  <c r="BD241" i="47" s="1"/>
  <c r="BA241" i="47"/>
  <c r="BB241" i="47" s="1"/>
  <c r="AY241" i="47"/>
  <c r="AR241" i="47"/>
  <c r="AQ241" i="47"/>
  <c r="AL241" i="47"/>
  <c r="Z241" i="47"/>
  <c r="Y241" i="47"/>
  <c r="R241" i="47"/>
  <c r="Q241" i="47"/>
  <c r="P241" i="47"/>
  <c r="O241" i="47"/>
  <c r="AX240" i="47"/>
  <c r="AW240" i="47"/>
  <c r="AW239" i="47" s="1"/>
  <c r="AV240" i="47"/>
  <c r="AV239" i="47" s="1"/>
  <c r="AU240" i="47"/>
  <c r="AU239" i="47" s="1"/>
  <c r="AT240" i="47"/>
  <c r="AS240" i="47"/>
  <c r="AS239" i="47" s="1"/>
  <c r="AP240" i="47"/>
  <c r="AO240" i="47"/>
  <c r="AO239" i="47" s="1"/>
  <c r="AN240" i="47"/>
  <c r="AN239" i="47" s="1"/>
  <c r="AM240" i="47"/>
  <c r="AM239" i="47" s="1"/>
  <c r="AK240" i="47"/>
  <c r="AK239" i="47" s="1"/>
  <c r="AJ240" i="47"/>
  <c r="AJ239" i="47" s="1"/>
  <c r="AI240" i="47"/>
  <c r="AI239" i="47" s="1"/>
  <c r="AH240" i="47"/>
  <c r="AG240" i="47"/>
  <c r="BC238" i="47"/>
  <c r="BD238" i="47" s="1"/>
  <c r="BA238" i="47"/>
  <c r="BB238" i="47" s="1"/>
  <c r="AY238" i="47"/>
  <c r="AR238" i="47"/>
  <c r="AQ238" i="47"/>
  <c r="AL238" i="47"/>
  <c r="Z238" i="47"/>
  <c r="Y238" i="47"/>
  <c r="R238" i="47"/>
  <c r="Q238" i="47"/>
  <c r="P238" i="47"/>
  <c r="O238" i="47"/>
  <c r="BC237" i="47"/>
  <c r="BD237" i="47" s="1"/>
  <c r="BA237" i="47"/>
  <c r="BB237" i="47" s="1"/>
  <c r="AY237" i="47"/>
  <c r="AR237" i="47"/>
  <c r="AQ237" i="47"/>
  <c r="AL237" i="47"/>
  <c r="Z237" i="47"/>
  <c r="Y237" i="47"/>
  <c r="R237" i="47"/>
  <c r="Q237" i="47"/>
  <c r="P237" i="47"/>
  <c r="O237" i="47"/>
  <c r="BC236" i="47"/>
  <c r="BD236" i="47" s="1"/>
  <c r="BA236" i="47"/>
  <c r="BB236" i="47" s="1"/>
  <c r="AY236" i="47"/>
  <c r="AR236" i="47"/>
  <c r="AQ236" i="47"/>
  <c r="AL236" i="47"/>
  <c r="Z236" i="47"/>
  <c r="Y236" i="47"/>
  <c r="R236" i="47"/>
  <c r="Q236" i="47"/>
  <c r="P236" i="47"/>
  <c r="O236" i="47"/>
  <c r="BC235" i="47"/>
  <c r="BD235" i="47" s="1"/>
  <c r="BA235" i="47"/>
  <c r="BB235" i="47" s="1"/>
  <c r="AY235" i="47"/>
  <c r="AR235" i="47"/>
  <c r="AQ235" i="47"/>
  <c r="AL235" i="47"/>
  <c r="Z235" i="47"/>
  <c r="Y235" i="47"/>
  <c r="R235" i="47"/>
  <c r="Q235" i="47"/>
  <c r="P235" i="47"/>
  <c r="O235" i="47"/>
  <c r="AX234" i="47"/>
  <c r="AW234" i="47"/>
  <c r="AV234" i="47"/>
  <c r="AU234" i="47"/>
  <c r="AT234" i="47"/>
  <c r="AS234" i="47"/>
  <c r="AP234" i="47"/>
  <c r="AO234" i="47"/>
  <c r="AN234" i="47"/>
  <c r="AM234" i="47"/>
  <c r="AK234" i="47"/>
  <c r="AJ234" i="47"/>
  <c r="AI234" i="47"/>
  <c r="AH234" i="47"/>
  <c r="AG234" i="47"/>
  <c r="BC233" i="47"/>
  <c r="BD233" i="47" s="1"/>
  <c r="BA233" i="47"/>
  <c r="BB233" i="47" s="1"/>
  <c r="AY233" i="47"/>
  <c r="AR233" i="47"/>
  <c r="AQ233" i="47"/>
  <c r="AL233" i="47"/>
  <c r="Z233" i="47"/>
  <c r="Y233" i="47"/>
  <c r="R233" i="47"/>
  <c r="Q233" i="47"/>
  <c r="P233" i="47"/>
  <c r="O233" i="47"/>
  <c r="BC232" i="47"/>
  <c r="BD232" i="47" s="1"/>
  <c r="BA232" i="47"/>
  <c r="BB232" i="47" s="1"/>
  <c r="AY232" i="47"/>
  <c r="AR232" i="47"/>
  <c r="AQ232" i="47"/>
  <c r="AL232" i="47"/>
  <c r="Z232" i="47"/>
  <c r="Y232" i="47"/>
  <c r="R232" i="47"/>
  <c r="Q232" i="47"/>
  <c r="P232" i="47"/>
  <c r="O232" i="47"/>
  <c r="BC231" i="47"/>
  <c r="BD231" i="47" s="1"/>
  <c r="BA231" i="47"/>
  <c r="BB231" i="47" s="1"/>
  <c r="AY231" i="47"/>
  <c r="AR231" i="47"/>
  <c r="AQ231" i="47"/>
  <c r="AL231" i="47"/>
  <c r="Z231" i="47"/>
  <c r="Y231" i="47"/>
  <c r="R231" i="47"/>
  <c r="Q231" i="47"/>
  <c r="P231" i="47"/>
  <c r="O231" i="47"/>
  <c r="AX230" i="47"/>
  <c r="AW230" i="47"/>
  <c r="AV230" i="47"/>
  <c r="AU230" i="47"/>
  <c r="AT230" i="47"/>
  <c r="AS230" i="47"/>
  <c r="AS229" i="47" s="1"/>
  <c r="AP230" i="47"/>
  <c r="AO230" i="47"/>
  <c r="AN230" i="47"/>
  <c r="AM230" i="47"/>
  <c r="AK230" i="47"/>
  <c r="AK229" i="47" s="1"/>
  <c r="AJ230" i="47"/>
  <c r="AI230" i="47"/>
  <c r="AH230" i="47"/>
  <c r="AG230" i="47"/>
  <c r="BC228" i="47"/>
  <c r="BD228" i="47" s="1"/>
  <c r="BA228" i="47"/>
  <c r="BB228" i="47" s="1"/>
  <c r="AY228" i="47"/>
  <c r="AR228" i="47"/>
  <c r="AR227" i="47" s="1"/>
  <c r="AQ228" i="47"/>
  <c r="AL228" i="47"/>
  <c r="Z228" i="47"/>
  <c r="Y228" i="47"/>
  <c r="R228" i="47"/>
  <c r="R227" i="47" s="1"/>
  <c r="Q228" i="47"/>
  <c r="Q227" i="47" s="1"/>
  <c r="P228" i="47"/>
  <c r="P227" i="47" s="1"/>
  <c r="O228" i="47"/>
  <c r="O227" i="47" s="1"/>
  <c r="AX227" i="47"/>
  <c r="AW227" i="47"/>
  <c r="AV227" i="47"/>
  <c r="AU227" i="47"/>
  <c r="AT227" i="47"/>
  <c r="AS227" i="47"/>
  <c r="AP227" i="47"/>
  <c r="AO227" i="47"/>
  <c r="AN227" i="47"/>
  <c r="AM227" i="47"/>
  <c r="AK227" i="47"/>
  <c r="AJ227" i="47"/>
  <c r="AI227" i="47"/>
  <c r="AH227" i="47"/>
  <c r="AG227" i="47"/>
  <c r="BC226" i="47"/>
  <c r="BD226" i="47" s="1"/>
  <c r="BA226" i="47"/>
  <c r="BB226" i="47" s="1"/>
  <c r="AY226" i="47"/>
  <c r="AR226" i="47"/>
  <c r="AQ226" i="47"/>
  <c r="AL226" i="47"/>
  <c r="AE226" i="47"/>
  <c r="Z226" i="47"/>
  <c r="Y226" i="47"/>
  <c r="R226" i="47"/>
  <c r="Q226" i="47"/>
  <c r="P226" i="47"/>
  <c r="O226" i="47"/>
  <c r="BC225" i="47"/>
  <c r="BD225" i="47" s="1"/>
  <c r="BA225" i="47"/>
  <c r="BB225" i="47" s="1"/>
  <c r="AY225" i="47"/>
  <c r="AR225" i="47"/>
  <c r="AQ225" i="47"/>
  <c r="AL225" i="47"/>
  <c r="Z225" i="47"/>
  <c r="Y225" i="47"/>
  <c r="R225" i="47"/>
  <c r="Q225" i="47"/>
  <c r="P225" i="47"/>
  <c r="O225" i="47"/>
  <c r="BC224" i="47"/>
  <c r="BD224" i="47" s="1"/>
  <c r="BA224" i="47"/>
  <c r="BB224" i="47" s="1"/>
  <c r="AY224" i="47"/>
  <c r="AR224" i="47"/>
  <c r="AQ224" i="47"/>
  <c r="AL224" i="47"/>
  <c r="AE224" i="47"/>
  <c r="Z224" i="47"/>
  <c r="Y224" i="47"/>
  <c r="R224" i="47"/>
  <c r="Q224" i="47"/>
  <c r="P224" i="47"/>
  <c r="O224" i="47"/>
  <c r="BC223" i="47"/>
  <c r="BD223" i="47" s="1"/>
  <c r="BA223" i="47"/>
  <c r="BB223" i="47" s="1"/>
  <c r="AY223" i="47"/>
  <c r="AR223" i="47"/>
  <c r="AQ223" i="47"/>
  <c r="AL223" i="47"/>
  <c r="AE223" i="47"/>
  <c r="Z223" i="47"/>
  <c r="Y223" i="47"/>
  <c r="R223" i="47"/>
  <c r="Q223" i="47"/>
  <c r="P223" i="47"/>
  <c r="O223" i="47"/>
  <c r="BC222" i="47"/>
  <c r="BD222" i="47" s="1"/>
  <c r="BA222" i="47"/>
  <c r="BB222" i="47" s="1"/>
  <c r="AY222" i="47"/>
  <c r="AR222" i="47"/>
  <c r="AQ222" i="47"/>
  <c r="AL222" i="47"/>
  <c r="AE222" i="47"/>
  <c r="Z222" i="47"/>
  <c r="Y222" i="47"/>
  <c r="R222" i="47"/>
  <c r="Q222" i="47"/>
  <c r="P222" i="47"/>
  <c r="O222" i="47"/>
  <c r="BC221" i="47"/>
  <c r="BD221" i="47" s="1"/>
  <c r="BA221" i="47"/>
  <c r="BB221" i="47" s="1"/>
  <c r="AY221" i="47"/>
  <c r="AR221" i="47"/>
  <c r="AQ221" i="47"/>
  <c r="AL221" i="47"/>
  <c r="AE221" i="47"/>
  <c r="Z221" i="47"/>
  <c r="Y221" i="47"/>
  <c r="R221" i="47"/>
  <c r="Q221" i="47"/>
  <c r="P221" i="47"/>
  <c r="O221" i="47"/>
  <c r="BC220" i="47"/>
  <c r="BD220" i="47" s="1"/>
  <c r="BA220" i="47"/>
  <c r="BB220" i="47" s="1"/>
  <c r="AY220" i="47"/>
  <c r="AR220" i="47"/>
  <c r="AQ220" i="47"/>
  <c r="AL220" i="47"/>
  <c r="AE220" i="47"/>
  <c r="Z220" i="47"/>
  <c r="Y220" i="47"/>
  <c r="R220" i="47"/>
  <c r="Q220" i="47"/>
  <c r="P220" i="47"/>
  <c r="O220" i="47"/>
  <c r="AX219" i="47"/>
  <c r="AW219" i="47"/>
  <c r="AV219" i="47"/>
  <c r="AU219" i="47"/>
  <c r="AT219" i="47"/>
  <c r="AS219" i="47"/>
  <c r="AP219" i="47"/>
  <c r="AO219" i="47"/>
  <c r="AN219" i="47"/>
  <c r="AM219" i="47"/>
  <c r="AK219" i="47"/>
  <c r="AJ219" i="47"/>
  <c r="AI219" i="47"/>
  <c r="AH219" i="47"/>
  <c r="AG219" i="47"/>
  <c r="BC217" i="47"/>
  <c r="BD217" i="47" s="1"/>
  <c r="BA217" i="47"/>
  <c r="BB217" i="47" s="1"/>
  <c r="AY217" i="47"/>
  <c r="AR217" i="47"/>
  <c r="AQ217" i="47"/>
  <c r="AL217" i="47"/>
  <c r="Z217" i="47"/>
  <c r="Y217" i="47"/>
  <c r="R217" i="47"/>
  <c r="Q217" i="47"/>
  <c r="P217" i="47"/>
  <c r="O217" i="47"/>
  <c r="BC216" i="47"/>
  <c r="BD216" i="47" s="1"/>
  <c r="BA216" i="47"/>
  <c r="BB216" i="47" s="1"/>
  <c r="AY216" i="47"/>
  <c r="AR216" i="47"/>
  <c r="AQ216" i="47"/>
  <c r="AL216" i="47"/>
  <c r="Z216" i="47"/>
  <c r="Y216" i="47"/>
  <c r="R216" i="47"/>
  <c r="Q216" i="47"/>
  <c r="P216" i="47"/>
  <c r="O216" i="47"/>
  <c r="BC215" i="47"/>
  <c r="BD215" i="47" s="1"/>
  <c r="BA215" i="47"/>
  <c r="BB215" i="47" s="1"/>
  <c r="AY215" i="47"/>
  <c r="AR215" i="47"/>
  <c r="AQ215" i="47"/>
  <c r="AL215" i="47"/>
  <c r="Z215" i="47"/>
  <c r="Y215" i="47"/>
  <c r="R215" i="47"/>
  <c r="Q215" i="47"/>
  <c r="P215" i="47"/>
  <c r="O215" i="47"/>
  <c r="BC214" i="47"/>
  <c r="BD214" i="47" s="1"/>
  <c r="BA214" i="47"/>
  <c r="BB214" i="47" s="1"/>
  <c r="AY214" i="47"/>
  <c r="AR214" i="47"/>
  <c r="AQ214" i="47"/>
  <c r="AL214" i="47"/>
  <c r="Z214" i="47"/>
  <c r="Y214" i="47"/>
  <c r="R214" i="47"/>
  <c r="Q214" i="47"/>
  <c r="P214" i="47"/>
  <c r="O214" i="47"/>
  <c r="AX213" i="47"/>
  <c r="AX212" i="47" s="1"/>
  <c r="AW213" i="47"/>
  <c r="AW212" i="47" s="1"/>
  <c r="AV213" i="47"/>
  <c r="AV212" i="47" s="1"/>
  <c r="AU213" i="47"/>
  <c r="AU212" i="47" s="1"/>
  <c r="AT213" i="47"/>
  <c r="AT212" i="47" s="1"/>
  <c r="AS213" i="47"/>
  <c r="AS212" i="47" s="1"/>
  <c r="AP213" i="47"/>
  <c r="AO213" i="47"/>
  <c r="AO212" i="47" s="1"/>
  <c r="AN213" i="47"/>
  <c r="AN212" i="47" s="1"/>
  <c r="AM213" i="47"/>
  <c r="AK213" i="47"/>
  <c r="AK212" i="47" s="1"/>
  <c r="AJ213" i="47"/>
  <c r="AJ212" i="47" s="1"/>
  <c r="AI213" i="47"/>
  <c r="AI212" i="47" s="1"/>
  <c r="AH213" i="47"/>
  <c r="AG213" i="47"/>
  <c r="AG212" i="47" s="1"/>
  <c r="BC210" i="47"/>
  <c r="BD210" i="47" s="1"/>
  <c r="BA210" i="47"/>
  <c r="BB210" i="47" s="1"/>
  <c r="AY210" i="47"/>
  <c r="AR210" i="47"/>
  <c r="AR209" i="47" s="1"/>
  <c r="AR208" i="47" s="1"/>
  <c r="AQ210" i="47"/>
  <c r="AL210" i="47"/>
  <c r="Z210" i="47"/>
  <c r="Y210" i="47"/>
  <c r="R210" i="47"/>
  <c r="Q210" i="47"/>
  <c r="P210" i="47"/>
  <c r="P209" i="47" s="1"/>
  <c r="P208" i="47" s="1"/>
  <c r="O210" i="47"/>
  <c r="O209" i="47" s="1"/>
  <c r="O208" i="47" s="1"/>
  <c r="AX209" i="47"/>
  <c r="AW209" i="47"/>
  <c r="AW208" i="47" s="1"/>
  <c r="AV209" i="47"/>
  <c r="AV208" i="47" s="1"/>
  <c r="AU209" i="47"/>
  <c r="AU208" i="47" s="1"/>
  <c r="AT209" i="47"/>
  <c r="AS209" i="47"/>
  <c r="AS208" i="47" s="1"/>
  <c r="AP209" i="47"/>
  <c r="AP208" i="47" s="1"/>
  <c r="AO209" i="47"/>
  <c r="AO208" i="47" s="1"/>
  <c r="AN209" i="47"/>
  <c r="AN208" i="47" s="1"/>
  <c r="AM209" i="47"/>
  <c r="AM208" i="47" s="1"/>
  <c r="AK209" i="47"/>
  <c r="AK208" i="47" s="1"/>
  <c r="AJ209" i="47"/>
  <c r="AJ208" i="47" s="1"/>
  <c r="AI209" i="47"/>
  <c r="AI208" i="47" s="1"/>
  <c r="AH209" i="47"/>
  <c r="AG209" i="47"/>
  <c r="R209" i="47"/>
  <c r="R208" i="47" s="1"/>
  <c r="Q209" i="47"/>
  <c r="Q208" i="47" s="1"/>
  <c r="BC207" i="47"/>
  <c r="BD207" i="47" s="1"/>
  <c r="BA207" i="47"/>
  <c r="BB207" i="47" s="1"/>
  <c r="AY207" i="47"/>
  <c r="AR207" i="47"/>
  <c r="AQ207" i="47"/>
  <c r="AL207" i="47"/>
  <c r="Z207" i="47"/>
  <c r="Y207" i="47"/>
  <c r="R207" i="47"/>
  <c r="Q207" i="47"/>
  <c r="P207" i="47"/>
  <c r="O207" i="47"/>
  <c r="BC206" i="47"/>
  <c r="BD206" i="47" s="1"/>
  <c r="BA206" i="47"/>
  <c r="BB206" i="47" s="1"/>
  <c r="AY206" i="47"/>
  <c r="AR206" i="47"/>
  <c r="AQ206" i="47"/>
  <c r="AL206" i="47"/>
  <c r="Z206" i="47"/>
  <c r="Y206" i="47"/>
  <c r="R206" i="47"/>
  <c r="Q206" i="47"/>
  <c r="P206" i="47"/>
  <c r="O206" i="47"/>
  <c r="BC205" i="47"/>
  <c r="BD205" i="47" s="1"/>
  <c r="BA205" i="47"/>
  <c r="BB205" i="47" s="1"/>
  <c r="AY205" i="47"/>
  <c r="AR205" i="47"/>
  <c r="AQ205" i="47"/>
  <c r="AL205" i="47"/>
  <c r="Z205" i="47"/>
  <c r="Y205" i="47"/>
  <c r="R205" i="47"/>
  <c r="Q205" i="47"/>
  <c r="P205" i="47"/>
  <c r="O205" i="47"/>
  <c r="BC204" i="47"/>
  <c r="BD204" i="47" s="1"/>
  <c r="BA204" i="47"/>
  <c r="BB204" i="47" s="1"/>
  <c r="AY204" i="47"/>
  <c r="AR204" i="47"/>
  <c r="AQ204" i="47"/>
  <c r="AL204" i="47"/>
  <c r="Z204" i="47"/>
  <c r="Y204" i="47"/>
  <c r="R204" i="47"/>
  <c r="Q204" i="47"/>
  <c r="P204" i="47"/>
  <c r="O204" i="47"/>
  <c r="AX203" i="47"/>
  <c r="AW203" i="47"/>
  <c r="AW202" i="47" s="1"/>
  <c r="AV203" i="47"/>
  <c r="AV202" i="47" s="1"/>
  <c r="AU203" i="47"/>
  <c r="AU202" i="47" s="1"/>
  <c r="AT203" i="47"/>
  <c r="AT202" i="47" s="1"/>
  <c r="AS203" i="47"/>
  <c r="AS202" i="47" s="1"/>
  <c r="AP203" i="47"/>
  <c r="AP202" i="47" s="1"/>
  <c r="AO203" i="47"/>
  <c r="AO202" i="47" s="1"/>
  <c r="AN203" i="47"/>
  <c r="AN202" i="47" s="1"/>
  <c r="AM203" i="47"/>
  <c r="AM202" i="47" s="1"/>
  <c r="AK203" i="47"/>
  <c r="AK202" i="47" s="1"/>
  <c r="AJ203" i="47"/>
  <c r="AJ202" i="47" s="1"/>
  <c r="AI203" i="47"/>
  <c r="AH203" i="47"/>
  <c r="AH202" i="47" s="1"/>
  <c r="AG203" i="47"/>
  <c r="AQ203" i="47" s="1"/>
  <c r="BC201" i="47"/>
  <c r="BD201" i="47" s="1"/>
  <c r="BA201" i="47"/>
  <c r="BB201" i="47" s="1"/>
  <c r="AY201" i="47"/>
  <c r="AR201" i="47"/>
  <c r="AR200" i="47" s="1"/>
  <c r="AQ201" i="47"/>
  <c r="Z201" i="47"/>
  <c r="Y201" i="47"/>
  <c r="R201" i="47"/>
  <c r="R200" i="47" s="1"/>
  <c r="Q201" i="47"/>
  <c r="Q200" i="47" s="1"/>
  <c r="P201" i="47"/>
  <c r="P200" i="47" s="1"/>
  <c r="O201" i="47"/>
  <c r="O200" i="47" s="1"/>
  <c r="AX200" i="47"/>
  <c r="AW200" i="47"/>
  <c r="AV200" i="47"/>
  <c r="AU200" i="47"/>
  <c r="AT200" i="47"/>
  <c r="AS200" i="47"/>
  <c r="AO200" i="47"/>
  <c r="AN200" i="47"/>
  <c r="AM200" i="47"/>
  <c r="AK200" i="47"/>
  <c r="AJ200" i="47"/>
  <c r="AI200" i="47"/>
  <c r="AH200" i="47"/>
  <c r="AG200" i="47"/>
  <c r="BC199" i="47"/>
  <c r="BD199" i="47" s="1"/>
  <c r="BA199" i="47"/>
  <c r="BB199" i="47" s="1"/>
  <c r="AY199" i="47"/>
  <c r="AR199" i="47"/>
  <c r="AQ199" i="47"/>
  <c r="Z199" i="47"/>
  <c r="Y199" i="47"/>
  <c r="R199" i="47"/>
  <c r="Q199" i="47"/>
  <c r="P199" i="47"/>
  <c r="O199" i="47"/>
  <c r="BC198" i="47"/>
  <c r="BD198" i="47" s="1"/>
  <c r="BA198" i="47"/>
  <c r="BB198" i="47" s="1"/>
  <c r="AY198" i="47"/>
  <c r="AR198" i="47"/>
  <c r="AQ198" i="47"/>
  <c r="AL198" i="47"/>
  <c r="Z198" i="47"/>
  <c r="Y198" i="47"/>
  <c r="R198" i="47"/>
  <c r="Q198" i="47"/>
  <c r="P198" i="47"/>
  <c r="O198" i="47"/>
  <c r="BC197" i="47"/>
  <c r="BD197" i="47" s="1"/>
  <c r="BA197" i="47"/>
  <c r="BB197" i="47" s="1"/>
  <c r="AY197" i="47"/>
  <c r="AR197" i="47"/>
  <c r="AQ197" i="47"/>
  <c r="AL197" i="47"/>
  <c r="Z197" i="47"/>
  <c r="Y197" i="47"/>
  <c r="R197" i="47"/>
  <c r="Q197" i="47"/>
  <c r="P197" i="47"/>
  <c r="O197" i="47"/>
  <c r="BC196" i="47"/>
  <c r="BD196" i="47" s="1"/>
  <c r="BA196" i="47"/>
  <c r="BB196" i="47" s="1"/>
  <c r="AY196" i="47"/>
  <c r="AR196" i="47"/>
  <c r="AQ196" i="47"/>
  <c r="Z196" i="47"/>
  <c r="Y196" i="47"/>
  <c r="R196" i="47"/>
  <c r="Q196" i="47"/>
  <c r="P196" i="47"/>
  <c r="O196" i="47"/>
  <c r="BC195" i="47"/>
  <c r="BD195" i="47" s="1"/>
  <c r="BA195" i="47"/>
  <c r="BB195" i="47" s="1"/>
  <c r="AY195" i="47"/>
  <c r="AR195" i="47"/>
  <c r="AQ195" i="47"/>
  <c r="Z195" i="47"/>
  <c r="Y195" i="47"/>
  <c r="R195" i="47"/>
  <c r="Q195" i="47"/>
  <c r="P195" i="47"/>
  <c r="O195" i="47"/>
  <c r="BC194" i="47"/>
  <c r="BD194" i="47" s="1"/>
  <c r="BA194" i="47"/>
  <c r="BB194" i="47" s="1"/>
  <c r="AY194" i="47"/>
  <c r="AR194" i="47"/>
  <c r="AQ194" i="47"/>
  <c r="AL194" i="47"/>
  <c r="Z194" i="47"/>
  <c r="Y194" i="47"/>
  <c r="R194" i="47"/>
  <c r="Q194" i="47"/>
  <c r="P194" i="47"/>
  <c r="O194" i="47"/>
  <c r="BC193" i="47"/>
  <c r="BD193" i="47" s="1"/>
  <c r="BA193" i="47"/>
  <c r="BB193" i="47" s="1"/>
  <c r="AY193" i="47"/>
  <c r="AR193" i="47"/>
  <c r="AQ193" i="47"/>
  <c r="AL193" i="47"/>
  <c r="Z193" i="47"/>
  <c r="Y193" i="47"/>
  <c r="R193" i="47"/>
  <c r="Q193" i="47"/>
  <c r="P193" i="47"/>
  <c r="O193" i="47"/>
  <c r="BC192" i="47"/>
  <c r="BD192" i="47" s="1"/>
  <c r="AY192" i="47"/>
  <c r="AT192" i="47"/>
  <c r="AS192" i="47"/>
  <c r="AS191" i="47" s="1"/>
  <c r="AR192" i="47"/>
  <c r="AQ192" i="47"/>
  <c r="AL192" i="47"/>
  <c r="AH192" i="47"/>
  <c r="Z192" i="47"/>
  <c r="Y192" i="47"/>
  <c r="R192" i="47"/>
  <c r="Q192" i="47"/>
  <c r="P192" i="47"/>
  <c r="O192" i="47"/>
  <c r="AX191" i="47"/>
  <c r="AW191" i="47"/>
  <c r="AV191" i="47"/>
  <c r="AU191" i="47"/>
  <c r="AT191" i="47"/>
  <c r="AP191" i="47"/>
  <c r="AO191" i="47"/>
  <c r="AN191" i="47"/>
  <c r="AM191" i="47"/>
  <c r="AK191" i="47"/>
  <c r="AJ191" i="47"/>
  <c r="AI191" i="47"/>
  <c r="AG191" i="47"/>
  <c r="BC189" i="47"/>
  <c r="BD189" i="47" s="1"/>
  <c r="BA189" i="47"/>
  <c r="BB189" i="47" s="1"/>
  <c r="AY189" i="47"/>
  <c r="AR189" i="47"/>
  <c r="AQ189" i="47"/>
  <c r="AL189" i="47"/>
  <c r="Z189" i="47"/>
  <c r="Y189" i="47"/>
  <c r="R189" i="47"/>
  <c r="Q189" i="47"/>
  <c r="P189" i="47"/>
  <c r="O189" i="47"/>
  <c r="BC188" i="47"/>
  <c r="BD188" i="47" s="1"/>
  <c r="BA188" i="47"/>
  <c r="BB188" i="47" s="1"/>
  <c r="AY188" i="47"/>
  <c r="AR188" i="47"/>
  <c r="AQ188" i="47"/>
  <c r="AL188" i="47"/>
  <c r="Z188" i="47"/>
  <c r="Y188" i="47"/>
  <c r="R188" i="47"/>
  <c r="Q188" i="47"/>
  <c r="P188" i="47"/>
  <c r="O188" i="47"/>
  <c r="BC187" i="47"/>
  <c r="BD187" i="47" s="1"/>
  <c r="BA187" i="47"/>
  <c r="BB187" i="47" s="1"/>
  <c r="AY187" i="47"/>
  <c r="AR187" i="47"/>
  <c r="AQ187" i="47"/>
  <c r="AL187" i="47"/>
  <c r="Z187" i="47"/>
  <c r="Y187" i="47"/>
  <c r="R187" i="47"/>
  <c r="Q187" i="47"/>
  <c r="P187" i="47"/>
  <c r="O187" i="47"/>
  <c r="BC186" i="47"/>
  <c r="BD186" i="47" s="1"/>
  <c r="BA186" i="47"/>
  <c r="BB186" i="47" s="1"/>
  <c r="AY186" i="47"/>
  <c r="AR186" i="47"/>
  <c r="AQ186" i="47"/>
  <c r="AL186" i="47"/>
  <c r="Z186" i="47"/>
  <c r="Y186" i="47"/>
  <c r="R186" i="47"/>
  <c r="Q186" i="47"/>
  <c r="P186" i="47"/>
  <c r="O186" i="47"/>
  <c r="BC185" i="47"/>
  <c r="BD185" i="47" s="1"/>
  <c r="BA185" i="47"/>
  <c r="BB185" i="47" s="1"/>
  <c r="AY185" i="47"/>
  <c r="AR185" i="47"/>
  <c r="AQ185" i="47"/>
  <c r="AL185" i="47"/>
  <c r="Z185" i="47"/>
  <c r="Y185" i="47"/>
  <c r="R185" i="47"/>
  <c r="Q185" i="47"/>
  <c r="P185" i="47"/>
  <c r="O185" i="47"/>
  <c r="BC184" i="47"/>
  <c r="BD184" i="47" s="1"/>
  <c r="BA184" i="47"/>
  <c r="BB184" i="47" s="1"/>
  <c r="AY184" i="47"/>
  <c r="AR184" i="47"/>
  <c r="AQ184" i="47"/>
  <c r="AL184" i="47"/>
  <c r="Z184" i="47"/>
  <c r="Y184" i="47"/>
  <c r="R184" i="47"/>
  <c r="Q184" i="47"/>
  <c r="P184" i="47"/>
  <c r="O184" i="47"/>
  <c r="AX183" i="47"/>
  <c r="AW183" i="47"/>
  <c r="AV183" i="47"/>
  <c r="AU183" i="47"/>
  <c r="AT183" i="47"/>
  <c r="AS183" i="47"/>
  <c r="AP183" i="47"/>
  <c r="AO183" i="47"/>
  <c r="AN183" i="47"/>
  <c r="AM183" i="47"/>
  <c r="AK183" i="47"/>
  <c r="AJ183" i="47"/>
  <c r="AI183" i="47"/>
  <c r="AH183" i="47"/>
  <c r="AG183" i="47"/>
  <c r="Z183" i="47"/>
  <c r="Q183" i="47"/>
  <c r="BA182" i="47"/>
  <c r="BB182" i="47" s="1"/>
  <c r="AY182" i="47"/>
  <c r="AR182" i="47"/>
  <c r="AQ182" i="47"/>
  <c r="AN182" i="47"/>
  <c r="BC182" i="47" s="1"/>
  <c r="BD182" i="47" s="1"/>
  <c r="AL182" i="47"/>
  <c r="AI182" i="47"/>
  <c r="Z182" i="47"/>
  <c r="Y182" i="47"/>
  <c r="R182" i="47"/>
  <c r="Q182" i="47"/>
  <c r="P182" i="47"/>
  <c r="O182" i="47"/>
  <c r="BC181" i="47"/>
  <c r="BD181" i="47" s="1"/>
  <c r="AY181" i="47"/>
  <c r="AR181" i="47"/>
  <c r="AQ181" i="47"/>
  <c r="AN181" i="47"/>
  <c r="AL181" i="47"/>
  <c r="AI181" i="47"/>
  <c r="Z181" i="47"/>
  <c r="Y181" i="47"/>
  <c r="R181" i="47"/>
  <c r="Q181" i="47"/>
  <c r="P181" i="47"/>
  <c r="O181" i="47"/>
  <c r="BC180" i="47"/>
  <c r="BD180" i="47" s="1"/>
  <c r="BA180" i="47"/>
  <c r="BB180" i="47" s="1"/>
  <c r="AY180" i="47"/>
  <c r="AR180" i="47"/>
  <c r="AQ180" i="47"/>
  <c r="AL180" i="47"/>
  <c r="Z180" i="47"/>
  <c r="Y180" i="47"/>
  <c r="R180" i="47"/>
  <c r="Q180" i="47"/>
  <c r="P180" i="47"/>
  <c r="O180" i="47"/>
  <c r="BC179" i="47"/>
  <c r="BD179" i="47" s="1"/>
  <c r="BA179" i="47"/>
  <c r="BB179" i="47" s="1"/>
  <c r="AY179" i="47"/>
  <c r="AR179" i="47"/>
  <c r="AQ179" i="47"/>
  <c r="AL179" i="47"/>
  <c r="Z179" i="47"/>
  <c r="Y179" i="47"/>
  <c r="R179" i="47"/>
  <c r="Q179" i="47"/>
  <c r="P179" i="47"/>
  <c r="O179" i="47"/>
  <c r="AX178" i="47"/>
  <c r="AW178" i="47"/>
  <c r="AV178" i="47"/>
  <c r="AU178" i="47"/>
  <c r="AT178" i="47"/>
  <c r="AS178" i="47"/>
  <c r="AP178" i="47"/>
  <c r="AO178" i="47"/>
  <c r="AM178" i="47"/>
  <c r="AK178" i="47"/>
  <c r="AJ178" i="47"/>
  <c r="AH178" i="47"/>
  <c r="AG178" i="47"/>
  <c r="BC177" i="47"/>
  <c r="BD177" i="47" s="1"/>
  <c r="BA177" i="47"/>
  <c r="BB177" i="47" s="1"/>
  <c r="AY177" i="47"/>
  <c r="AR177" i="47"/>
  <c r="AQ177" i="47"/>
  <c r="AL177" i="47"/>
  <c r="Z177" i="47"/>
  <c r="Y177" i="47"/>
  <c r="R177" i="47"/>
  <c r="R176" i="47" s="1"/>
  <c r="Q177" i="47"/>
  <c r="Q176" i="47" s="1"/>
  <c r="P177" i="47"/>
  <c r="P176" i="47" s="1"/>
  <c r="O177" i="47"/>
  <c r="O176" i="47" s="1"/>
  <c r="AX176" i="47"/>
  <c r="AW176" i="47"/>
  <c r="AV176" i="47"/>
  <c r="AU176" i="47"/>
  <c r="AT176" i="47"/>
  <c r="AS176" i="47"/>
  <c r="AR176" i="47"/>
  <c r="AP176" i="47"/>
  <c r="AO176" i="47"/>
  <c r="AN176" i="47"/>
  <c r="AM176" i="47"/>
  <c r="AK176" i="47"/>
  <c r="AJ176" i="47"/>
  <c r="AI176" i="47"/>
  <c r="AH176" i="47"/>
  <c r="AG176" i="47"/>
  <c r="BC175" i="47"/>
  <c r="BD175" i="47" s="1"/>
  <c r="BA175" i="47"/>
  <c r="BB175" i="47" s="1"/>
  <c r="AY175" i="47"/>
  <c r="AR175" i="47"/>
  <c r="AQ175" i="47"/>
  <c r="AL175" i="47"/>
  <c r="Z175" i="47"/>
  <c r="Y175" i="47"/>
  <c r="R175" i="47"/>
  <c r="Q175" i="47"/>
  <c r="P175" i="47"/>
  <c r="O175" i="47"/>
  <c r="BC174" i="47"/>
  <c r="BD174" i="47" s="1"/>
  <c r="BA174" i="47"/>
  <c r="BB174" i="47" s="1"/>
  <c r="AY174" i="47"/>
  <c r="AR174" i="47"/>
  <c r="AQ174" i="47"/>
  <c r="AL174" i="47"/>
  <c r="Z174" i="47"/>
  <c r="Y174" i="47"/>
  <c r="R174" i="47"/>
  <c r="Q174" i="47"/>
  <c r="P174" i="47"/>
  <c r="O174" i="47"/>
  <c r="BC173" i="47"/>
  <c r="BD173" i="47" s="1"/>
  <c r="BA173" i="47"/>
  <c r="BB173" i="47" s="1"/>
  <c r="AY173" i="47"/>
  <c r="AR173" i="47"/>
  <c r="AQ173" i="47"/>
  <c r="AL173" i="47"/>
  <c r="Z173" i="47"/>
  <c r="Y173" i="47"/>
  <c r="R173" i="47"/>
  <c r="Q173" i="47"/>
  <c r="P173" i="47"/>
  <c r="O173" i="47"/>
  <c r="BC172" i="47"/>
  <c r="BD172" i="47" s="1"/>
  <c r="BA172" i="47"/>
  <c r="BB172" i="47" s="1"/>
  <c r="AY172" i="47"/>
  <c r="AR172" i="47"/>
  <c r="AQ172" i="47"/>
  <c r="AL172" i="47"/>
  <c r="Z172" i="47"/>
  <c r="Y172" i="47"/>
  <c r="R172" i="47"/>
  <c r="Q172" i="47"/>
  <c r="P172" i="47"/>
  <c r="O172" i="47"/>
  <c r="BC171" i="47"/>
  <c r="BD171" i="47" s="1"/>
  <c r="BA171" i="47"/>
  <c r="BB171" i="47" s="1"/>
  <c r="AY171" i="47"/>
  <c r="AR171" i="47"/>
  <c r="AQ171" i="47"/>
  <c r="AL171" i="47"/>
  <c r="Z171" i="47"/>
  <c r="Y171" i="47"/>
  <c r="R171" i="47"/>
  <c r="Q171" i="47"/>
  <c r="P171" i="47"/>
  <c r="O171" i="47"/>
  <c r="BC170" i="47"/>
  <c r="BD170" i="47" s="1"/>
  <c r="BA170" i="47"/>
  <c r="BB170" i="47" s="1"/>
  <c r="AY170" i="47"/>
  <c r="AR170" i="47"/>
  <c r="AQ170" i="47"/>
  <c r="AL170" i="47"/>
  <c r="Z170" i="47"/>
  <c r="Y170" i="47"/>
  <c r="R170" i="47"/>
  <c r="Q170" i="47"/>
  <c r="P170" i="47"/>
  <c r="O170" i="47"/>
  <c r="BC169" i="47"/>
  <c r="BD169" i="47" s="1"/>
  <c r="BA169" i="47"/>
  <c r="BB169" i="47" s="1"/>
  <c r="AY169" i="47"/>
  <c r="AR169" i="47"/>
  <c r="AQ169" i="47"/>
  <c r="AL169" i="47"/>
  <c r="Z169" i="47"/>
  <c r="Y169" i="47"/>
  <c r="R169" i="47"/>
  <c r="Q169" i="47"/>
  <c r="P169" i="47"/>
  <c r="O169" i="47"/>
  <c r="AX168" i="47"/>
  <c r="AW168" i="47"/>
  <c r="AV168" i="47"/>
  <c r="AU168" i="47"/>
  <c r="AT168" i="47"/>
  <c r="AS168" i="47"/>
  <c r="AP168" i="47"/>
  <c r="AO168" i="47"/>
  <c r="AN168" i="47"/>
  <c r="AM168" i="47"/>
  <c r="AK168" i="47"/>
  <c r="AJ168" i="47"/>
  <c r="AI168" i="47"/>
  <c r="AH168" i="47"/>
  <c r="AG168" i="47"/>
  <c r="BC166" i="47"/>
  <c r="BD166" i="47" s="1"/>
  <c r="BA166" i="47"/>
  <c r="BB166" i="47" s="1"/>
  <c r="AY166" i="47"/>
  <c r="AR166" i="47"/>
  <c r="AQ166" i="47"/>
  <c r="AL166" i="47"/>
  <c r="Z166" i="47"/>
  <c r="Y166" i="47"/>
  <c r="R166" i="47"/>
  <c r="R165" i="47" s="1"/>
  <c r="Q166" i="47"/>
  <c r="P166" i="47"/>
  <c r="O166" i="47"/>
  <c r="AX165" i="47"/>
  <c r="AW165" i="47"/>
  <c r="AV165" i="47"/>
  <c r="AU165" i="47"/>
  <c r="AT165" i="47"/>
  <c r="AS165" i="47"/>
  <c r="AR165" i="47"/>
  <c r="AO165" i="47"/>
  <c r="AN165" i="47"/>
  <c r="AM165" i="47"/>
  <c r="AK165" i="47"/>
  <c r="AJ165" i="47"/>
  <c r="AI165" i="47"/>
  <c r="AH165" i="47"/>
  <c r="AG165" i="47"/>
  <c r="AQ165" i="47" s="1"/>
  <c r="Z165" i="47"/>
  <c r="Q165" i="47"/>
  <c r="P165" i="47"/>
  <c r="O165" i="47"/>
  <c r="BC164" i="47"/>
  <c r="BD164" i="47" s="1"/>
  <c r="BA164" i="47"/>
  <c r="BB164" i="47" s="1"/>
  <c r="AY164" i="47"/>
  <c r="AR164" i="47"/>
  <c r="AR163" i="47" s="1"/>
  <c r="AQ164" i="47"/>
  <c r="AL164" i="47"/>
  <c r="Z164" i="47"/>
  <c r="Y164" i="47"/>
  <c r="R164" i="47"/>
  <c r="R163" i="47" s="1"/>
  <c r="Q164" i="47"/>
  <c r="Q163" i="47" s="1"/>
  <c r="P164" i="47"/>
  <c r="P163" i="47" s="1"/>
  <c r="O164" i="47"/>
  <c r="O163" i="47" s="1"/>
  <c r="AX163" i="47"/>
  <c r="AW163" i="47"/>
  <c r="AV163" i="47"/>
  <c r="AU163" i="47"/>
  <c r="AT163" i="47"/>
  <c r="AS163" i="47"/>
  <c r="AP163" i="47"/>
  <c r="AO163" i="47"/>
  <c r="AN163" i="47"/>
  <c r="AM163" i="47"/>
  <c r="AK163" i="47"/>
  <c r="AJ163" i="47"/>
  <c r="AI163" i="47"/>
  <c r="AH163" i="47"/>
  <c r="AG163" i="47"/>
  <c r="BC162" i="47"/>
  <c r="BD162" i="47" s="1"/>
  <c r="BA162" i="47"/>
  <c r="BB162" i="47" s="1"/>
  <c r="AY162" i="47"/>
  <c r="AR162" i="47"/>
  <c r="AR161" i="47" s="1"/>
  <c r="AQ162" i="47"/>
  <c r="AL162" i="47"/>
  <c r="Z162" i="47"/>
  <c r="Y162" i="47"/>
  <c r="R162" i="47"/>
  <c r="R161" i="47" s="1"/>
  <c r="Q162" i="47"/>
  <c r="Q161" i="47" s="1"/>
  <c r="P162" i="47"/>
  <c r="P161" i="47" s="1"/>
  <c r="O162" i="47"/>
  <c r="O161" i="47" s="1"/>
  <c r="AX161" i="47"/>
  <c r="AW161" i="47"/>
  <c r="AV161" i="47"/>
  <c r="AU161" i="47"/>
  <c r="AT161" i="47"/>
  <c r="AS161" i="47"/>
  <c r="AP161" i="47"/>
  <c r="AO161" i="47"/>
  <c r="AN161" i="47"/>
  <c r="AM161" i="47"/>
  <c r="AK161" i="47"/>
  <c r="AJ161" i="47"/>
  <c r="AI161" i="47"/>
  <c r="AH161" i="47"/>
  <c r="AG161" i="47"/>
  <c r="BC160" i="47"/>
  <c r="BD160" i="47" s="1"/>
  <c r="BA160" i="47"/>
  <c r="BB160" i="47" s="1"/>
  <c r="AY160" i="47"/>
  <c r="AR160" i="47"/>
  <c r="AQ160" i="47"/>
  <c r="AL160" i="47"/>
  <c r="Z160" i="47"/>
  <c r="Y160" i="47"/>
  <c r="R160" i="47"/>
  <c r="Q160" i="47"/>
  <c r="P160" i="47"/>
  <c r="O160" i="47"/>
  <c r="BC159" i="47"/>
  <c r="BD159" i="47" s="1"/>
  <c r="BA159" i="47"/>
  <c r="BB159" i="47" s="1"/>
  <c r="AY159" i="47"/>
  <c r="AR159" i="47"/>
  <c r="AQ159" i="47"/>
  <c r="AL159" i="47"/>
  <c r="Z159" i="47"/>
  <c r="Y159" i="47"/>
  <c r="R159" i="47"/>
  <c r="R158" i="47" s="1"/>
  <c r="Q159" i="47"/>
  <c r="P159" i="47"/>
  <c r="P158" i="47" s="1"/>
  <c r="O159" i="47"/>
  <c r="AX158" i="47"/>
  <c r="AW158" i="47"/>
  <c r="AV158" i="47"/>
  <c r="AU158" i="47"/>
  <c r="AT158" i="47"/>
  <c r="AS158" i="47"/>
  <c r="AP158" i="47"/>
  <c r="AO158" i="47"/>
  <c r="AN158" i="47"/>
  <c r="AM158" i="47"/>
  <c r="AK158" i="47"/>
  <c r="AJ158" i="47"/>
  <c r="AI158" i="47"/>
  <c r="AH158" i="47"/>
  <c r="AG158" i="47"/>
  <c r="BC156" i="47"/>
  <c r="BD156" i="47" s="1"/>
  <c r="BA156" i="47"/>
  <c r="BB156" i="47" s="1"/>
  <c r="AY156" i="47"/>
  <c r="AR156" i="47"/>
  <c r="AR155" i="47" s="1"/>
  <c r="AQ156" i="47"/>
  <c r="Z156" i="47"/>
  <c r="Y156" i="47"/>
  <c r="R156" i="47"/>
  <c r="R155" i="47" s="1"/>
  <c r="Q156" i="47"/>
  <c r="Q155" i="47" s="1"/>
  <c r="P156" i="47"/>
  <c r="P155" i="47" s="1"/>
  <c r="O156" i="47"/>
  <c r="O155" i="47" s="1"/>
  <c r="AX155" i="47"/>
  <c r="AW155" i="47"/>
  <c r="AV155" i="47"/>
  <c r="AU155" i="47"/>
  <c r="AT155" i="47"/>
  <c r="AS155" i="47"/>
  <c r="AO155" i="47"/>
  <c r="AN155" i="47"/>
  <c r="AM155" i="47"/>
  <c r="AK155" i="47"/>
  <c r="AJ155" i="47"/>
  <c r="AI155" i="47"/>
  <c r="AH155" i="47"/>
  <c r="AG155" i="47"/>
  <c r="AQ155" i="47" s="1"/>
  <c r="Z155" i="47"/>
  <c r="BC154" i="47"/>
  <c r="BD154" i="47" s="1"/>
  <c r="BA154" i="47"/>
  <c r="BB154" i="47" s="1"/>
  <c r="AY154" i="47"/>
  <c r="AR154" i="47"/>
  <c r="AQ154" i="47"/>
  <c r="AL154" i="47"/>
  <c r="Z154" i="47"/>
  <c r="Y154" i="47"/>
  <c r="R154" i="47"/>
  <c r="R153" i="47" s="1"/>
  <c r="Q154" i="47"/>
  <c r="Q153" i="47" s="1"/>
  <c r="P154" i="47"/>
  <c r="P153" i="47" s="1"/>
  <c r="O154" i="47"/>
  <c r="O153" i="47" s="1"/>
  <c r="AX153" i="47"/>
  <c r="AW153" i="47"/>
  <c r="AV153" i="47"/>
  <c r="AU153" i="47"/>
  <c r="AT153" i="47"/>
  <c r="AS153" i="47"/>
  <c r="AR153" i="47"/>
  <c r="AP153" i="47"/>
  <c r="AO153" i="47"/>
  <c r="AN153" i="47"/>
  <c r="AM153" i="47"/>
  <c r="AK153" i="47"/>
  <c r="AJ153" i="47"/>
  <c r="AI153" i="47"/>
  <c r="AH153" i="47"/>
  <c r="AG153" i="47"/>
  <c r="Z153" i="47"/>
  <c r="BC152" i="47"/>
  <c r="BD152" i="47" s="1"/>
  <c r="BA152" i="47"/>
  <c r="BB152" i="47" s="1"/>
  <c r="AY152" i="47"/>
  <c r="AR152" i="47"/>
  <c r="AR151" i="47" s="1"/>
  <c r="AQ152" i="47"/>
  <c r="AL152" i="47"/>
  <c r="Z152" i="47"/>
  <c r="Y152" i="47"/>
  <c r="R152" i="47"/>
  <c r="R151" i="47" s="1"/>
  <c r="Q152" i="47"/>
  <c r="Q151" i="47" s="1"/>
  <c r="P152" i="47"/>
  <c r="P151" i="47" s="1"/>
  <c r="O152" i="47"/>
  <c r="O151" i="47" s="1"/>
  <c r="AX151" i="47"/>
  <c r="AW151" i="47"/>
  <c r="AV151" i="47"/>
  <c r="AU151" i="47"/>
  <c r="AT151" i="47"/>
  <c r="AS151" i="47"/>
  <c r="AP151" i="47"/>
  <c r="AO151" i="47"/>
  <c r="AN151" i="47"/>
  <c r="AM151" i="47"/>
  <c r="AK151" i="47"/>
  <c r="AJ151" i="47"/>
  <c r="AI151" i="47"/>
  <c r="AH151" i="47"/>
  <c r="AG151" i="47"/>
  <c r="Z151" i="47"/>
  <c r="Z150" i="47"/>
  <c r="BC149" i="47"/>
  <c r="BD149" i="47" s="1"/>
  <c r="BA149" i="47"/>
  <c r="BB149" i="47" s="1"/>
  <c r="AY149" i="47"/>
  <c r="AR149" i="47"/>
  <c r="AR148" i="47" s="1"/>
  <c r="AR147" i="47" s="1"/>
  <c r="AQ149" i="47"/>
  <c r="AL149" i="47"/>
  <c r="Z149" i="47"/>
  <c r="Y149" i="47"/>
  <c r="R149" i="47"/>
  <c r="R148" i="47" s="1"/>
  <c r="R147" i="47" s="1"/>
  <c r="Q149" i="47"/>
  <c r="Q148" i="47" s="1"/>
  <c r="Q147" i="47" s="1"/>
  <c r="P149" i="47"/>
  <c r="P148" i="47" s="1"/>
  <c r="P147" i="47" s="1"/>
  <c r="O149" i="47"/>
  <c r="O148" i="47" s="1"/>
  <c r="O147" i="47" s="1"/>
  <c r="AX148" i="47"/>
  <c r="AX147" i="47" s="1"/>
  <c r="AW148" i="47"/>
  <c r="AW147" i="47" s="1"/>
  <c r="AV148" i="47"/>
  <c r="AV147" i="47" s="1"/>
  <c r="AU148" i="47"/>
  <c r="AU147" i="47" s="1"/>
  <c r="AT148" i="47"/>
  <c r="AT147" i="47" s="1"/>
  <c r="AS148" i="47"/>
  <c r="AS147" i="47" s="1"/>
  <c r="AP148" i="47"/>
  <c r="AP147" i="47" s="1"/>
  <c r="AO148" i="47"/>
  <c r="AO147" i="47" s="1"/>
  <c r="AN148" i="47"/>
  <c r="AN147" i="47" s="1"/>
  <c r="AM148" i="47"/>
  <c r="AK148" i="47"/>
  <c r="AK147" i="47" s="1"/>
  <c r="AJ148" i="47"/>
  <c r="AJ147" i="47" s="1"/>
  <c r="AI148" i="47"/>
  <c r="AI147" i="47" s="1"/>
  <c r="AH148" i="47"/>
  <c r="AH147" i="47" s="1"/>
  <c r="AG148" i="47"/>
  <c r="AG147" i="47" s="1"/>
  <c r="BC145" i="47"/>
  <c r="BD145" i="47" s="1"/>
  <c r="BA145" i="47"/>
  <c r="BB145" i="47" s="1"/>
  <c r="AY145" i="47"/>
  <c r="AR145" i="47"/>
  <c r="AQ145" i="47"/>
  <c r="AL145" i="47"/>
  <c r="Z145" i="47"/>
  <c r="Y145" i="47"/>
  <c r="R145" i="47"/>
  <c r="R144" i="47" s="1"/>
  <c r="Q145" i="47"/>
  <c r="Q144" i="47" s="1"/>
  <c r="P145" i="47"/>
  <c r="P144" i="47" s="1"/>
  <c r="O145" i="47"/>
  <c r="O144" i="47" s="1"/>
  <c r="AX144" i="47"/>
  <c r="AW144" i="47"/>
  <c r="AV144" i="47"/>
  <c r="AU144" i="47"/>
  <c r="AT144" i="47"/>
  <c r="AS144" i="47"/>
  <c r="AR144" i="47"/>
  <c r="AP144" i="47"/>
  <c r="AO144" i="47"/>
  <c r="AN144" i="47"/>
  <c r="AM144" i="47"/>
  <c r="AK144" i="47"/>
  <c r="AJ144" i="47"/>
  <c r="AI144" i="47"/>
  <c r="AH144" i="47"/>
  <c r="AG144" i="47"/>
  <c r="BC143" i="47"/>
  <c r="BD143" i="47" s="1"/>
  <c r="BA143" i="47"/>
  <c r="BB143" i="47" s="1"/>
  <c r="AY143" i="47"/>
  <c r="AR143" i="47"/>
  <c r="AQ143" i="47"/>
  <c r="AL143" i="47"/>
  <c r="Z143" i="47"/>
  <c r="Y143" i="47"/>
  <c r="R143" i="47"/>
  <c r="Q143" i="47"/>
  <c r="P143" i="47"/>
  <c r="O143" i="47"/>
  <c r="BC142" i="47"/>
  <c r="BD142" i="47" s="1"/>
  <c r="BA142" i="47"/>
  <c r="BB142" i="47" s="1"/>
  <c r="AY142" i="47"/>
  <c r="AR142" i="47"/>
  <c r="AQ142" i="47"/>
  <c r="AL142" i="47"/>
  <c r="Z142" i="47"/>
  <c r="Y142" i="47"/>
  <c r="R142" i="47"/>
  <c r="Q142" i="47"/>
  <c r="P142" i="47"/>
  <c r="O142" i="47"/>
  <c r="AX141" i="47"/>
  <c r="AW141" i="47"/>
  <c r="AV141" i="47"/>
  <c r="AU141" i="47"/>
  <c r="AT141" i="47"/>
  <c r="AS141" i="47"/>
  <c r="AP141" i="47"/>
  <c r="AO141" i="47"/>
  <c r="AN141" i="47"/>
  <c r="AM141" i="47"/>
  <c r="AK141" i="47"/>
  <c r="AJ141" i="47"/>
  <c r="AI141" i="47"/>
  <c r="AH141" i="47"/>
  <c r="AG141" i="47"/>
  <c r="BC139" i="47"/>
  <c r="BD139" i="47" s="1"/>
  <c r="BA139" i="47"/>
  <c r="BB139" i="47" s="1"/>
  <c r="AY139" i="47"/>
  <c r="AR139" i="47"/>
  <c r="AQ139" i="47"/>
  <c r="AL139" i="47"/>
  <c r="Z139" i="47"/>
  <c r="Y139" i="47"/>
  <c r="R139" i="47"/>
  <c r="Q139" i="47"/>
  <c r="P139" i="47"/>
  <c r="O139" i="47"/>
  <c r="BC138" i="47"/>
  <c r="BD138" i="47" s="1"/>
  <c r="BA138" i="47"/>
  <c r="BB138" i="47" s="1"/>
  <c r="AY138" i="47"/>
  <c r="AR138" i="47"/>
  <c r="AQ138" i="47"/>
  <c r="AL138" i="47"/>
  <c r="Z138" i="47"/>
  <c r="Y138" i="47"/>
  <c r="R138" i="47"/>
  <c r="Q138" i="47"/>
  <c r="P138" i="47"/>
  <c r="O138" i="47"/>
  <c r="BC137" i="47"/>
  <c r="BD137" i="47" s="1"/>
  <c r="BA137" i="47"/>
  <c r="BB137" i="47" s="1"/>
  <c r="AY137" i="47"/>
  <c r="AR137" i="47"/>
  <c r="AQ137" i="47"/>
  <c r="AL137" i="47"/>
  <c r="Z137" i="47"/>
  <c r="Y137" i="47"/>
  <c r="R137" i="47"/>
  <c r="Q137" i="47"/>
  <c r="P137" i="47"/>
  <c r="O137" i="47"/>
  <c r="BC136" i="47"/>
  <c r="BD136" i="47" s="1"/>
  <c r="BA136" i="47"/>
  <c r="BB136" i="47" s="1"/>
  <c r="AY136" i="47"/>
  <c r="AR136" i="47"/>
  <c r="AQ136" i="47"/>
  <c r="AL136" i="47"/>
  <c r="Z136" i="47"/>
  <c r="Y136" i="47"/>
  <c r="R136" i="47"/>
  <c r="Q136" i="47"/>
  <c r="P136" i="47"/>
  <c r="O136" i="47"/>
  <c r="AX135" i="47"/>
  <c r="AW135" i="47"/>
  <c r="AW134" i="47" s="1"/>
  <c r="AV135" i="47"/>
  <c r="AV134" i="47" s="1"/>
  <c r="AU135" i="47"/>
  <c r="AU134" i="47" s="1"/>
  <c r="AT135" i="47"/>
  <c r="AS135" i="47"/>
  <c r="AS134" i="47" s="1"/>
  <c r="AP135" i="47"/>
  <c r="AP134" i="47" s="1"/>
  <c r="AO135" i="47"/>
  <c r="AO134" i="47" s="1"/>
  <c r="AN135" i="47"/>
  <c r="AN134" i="47" s="1"/>
  <c r="AM135" i="47"/>
  <c r="AM134" i="47" s="1"/>
  <c r="AK135" i="47"/>
  <c r="AK134" i="47" s="1"/>
  <c r="AJ135" i="47"/>
  <c r="AJ134" i="47" s="1"/>
  <c r="AI135" i="47"/>
  <c r="AI134" i="47" s="1"/>
  <c r="AH135" i="47"/>
  <c r="AH134" i="47" s="1"/>
  <c r="AG135" i="47"/>
  <c r="BC133" i="47"/>
  <c r="BD133" i="47" s="1"/>
  <c r="BA133" i="47"/>
  <c r="BB133" i="47" s="1"/>
  <c r="AY133" i="47"/>
  <c r="AR133" i="47"/>
  <c r="AR132" i="47" s="1"/>
  <c r="AQ133" i="47"/>
  <c r="AL133" i="47"/>
  <c r="Z133" i="47"/>
  <c r="Y133" i="47"/>
  <c r="R133" i="47"/>
  <c r="R132" i="47" s="1"/>
  <c r="Q133" i="47"/>
  <c r="Q132" i="47" s="1"/>
  <c r="P133" i="47"/>
  <c r="P132" i="47" s="1"/>
  <c r="O133" i="47"/>
  <c r="O132" i="47" s="1"/>
  <c r="AX132" i="47"/>
  <c r="AW132" i="47"/>
  <c r="AV132" i="47"/>
  <c r="AU132" i="47"/>
  <c r="AT132" i="47"/>
  <c r="AS132" i="47"/>
  <c r="AP132" i="47"/>
  <c r="AO132" i="47"/>
  <c r="AN132" i="47"/>
  <c r="AM132" i="47"/>
  <c r="AK132" i="47"/>
  <c r="AJ132" i="47"/>
  <c r="AI132" i="47"/>
  <c r="AH132" i="47"/>
  <c r="AG132" i="47"/>
  <c r="BC131" i="47"/>
  <c r="BD131" i="47" s="1"/>
  <c r="AY131" i="47"/>
  <c r="AR131" i="47"/>
  <c r="AQ131" i="47"/>
  <c r="AN131" i="47"/>
  <c r="AL131" i="47"/>
  <c r="AI131" i="47"/>
  <c r="BA131" i="47" s="1"/>
  <c r="BB131" i="47" s="1"/>
  <c r="Z131" i="47"/>
  <c r="Y131" i="47"/>
  <c r="R131" i="47"/>
  <c r="Q131" i="47"/>
  <c r="P131" i="47"/>
  <c r="O131" i="47"/>
  <c r="AY130" i="47"/>
  <c r="AR130" i="47"/>
  <c r="AQ130" i="47"/>
  <c r="AN130" i="47"/>
  <c r="BC130" i="47" s="1"/>
  <c r="BD130" i="47" s="1"/>
  <c r="AL130" i="47"/>
  <c r="AI130" i="47"/>
  <c r="Z130" i="47"/>
  <c r="Y130" i="47"/>
  <c r="R130" i="47"/>
  <c r="Q130" i="47"/>
  <c r="P130" i="47"/>
  <c r="O130" i="47"/>
  <c r="BC129" i="47"/>
  <c r="BD129" i="47" s="1"/>
  <c r="BA129" i="47"/>
  <c r="BB129" i="47" s="1"/>
  <c r="AY129" i="47"/>
  <c r="AR129" i="47"/>
  <c r="AQ129" i="47"/>
  <c r="AL129" i="47"/>
  <c r="Z129" i="47"/>
  <c r="Y129" i="47"/>
  <c r="R129" i="47"/>
  <c r="Q129" i="47"/>
  <c r="P129" i="47"/>
  <c r="O129" i="47"/>
  <c r="BC128" i="47"/>
  <c r="BD128" i="47" s="1"/>
  <c r="BA128" i="47"/>
  <c r="BB128" i="47" s="1"/>
  <c r="AY128" i="47"/>
  <c r="AR128" i="47"/>
  <c r="AQ128" i="47"/>
  <c r="AL128" i="47"/>
  <c r="Z128" i="47"/>
  <c r="Y128" i="47"/>
  <c r="R128" i="47"/>
  <c r="Q128" i="47"/>
  <c r="P128" i="47"/>
  <c r="O128" i="47"/>
  <c r="AX127" i="47"/>
  <c r="AW127" i="47"/>
  <c r="AV127" i="47"/>
  <c r="AU127" i="47"/>
  <c r="AU125" i="47" s="1"/>
  <c r="AS127" i="47"/>
  <c r="AR127" i="47"/>
  <c r="AQ127" i="47"/>
  <c r="AN127" i="47"/>
  <c r="AN125" i="47" s="1"/>
  <c r="AL127" i="47"/>
  <c r="AI127" i="47"/>
  <c r="BA127" i="47" s="1"/>
  <c r="BB127" i="47" s="1"/>
  <c r="Z127" i="47"/>
  <c r="Y127" i="47"/>
  <c r="R127" i="47"/>
  <c r="Q127" i="47"/>
  <c r="P127" i="47"/>
  <c r="O127" i="47"/>
  <c r="BC126" i="47"/>
  <c r="BD126" i="47" s="1"/>
  <c r="BA126" i="47"/>
  <c r="BB126" i="47" s="1"/>
  <c r="AY126" i="47"/>
  <c r="AX126" i="47"/>
  <c r="AW126" i="47"/>
  <c r="AW125" i="47" s="1"/>
  <c r="AV126" i="47"/>
  <c r="AV125" i="47" s="1"/>
  <c r="AU126" i="47"/>
  <c r="AS126" i="47"/>
  <c r="AR126" i="47"/>
  <c r="AQ126" i="47"/>
  <c r="AN126" i="47"/>
  <c r="AL126" i="47"/>
  <c r="AI126" i="47"/>
  <c r="Z126" i="47"/>
  <c r="Y126" i="47"/>
  <c r="R126" i="47"/>
  <c r="Q126" i="47"/>
  <c r="P126" i="47"/>
  <c r="O126" i="47"/>
  <c r="AT125" i="47"/>
  <c r="AS125" i="47"/>
  <c r="AP125" i="47"/>
  <c r="AO125" i="47"/>
  <c r="AM125" i="47"/>
  <c r="AK125" i="47"/>
  <c r="AJ125" i="47"/>
  <c r="AH125" i="47"/>
  <c r="AG125" i="47"/>
  <c r="BC124" i="47"/>
  <c r="BD124" i="47" s="1"/>
  <c r="BA124" i="47"/>
  <c r="BB124" i="47" s="1"/>
  <c r="AY124" i="47"/>
  <c r="AR124" i="47"/>
  <c r="AQ124" i="47"/>
  <c r="AL124" i="47"/>
  <c r="Z124" i="47"/>
  <c r="Y124" i="47"/>
  <c r="R124" i="47"/>
  <c r="Q124" i="47"/>
  <c r="P124" i="47"/>
  <c r="O124" i="47"/>
  <c r="AY123" i="47"/>
  <c r="AX123" i="47"/>
  <c r="AX121" i="47" s="1"/>
  <c r="AW123" i="47"/>
  <c r="AV123" i="47"/>
  <c r="AU123" i="47"/>
  <c r="AT123" i="47"/>
  <c r="BC123" i="47" s="1"/>
  <c r="BD123" i="47" s="1"/>
  <c r="AS123" i="47"/>
  <c r="AS121" i="47" s="1"/>
  <c r="AR123" i="47"/>
  <c r="AQ123" i="47"/>
  <c r="AN123" i="47"/>
  <c r="AL123" i="47"/>
  <c r="AI123" i="47"/>
  <c r="BA123" i="47" s="1"/>
  <c r="BB123" i="47" s="1"/>
  <c r="Z123" i="47"/>
  <c r="Y123" i="47"/>
  <c r="R123" i="47"/>
  <c r="Q123" i="47"/>
  <c r="P123" i="47"/>
  <c r="O123" i="47"/>
  <c r="AY122" i="47"/>
  <c r="AX122" i="47"/>
  <c r="AW122" i="47"/>
  <c r="AV122" i="47"/>
  <c r="AU122" i="47"/>
  <c r="AT122" i="47"/>
  <c r="AS122" i="47"/>
  <c r="AR122" i="47"/>
  <c r="AQ122" i="47"/>
  <c r="AN122" i="47"/>
  <c r="AN121" i="47" s="1"/>
  <c r="AL122" i="47"/>
  <c r="AI122" i="47"/>
  <c r="Z122" i="47"/>
  <c r="Y122" i="47"/>
  <c r="R122" i="47"/>
  <c r="Q122" i="47"/>
  <c r="P122" i="47"/>
  <c r="O122" i="47"/>
  <c r="AW121" i="47"/>
  <c r="AV121" i="47"/>
  <c r="AU121" i="47"/>
  <c r="AP121" i="47"/>
  <c r="AO121" i="47"/>
  <c r="AM121" i="47"/>
  <c r="AK121" i="47"/>
  <c r="AJ121" i="47"/>
  <c r="AH121" i="47"/>
  <c r="AG121" i="47"/>
  <c r="BC120" i="47"/>
  <c r="BD120" i="47" s="1"/>
  <c r="BA120" i="47"/>
  <c r="BB120" i="47" s="1"/>
  <c r="AY120" i="47"/>
  <c r="AR120" i="47"/>
  <c r="AQ120" i="47"/>
  <c r="AL120" i="47"/>
  <c r="Z120" i="47"/>
  <c r="Y120" i="47"/>
  <c r="R120" i="47"/>
  <c r="Q120" i="47"/>
  <c r="P120" i="47"/>
  <c r="O120" i="47"/>
  <c r="BC119" i="47"/>
  <c r="BD119" i="47" s="1"/>
  <c r="BA119" i="47"/>
  <c r="BB119" i="47" s="1"/>
  <c r="AY119" i="47"/>
  <c r="AR119" i="47"/>
  <c r="AQ119" i="47"/>
  <c r="AL119" i="47"/>
  <c r="Z119" i="47"/>
  <c r="Y119" i="47"/>
  <c r="R119" i="47"/>
  <c r="Q119" i="47"/>
  <c r="P119" i="47"/>
  <c r="O119" i="47"/>
  <c r="AX118" i="47"/>
  <c r="AW118" i="47"/>
  <c r="AV118" i="47"/>
  <c r="AU118" i="47"/>
  <c r="AT118" i="47"/>
  <c r="AS118" i="47"/>
  <c r="AP118" i="47"/>
  <c r="AO118" i="47"/>
  <c r="AN118" i="47"/>
  <c r="AM118" i="47"/>
  <c r="AK118" i="47"/>
  <c r="AJ118" i="47"/>
  <c r="AI118" i="47"/>
  <c r="AH118" i="47"/>
  <c r="AG118" i="47"/>
  <c r="BC116" i="47"/>
  <c r="BD116" i="47" s="1"/>
  <c r="BA116" i="47"/>
  <c r="BB116" i="47" s="1"/>
  <c r="AY116" i="47"/>
  <c r="AR116" i="47"/>
  <c r="AQ116" i="47"/>
  <c r="AL116" i="47"/>
  <c r="Z116" i="47"/>
  <c r="Y116" i="47"/>
  <c r="R116" i="47"/>
  <c r="Q116" i="47"/>
  <c r="P116" i="47"/>
  <c r="O116" i="47"/>
  <c r="BC115" i="47"/>
  <c r="BD115" i="47" s="1"/>
  <c r="BA115" i="47"/>
  <c r="BB115" i="47" s="1"/>
  <c r="AY115" i="47"/>
  <c r="AR115" i="47"/>
  <c r="AQ115" i="47"/>
  <c r="AL115" i="47"/>
  <c r="Z115" i="47"/>
  <c r="Y115" i="47"/>
  <c r="R115" i="47"/>
  <c r="Q115" i="47"/>
  <c r="P115" i="47"/>
  <c r="P114" i="47" s="1"/>
  <c r="O115" i="47"/>
  <c r="AX114" i="47"/>
  <c r="AW114" i="47"/>
  <c r="AV114" i="47"/>
  <c r="AU114" i="47"/>
  <c r="AT114" i="47"/>
  <c r="AS114" i="47"/>
  <c r="AO114" i="47"/>
  <c r="AN114" i="47"/>
  <c r="AM114" i="47"/>
  <c r="AK114" i="47"/>
  <c r="AJ114" i="47"/>
  <c r="AI114" i="47"/>
  <c r="AH114" i="47"/>
  <c r="AG114" i="47"/>
  <c r="AQ114" i="47" s="1"/>
  <c r="BC113" i="47"/>
  <c r="BD113" i="47" s="1"/>
  <c r="BA113" i="47"/>
  <c r="BB113" i="47" s="1"/>
  <c r="AY113" i="47"/>
  <c r="AR113" i="47"/>
  <c r="AQ113" i="47"/>
  <c r="AL113" i="47"/>
  <c r="Z113" i="47"/>
  <c r="Y113" i="47"/>
  <c r="R113" i="47"/>
  <c r="Q113" i="47"/>
  <c r="P113" i="47"/>
  <c r="O113" i="47"/>
  <c r="BC112" i="47"/>
  <c r="BD112" i="47" s="1"/>
  <c r="BA112" i="47"/>
  <c r="BB112" i="47" s="1"/>
  <c r="AY112" i="47"/>
  <c r="AR112" i="47"/>
  <c r="AQ112" i="47"/>
  <c r="AL112" i="47"/>
  <c r="Z112" i="47"/>
  <c r="Y112" i="47"/>
  <c r="R112" i="47"/>
  <c r="R111" i="47" s="1"/>
  <c r="Q112" i="47"/>
  <c r="P112" i="47"/>
  <c r="O112" i="47"/>
  <c r="AX111" i="47"/>
  <c r="AW111" i="47"/>
  <c r="AV111" i="47"/>
  <c r="AU111" i="47"/>
  <c r="AT111" i="47"/>
  <c r="AS111" i="47"/>
  <c r="AP111" i="47"/>
  <c r="AO111" i="47"/>
  <c r="AN111" i="47"/>
  <c r="AM111" i="47"/>
  <c r="AK111" i="47"/>
  <c r="AJ111" i="47"/>
  <c r="AI111" i="47"/>
  <c r="AH111" i="47"/>
  <c r="AG111" i="47"/>
  <c r="BC110" i="47"/>
  <c r="BD110" i="47" s="1"/>
  <c r="BA110" i="47"/>
  <c r="BB110" i="47" s="1"/>
  <c r="AY110" i="47"/>
  <c r="AR110" i="47"/>
  <c r="AQ110" i="47"/>
  <c r="AL110" i="47"/>
  <c r="Z110" i="47"/>
  <c r="Y110" i="47"/>
  <c r="R110" i="47"/>
  <c r="Q110" i="47"/>
  <c r="P110" i="47"/>
  <c r="O110" i="47"/>
  <c r="BC109" i="47"/>
  <c r="BD109" i="47" s="1"/>
  <c r="BA109" i="47"/>
  <c r="BB109" i="47" s="1"/>
  <c r="AY109" i="47"/>
  <c r="AR109" i="47"/>
  <c r="AQ109" i="47"/>
  <c r="AL109" i="47"/>
  <c r="Z109" i="47"/>
  <c r="Y109" i="47"/>
  <c r="R109" i="47"/>
  <c r="Q109" i="47"/>
  <c r="P109" i="47"/>
  <c r="O109" i="47"/>
  <c r="BC108" i="47"/>
  <c r="BD108" i="47" s="1"/>
  <c r="BA108" i="47"/>
  <c r="BB108" i="47" s="1"/>
  <c r="AY108" i="47"/>
  <c r="AR108" i="47"/>
  <c r="AQ108" i="47"/>
  <c r="AL108" i="47"/>
  <c r="Z108" i="47"/>
  <c r="Y108" i="47"/>
  <c r="R108" i="47"/>
  <c r="Q108" i="47"/>
  <c r="P108" i="47"/>
  <c r="O108" i="47"/>
  <c r="BC107" i="47"/>
  <c r="BD107" i="47" s="1"/>
  <c r="BA107" i="47"/>
  <c r="BB107" i="47" s="1"/>
  <c r="AY107" i="47"/>
  <c r="AR107" i="47"/>
  <c r="AQ107" i="47"/>
  <c r="AL107" i="47"/>
  <c r="Z107" i="47"/>
  <c r="Y107" i="47"/>
  <c r="R107" i="47"/>
  <c r="Q107" i="47"/>
  <c r="P107" i="47"/>
  <c r="O107" i="47"/>
  <c r="BC106" i="47"/>
  <c r="BD106" i="47" s="1"/>
  <c r="BA106" i="47"/>
  <c r="BB106" i="47" s="1"/>
  <c r="AY106" i="47"/>
  <c r="AR106" i="47"/>
  <c r="AQ106" i="47"/>
  <c r="AL106" i="47"/>
  <c r="Z106" i="47"/>
  <c r="Y106" i="47"/>
  <c r="R106" i="47"/>
  <c r="Q106" i="47"/>
  <c r="P106" i="47"/>
  <c r="O106" i="47"/>
  <c r="AX105" i="47"/>
  <c r="AW105" i="47"/>
  <c r="AV105" i="47"/>
  <c r="AU105" i="47"/>
  <c r="AT105" i="47"/>
  <c r="AS105" i="47"/>
  <c r="AP105" i="47"/>
  <c r="AO105" i="47"/>
  <c r="AN105" i="47"/>
  <c r="AM105" i="47"/>
  <c r="AK105" i="47"/>
  <c r="AJ105" i="47"/>
  <c r="AI105" i="47"/>
  <c r="AH105" i="47"/>
  <c r="AG105" i="47"/>
  <c r="BC104" i="47"/>
  <c r="BD104" i="47" s="1"/>
  <c r="BA104" i="47"/>
  <c r="BB104" i="47" s="1"/>
  <c r="AY104" i="47"/>
  <c r="AR104" i="47"/>
  <c r="AQ104" i="47"/>
  <c r="AL104" i="47"/>
  <c r="Z104" i="47"/>
  <c r="Y104" i="47"/>
  <c r="R104" i="47"/>
  <c r="Q104" i="47"/>
  <c r="P104" i="47"/>
  <c r="O104" i="47"/>
  <c r="BC103" i="47"/>
  <c r="BD103" i="47" s="1"/>
  <c r="BA103" i="47"/>
  <c r="BB103" i="47" s="1"/>
  <c r="AY103" i="47"/>
  <c r="AR103" i="47"/>
  <c r="AQ103" i="47"/>
  <c r="AL103" i="47"/>
  <c r="Z103" i="47"/>
  <c r="Y103" i="47"/>
  <c r="R103" i="47"/>
  <c r="Q103" i="47"/>
  <c r="P103" i="47"/>
  <c r="O103" i="47"/>
  <c r="BC102" i="47"/>
  <c r="BD102" i="47" s="1"/>
  <c r="BA102" i="47"/>
  <c r="BB102" i="47" s="1"/>
  <c r="AY102" i="47"/>
  <c r="AR102" i="47"/>
  <c r="AQ102" i="47"/>
  <c r="AL102" i="47"/>
  <c r="Z102" i="47"/>
  <c r="Y102" i="47"/>
  <c r="R102" i="47"/>
  <c r="Q102" i="47"/>
  <c r="P102" i="47"/>
  <c r="O102" i="47"/>
  <c r="AX101" i="47"/>
  <c r="AW101" i="47"/>
  <c r="AV101" i="47"/>
  <c r="AU101" i="47"/>
  <c r="AT101" i="47"/>
  <c r="AS101" i="47"/>
  <c r="AP101" i="47"/>
  <c r="AO101" i="47"/>
  <c r="AN101" i="47"/>
  <c r="AM101" i="47"/>
  <c r="AK101" i="47"/>
  <c r="AJ101" i="47"/>
  <c r="AI101" i="47"/>
  <c r="AH101" i="47"/>
  <c r="AG101" i="47"/>
  <c r="BC98" i="47"/>
  <c r="BD98" i="47" s="1"/>
  <c r="BA98" i="47"/>
  <c r="BB98" i="47" s="1"/>
  <c r="AY98" i="47"/>
  <c r="AR98" i="47"/>
  <c r="AR97" i="47" s="1"/>
  <c r="AQ98" i="47"/>
  <c r="AL98" i="47"/>
  <c r="Z98" i="47"/>
  <c r="Y98" i="47"/>
  <c r="R98" i="47"/>
  <c r="R97" i="47" s="1"/>
  <c r="Q98" i="47"/>
  <c r="Q97" i="47" s="1"/>
  <c r="P98" i="47"/>
  <c r="P97" i="47" s="1"/>
  <c r="O98" i="47"/>
  <c r="O97" i="47" s="1"/>
  <c r="AX97" i="47"/>
  <c r="AW97" i="47"/>
  <c r="AV97" i="47"/>
  <c r="AU97" i="47"/>
  <c r="AT97" i="47"/>
  <c r="AS97" i="47"/>
  <c r="AP97" i="47"/>
  <c r="AO97" i="47"/>
  <c r="AN97" i="47"/>
  <c r="AM97" i="47"/>
  <c r="AK97" i="47"/>
  <c r="AJ97" i="47"/>
  <c r="AI97" i="47"/>
  <c r="AH97" i="47"/>
  <c r="AG97" i="47"/>
  <c r="BC96" i="47"/>
  <c r="BD96" i="47" s="1"/>
  <c r="BA96" i="47"/>
  <c r="BB96" i="47" s="1"/>
  <c r="AY96" i="47"/>
  <c r="AR96" i="47"/>
  <c r="AQ96" i="47"/>
  <c r="AL96" i="47"/>
  <c r="Z96" i="47"/>
  <c r="Y96" i="47"/>
  <c r="R96" i="47"/>
  <c r="Q96" i="47"/>
  <c r="P96" i="47"/>
  <c r="O96" i="47"/>
  <c r="BC95" i="47"/>
  <c r="BD95" i="47" s="1"/>
  <c r="BA95" i="47"/>
  <c r="BB95" i="47" s="1"/>
  <c r="AY95" i="47"/>
  <c r="AR95" i="47"/>
  <c r="AQ95" i="47"/>
  <c r="AL95" i="47"/>
  <c r="Z95" i="47"/>
  <c r="Y95" i="47"/>
  <c r="R95" i="47"/>
  <c r="Q95" i="47"/>
  <c r="P95" i="47"/>
  <c r="O95" i="47"/>
  <c r="BC94" i="47"/>
  <c r="BD94" i="47" s="1"/>
  <c r="BA94" i="47"/>
  <c r="BB94" i="47" s="1"/>
  <c r="AY94" i="47"/>
  <c r="AR94" i="47"/>
  <c r="AQ94" i="47"/>
  <c r="AL94" i="47"/>
  <c r="Z94" i="47"/>
  <c r="Y94" i="47"/>
  <c r="R94" i="47"/>
  <c r="Q94" i="47"/>
  <c r="P94" i="47"/>
  <c r="O94" i="47"/>
  <c r="BC93" i="47"/>
  <c r="BD93" i="47" s="1"/>
  <c r="BA93" i="47"/>
  <c r="BB93" i="47" s="1"/>
  <c r="AY93" i="47"/>
  <c r="AR93" i="47"/>
  <c r="AQ93" i="47"/>
  <c r="AL93" i="47"/>
  <c r="Z93" i="47"/>
  <c r="Y93" i="47"/>
  <c r="R93" i="47"/>
  <c r="Q93" i="47"/>
  <c r="P93" i="47"/>
  <c r="O93" i="47"/>
  <c r="AX92" i="47"/>
  <c r="AW92" i="47"/>
  <c r="AV92" i="47"/>
  <c r="AU92" i="47"/>
  <c r="AT92" i="47"/>
  <c r="AS92" i="47"/>
  <c r="AP92" i="47"/>
  <c r="AO92" i="47"/>
  <c r="AN92" i="47"/>
  <c r="AM92" i="47"/>
  <c r="AK92" i="47"/>
  <c r="AJ92" i="47"/>
  <c r="AI92" i="47"/>
  <c r="AH92" i="47"/>
  <c r="AG92" i="47"/>
  <c r="BC91" i="47"/>
  <c r="BD91" i="47" s="1"/>
  <c r="BA91" i="47"/>
  <c r="BB91" i="47" s="1"/>
  <c r="AY91" i="47"/>
  <c r="AR91" i="47"/>
  <c r="AQ91" i="47"/>
  <c r="AL91" i="47"/>
  <c r="Z91" i="47"/>
  <c r="Y91" i="47"/>
  <c r="R91" i="47"/>
  <c r="Q91" i="47"/>
  <c r="P91" i="47"/>
  <c r="O91" i="47"/>
  <c r="BC90" i="47"/>
  <c r="BD90" i="47" s="1"/>
  <c r="BA90" i="47"/>
  <c r="BB90" i="47" s="1"/>
  <c r="AY90" i="47"/>
  <c r="AR90" i="47"/>
  <c r="AQ90" i="47"/>
  <c r="AL90" i="47"/>
  <c r="Z90" i="47"/>
  <c r="Y90" i="47"/>
  <c r="R90" i="47"/>
  <c r="Q90" i="47"/>
  <c r="P90" i="47"/>
  <c r="O90" i="47"/>
  <c r="BC89" i="47"/>
  <c r="BD89" i="47" s="1"/>
  <c r="BA89" i="47"/>
  <c r="BB89" i="47" s="1"/>
  <c r="AY89" i="47"/>
  <c r="AR89" i="47"/>
  <c r="AQ89" i="47"/>
  <c r="AL89" i="47"/>
  <c r="Z89" i="47"/>
  <c r="Y89" i="47"/>
  <c r="R89" i="47"/>
  <c r="Q89" i="47"/>
  <c r="P89" i="47"/>
  <c r="O89" i="47"/>
  <c r="BC88" i="47"/>
  <c r="BD88" i="47" s="1"/>
  <c r="BA88" i="47"/>
  <c r="BB88" i="47" s="1"/>
  <c r="AY88" i="47"/>
  <c r="AR88" i="47"/>
  <c r="AQ88" i="47"/>
  <c r="AL88" i="47"/>
  <c r="Z88" i="47"/>
  <c r="Y88" i="47"/>
  <c r="R88" i="47"/>
  <c r="Q88" i="47"/>
  <c r="P88" i="47"/>
  <c r="O88" i="47"/>
  <c r="BC87" i="47"/>
  <c r="BD87" i="47" s="1"/>
  <c r="BA87" i="47"/>
  <c r="BB87" i="47" s="1"/>
  <c r="AY87" i="47"/>
  <c r="AR87" i="47"/>
  <c r="AQ87" i="47"/>
  <c r="AL87" i="47"/>
  <c r="Z87" i="47"/>
  <c r="Y87" i="47"/>
  <c r="R87" i="47"/>
  <c r="Q87" i="47"/>
  <c r="P87" i="47"/>
  <c r="O87" i="47"/>
  <c r="BC86" i="47"/>
  <c r="BD86" i="47" s="1"/>
  <c r="BA86" i="47"/>
  <c r="BB86" i="47" s="1"/>
  <c r="AY86" i="47"/>
  <c r="AR86" i="47"/>
  <c r="AQ86" i="47"/>
  <c r="AL86" i="47"/>
  <c r="Z86" i="47"/>
  <c r="Y86" i="47"/>
  <c r="R86" i="47"/>
  <c r="Q86" i="47"/>
  <c r="P86" i="47"/>
  <c r="O86" i="47"/>
  <c r="BC85" i="47"/>
  <c r="BA85" i="47"/>
  <c r="AY85" i="47"/>
  <c r="AR85" i="47"/>
  <c r="AL85" i="47"/>
  <c r="Z85" i="47"/>
  <c r="Y85" i="47"/>
  <c r="R85" i="47"/>
  <c r="Q85" i="47"/>
  <c r="P85" i="47"/>
  <c r="O85" i="47"/>
  <c r="BC84" i="47"/>
  <c r="BD84" i="47" s="1"/>
  <c r="BA84" i="47"/>
  <c r="BB84" i="47" s="1"/>
  <c r="AY84" i="47"/>
  <c r="AR84" i="47"/>
  <c r="AQ84" i="47"/>
  <c r="AL84" i="47"/>
  <c r="Z84" i="47"/>
  <c r="Y84" i="47"/>
  <c r="R84" i="47"/>
  <c r="Q84" i="47"/>
  <c r="P84" i="47"/>
  <c r="O84" i="47"/>
  <c r="BC83" i="47"/>
  <c r="BD83" i="47" s="1"/>
  <c r="BA83" i="47"/>
  <c r="BB83" i="47" s="1"/>
  <c r="AY83" i="47"/>
  <c r="AR83" i="47"/>
  <c r="AQ83" i="47"/>
  <c r="AL83" i="47"/>
  <c r="Z83" i="47"/>
  <c r="Y83" i="47"/>
  <c r="R83" i="47"/>
  <c r="Q83" i="47"/>
  <c r="P83" i="47"/>
  <c r="O83" i="47"/>
  <c r="BC82" i="47"/>
  <c r="BD82" i="47" s="1"/>
  <c r="BA82" i="47"/>
  <c r="BB82" i="47" s="1"/>
  <c r="AY82" i="47"/>
  <c r="AR82" i="47"/>
  <c r="AQ82" i="47"/>
  <c r="AL82" i="47"/>
  <c r="Z82" i="47"/>
  <c r="Y82" i="47"/>
  <c r="R82" i="47"/>
  <c r="Q82" i="47"/>
  <c r="P82" i="47"/>
  <c r="O82" i="47"/>
  <c r="BC81" i="47"/>
  <c r="BD81" i="47" s="1"/>
  <c r="BA81" i="47"/>
  <c r="BB81" i="47" s="1"/>
  <c r="AY81" i="47"/>
  <c r="AR81" i="47"/>
  <c r="AQ81" i="47"/>
  <c r="AL81" i="47"/>
  <c r="Z81" i="47"/>
  <c r="Y81" i="47"/>
  <c r="R81" i="47"/>
  <c r="Q81" i="47"/>
  <c r="P81" i="47"/>
  <c r="O81" i="47"/>
  <c r="BC80" i="47"/>
  <c r="BD80" i="47" s="1"/>
  <c r="BA80" i="47"/>
  <c r="BB80" i="47" s="1"/>
  <c r="AY80" i="47"/>
  <c r="AR80" i="47"/>
  <c r="AQ80" i="47"/>
  <c r="AL80" i="47"/>
  <c r="Z80" i="47"/>
  <c r="Y80" i="47"/>
  <c r="Q80" i="47"/>
  <c r="P80" i="47"/>
  <c r="O80" i="47"/>
  <c r="AX79" i="47"/>
  <c r="AW79" i="47"/>
  <c r="AV79" i="47"/>
  <c r="AU79" i="47"/>
  <c r="AT79" i="47"/>
  <c r="AS79" i="47"/>
  <c r="AP79" i="47"/>
  <c r="AO79" i="47"/>
  <c r="AN79" i="47"/>
  <c r="AM79" i="47"/>
  <c r="AK79" i="47"/>
  <c r="AJ79" i="47"/>
  <c r="AI79" i="47"/>
  <c r="AH79" i="47"/>
  <c r="AG79" i="47"/>
  <c r="BC77" i="47"/>
  <c r="BD77" i="47" s="1"/>
  <c r="BA77" i="47"/>
  <c r="BB77" i="47" s="1"/>
  <c r="AY77" i="47"/>
  <c r="AR77" i="47"/>
  <c r="AQ77" i="47"/>
  <c r="AL77" i="47"/>
  <c r="Z77" i="47"/>
  <c r="Y77" i="47"/>
  <c r="R77" i="47"/>
  <c r="Q77" i="47"/>
  <c r="P77" i="47"/>
  <c r="O77" i="47"/>
  <c r="BC76" i="47"/>
  <c r="BD76" i="47" s="1"/>
  <c r="AY76" i="47"/>
  <c r="AR76" i="47"/>
  <c r="AQ76" i="47"/>
  <c r="AL76" i="47"/>
  <c r="AH76" i="47"/>
  <c r="Z76" i="47"/>
  <c r="Y76" i="47"/>
  <c r="R76" i="47"/>
  <c r="Q76" i="47"/>
  <c r="P76" i="47"/>
  <c r="O76" i="47"/>
  <c r="AX75" i="47"/>
  <c r="AW75" i="47"/>
  <c r="AV75" i="47"/>
  <c r="AU75" i="47"/>
  <c r="AT75" i="47"/>
  <c r="AS75" i="47"/>
  <c r="AP75" i="47"/>
  <c r="AO75" i="47"/>
  <c r="AN75" i="47"/>
  <c r="AM75" i="47"/>
  <c r="AK75" i="47"/>
  <c r="AJ75" i="47"/>
  <c r="AI75" i="47"/>
  <c r="AG75" i="47"/>
  <c r="BC74" i="47"/>
  <c r="BD74" i="47" s="1"/>
  <c r="BA74" i="47"/>
  <c r="BB74" i="47" s="1"/>
  <c r="AY74" i="47"/>
  <c r="AR74" i="47"/>
  <c r="AR73" i="47" s="1"/>
  <c r="AQ74" i="47"/>
  <c r="AL74" i="47"/>
  <c r="Z74" i="47"/>
  <c r="Y74" i="47"/>
  <c r="R74" i="47"/>
  <c r="R73" i="47" s="1"/>
  <c r="Q74" i="47"/>
  <c r="Q73" i="47" s="1"/>
  <c r="P74" i="47"/>
  <c r="P73" i="47" s="1"/>
  <c r="O74" i="47"/>
  <c r="O73" i="47" s="1"/>
  <c r="AX73" i="47"/>
  <c r="AW73" i="47"/>
  <c r="AV73" i="47"/>
  <c r="AU73" i="47"/>
  <c r="AT73" i="47"/>
  <c r="AS73" i="47"/>
  <c r="AP73" i="47"/>
  <c r="AO73" i="47"/>
  <c r="AN73" i="47"/>
  <c r="AM73" i="47"/>
  <c r="AK73" i="47"/>
  <c r="AJ73" i="47"/>
  <c r="AI73" i="47"/>
  <c r="AH73" i="47"/>
  <c r="AG73" i="47"/>
  <c r="BC72" i="47"/>
  <c r="BD72" i="47" s="1"/>
  <c r="BA72" i="47"/>
  <c r="BB72" i="47" s="1"/>
  <c r="AY72" i="47"/>
  <c r="AR72" i="47"/>
  <c r="AQ72" i="47"/>
  <c r="AL72" i="47"/>
  <c r="Z72" i="47"/>
  <c r="Y72" i="47"/>
  <c r="R72" i="47"/>
  <c r="Q72" i="47"/>
  <c r="P72" i="47"/>
  <c r="O72" i="47"/>
  <c r="BC71" i="47"/>
  <c r="BD71" i="47" s="1"/>
  <c r="BA71" i="47"/>
  <c r="BB71" i="47" s="1"/>
  <c r="AY71" i="47"/>
  <c r="AR71" i="47"/>
  <c r="AQ71" i="47"/>
  <c r="AL71" i="47"/>
  <c r="Z71" i="47"/>
  <c r="Y71" i="47"/>
  <c r="R71" i="47"/>
  <c r="Q71" i="47"/>
  <c r="P71" i="47"/>
  <c r="O71" i="47"/>
  <c r="AX70" i="47"/>
  <c r="AW70" i="47"/>
  <c r="AV70" i="47"/>
  <c r="AU70" i="47"/>
  <c r="AT70" i="47"/>
  <c r="AS70" i="47"/>
  <c r="AP70" i="47"/>
  <c r="AO70" i="47"/>
  <c r="AN70" i="47"/>
  <c r="AM70" i="47"/>
  <c r="AK70" i="47"/>
  <c r="AJ70" i="47"/>
  <c r="AI70" i="47"/>
  <c r="AH70" i="47"/>
  <c r="AG70" i="47"/>
  <c r="R70" i="47"/>
  <c r="Q70" i="47"/>
  <c r="BC68" i="47"/>
  <c r="BD68" i="47" s="1"/>
  <c r="BA68" i="47"/>
  <c r="BB68" i="47" s="1"/>
  <c r="AY68" i="47"/>
  <c r="AR68" i="47"/>
  <c r="AQ68" i="47"/>
  <c r="AL68" i="47"/>
  <c r="Z68" i="47"/>
  <c r="Y68" i="47"/>
  <c r="R68" i="47"/>
  <c r="Q68" i="47"/>
  <c r="P68" i="47"/>
  <c r="O68" i="47"/>
  <c r="BC67" i="47"/>
  <c r="BD67" i="47" s="1"/>
  <c r="BA67" i="47"/>
  <c r="BB67" i="47" s="1"/>
  <c r="AY67" i="47"/>
  <c r="AR67" i="47"/>
  <c r="AQ67" i="47"/>
  <c r="AL67" i="47"/>
  <c r="Z67" i="47"/>
  <c r="Y67" i="47"/>
  <c r="R67" i="47"/>
  <c r="Q67" i="47"/>
  <c r="P67" i="47"/>
  <c r="O67" i="47"/>
  <c r="BC66" i="47"/>
  <c r="BD66" i="47" s="1"/>
  <c r="BA66" i="47"/>
  <c r="BB66" i="47" s="1"/>
  <c r="AY66" i="47"/>
  <c r="AR66" i="47"/>
  <c r="AQ66" i="47"/>
  <c r="AL66" i="47"/>
  <c r="Z66" i="47"/>
  <c r="Y66" i="47"/>
  <c r="R66" i="47"/>
  <c r="Q66" i="47"/>
  <c r="P66" i="47"/>
  <c r="O66" i="47"/>
  <c r="BC65" i="47"/>
  <c r="BD65" i="47" s="1"/>
  <c r="BA65" i="47"/>
  <c r="BB65" i="47" s="1"/>
  <c r="AY65" i="47"/>
  <c r="AR65" i="47"/>
  <c r="AQ65" i="47"/>
  <c r="AL65" i="47"/>
  <c r="Z65" i="47"/>
  <c r="Y65" i="47"/>
  <c r="R65" i="47"/>
  <c r="Q65" i="47"/>
  <c r="P65" i="47"/>
  <c r="O65" i="47"/>
  <c r="BC64" i="47"/>
  <c r="BD64" i="47" s="1"/>
  <c r="BA64" i="47"/>
  <c r="BB64" i="47" s="1"/>
  <c r="AY64" i="47"/>
  <c r="AR64" i="47"/>
  <c r="AQ64" i="47"/>
  <c r="AL64" i="47"/>
  <c r="Z64" i="47"/>
  <c r="Y64" i="47"/>
  <c r="R64" i="47"/>
  <c r="Q64" i="47"/>
  <c r="P64" i="47"/>
  <c r="O64" i="47"/>
  <c r="AX63" i="47"/>
  <c r="AW63" i="47"/>
  <c r="AV63" i="47"/>
  <c r="AU63" i="47"/>
  <c r="AT63" i="47"/>
  <c r="AS63" i="47"/>
  <c r="AP63" i="47"/>
  <c r="AO63" i="47"/>
  <c r="AN63" i="47"/>
  <c r="AM63" i="47"/>
  <c r="AK63" i="47"/>
  <c r="AJ63" i="47"/>
  <c r="AI63" i="47"/>
  <c r="AH63" i="47"/>
  <c r="AG63" i="47"/>
  <c r="Z63" i="47"/>
  <c r="BC62" i="47"/>
  <c r="BD62" i="47" s="1"/>
  <c r="BA62" i="47"/>
  <c r="BB62" i="47" s="1"/>
  <c r="AY62" i="47"/>
  <c r="AR62" i="47"/>
  <c r="AQ62" i="47"/>
  <c r="AL62" i="47"/>
  <c r="Z62" i="47"/>
  <c r="Y62" i="47"/>
  <c r="R62" i="47"/>
  <c r="Q62" i="47"/>
  <c r="P62" i="47"/>
  <c r="O62" i="47"/>
  <c r="BC61" i="47"/>
  <c r="BD61" i="47" s="1"/>
  <c r="BA61" i="47"/>
  <c r="BB61" i="47" s="1"/>
  <c r="AY61" i="47"/>
  <c r="AR61" i="47"/>
  <c r="AQ61" i="47"/>
  <c r="AL61" i="47"/>
  <c r="Z61" i="47"/>
  <c r="Y61" i="47"/>
  <c r="R61" i="47"/>
  <c r="Q61" i="47"/>
  <c r="P61" i="47"/>
  <c r="O61" i="47"/>
  <c r="BC60" i="47"/>
  <c r="BD60" i="47" s="1"/>
  <c r="BA60" i="47"/>
  <c r="BB60" i="47" s="1"/>
  <c r="AY60" i="47"/>
  <c r="AR60" i="47"/>
  <c r="AQ60" i="47"/>
  <c r="AL60" i="47"/>
  <c r="Z60" i="47"/>
  <c r="Y60" i="47"/>
  <c r="R60" i="47"/>
  <c r="Q60" i="47"/>
  <c r="P60" i="47"/>
  <c r="O60" i="47"/>
  <c r="BC59" i="47"/>
  <c r="BD59" i="47" s="1"/>
  <c r="BA59" i="47"/>
  <c r="BB59" i="47" s="1"/>
  <c r="AY59" i="47"/>
  <c r="AR59" i="47"/>
  <c r="AQ59" i="47"/>
  <c r="AL59" i="47"/>
  <c r="Z59" i="47"/>
  <c r="Y59" i="47"/>
  <c r="R59" i="47"/>
  <c r="Q59" i="47"/>
  <c r="P59" i="47"/>
  <c r="O59" i="47"/>
  <c r="BC58" i="47"/>
  <c r="BD58" i="47" s="1"/>
  <c r="BA58" i="47"/>
  <c r="BB58" i="47" s="1"/>
  <c r="AY58" i="47"/>
  <c r="AR58" i="47"/>
  <c r="AQ58" i="47"/>
  <c r="AL58" i="47"/>
  <c r="Z58" i="47"/>
  <c r="Y58" i="47"/>
  <c r="R58" i="47"/>
  <c r="Q58" i="47"/>
  <c r="P58" i="47"/>
  <c r="O58" i="47"/>
  <c r="AX57" i="47"/>
  <c r="AW57" i="47"/>
  <c r="AV57" i="47"/>
  <c r="AU57" i="47"/>
  <c r="AT57" i="47"/>
  <c r="AS57" i="47"/>
  <c r="AP57" i="47"/>
  <c r="AO57" i="47"/>
  <c r="AN57" i="47"/>
  <c r="AM57" i="47"/>
  <c r="AK57" i="47"/>
  <c r="AJ57" i="47"/>
  <c r="AI57" i="47"/>
  <c r="AH57" i="47"/>
  <c r="AG57" i="47"/>
  <c r="Z57" i="47"/>
  <c r="Z56" i="47"/>
  <c r="Z55" i="47"/>
  <c r="BC54" i="47"/>
  <c r="BD54" i="47" s="1"/>
  <c r="BA54" i="47"/>
  <c r="BB54" i="47" s="1"/>
  <c r="AY54" i="47"/>
  <c r="AR54" i="47"/>
  <c r="AQ54" i="47"/>
  <c r="AL54" i="47"/>
  <c r="AH54" i="47"/>
  <c r="Z54" i="47"/>
  <c r="Y54" i="47"/>
  <c r="R54" i="47"/>
  <c r="Q54" i="47"/>
  <c r="P54" i="47"/>
  <c r="O54" i="47"/>
  <c r="BC53" i="47"/>
  <c r="BD53" i="47" s="1"/>
  <c r="BA53" i="47"/>
  <c r="BB53" i="47" s="1"/>
  <c r="AY53" i="47"/>
  <c r="AR53" i="47"/>
  <c r="AQ53" i="47"/>
  <c r="AL53" i="47"/>
  <c r="Z53" i="47"/>
  <c r="Y53" i="47"/>
  <c r="R53" i="47"/>
  <c r="Q53" i="47"/>
  <c r="P53" i="47"/>
  <c r="O53" i="47"/>
  <c r="BC52" i="47"/>
  <c r="BD52" i="47" s="1"/>
  <c r="BA52" i="47"/>
  <c r="BB52" i="47" s="1"/>
  <c r="AY52" i="47"/>
  <c r="AR52" i="47"/>
  <c r="AQ52" i="47"/>
  <c r="AL52" i="47"/>
  <c r="Z52" i="47"/>
  <c r="Y52" i="47"/>
  <c r="R52" i="47"/>
  <c r="Q52" i="47"/>
  <c r="P52" i="47"/>
  <c r="O52" i="47"/>
  <c r="BC51" i="47"/>
  <c r="BD51" i="47" s="1"/>
  <c r="BA51" i="47"/>
  <c r="BB51" i="47" s="1"/>
  <c r="AY51" i="47"/>
  <c r="AR51" i="47"/>
  <c r="AQ51" i="47"/>
  <c r="AL51" i="47"/>
  <c r="Z51" i="47"/>
  <c r="Y51" i="47"/>
  <c r="R51" i="47"/>
  <c r="Q51" i="47"/>
  <c r="P51" i="47"/>
  <c r="O51" i="47"/>
  <c r="BC50" i="47"/>
  <c r="BD50" i="47" s="1"/>
  <c r="BA50" i="47"/>
  <c r="BB50" i="47" s="1"/>
  <c r="AY50" i="47"/>
  <c r="AR50" i="47"/>
  <c r="AQ50" i="47"/>
  <c r="AL50" i="47"/>
  <c r="Z50" i="47"/>
  <c r="Y50" i="47"/>
  <c r="R50" i="47"/>
  <c r="Q50" i="47"/>
  <c r="P50" i="47"/>
  <c r="O50" i="47"/>
  <c r="AX49" i="47"/>
  <c r="AX48" i="47" s="1"/>
  <c r="AW49" i="47"/>
  <c r="AW48" i="47" s="1"/>
  <c r="AV49" i="47"/>
  <c r="AV48" i="47" s="1"/>
  <c r="AU49" i="47"/>
  <c r="AU48" i="47" s="1"/>
  <c r="AT49" i="47"/>
  <c r="AT48" i="47" s="1"/>
  <c r="AS49" i="47"/>
  <c r="AS48" i="47" s="1"/>
  <c r="AP49" i="47"/>
  <c r="AP48" i="47" s="1"/>
  <c r="AO49" i="47"/>
  <c r="AO48" i="47" s="1"/>
  <c r="AN49" i="47"/>
  <c r="AN48" i="47" s="1"/>
  <c r="AM49" i="47"/>
  <c r="AM48" i="47" s="1"/>
  <c r="AK49" i="47"/>
  <c r="AJ49" i="47"/>
  <c r="AJ48" i="47" s="1"/>
  <c r="AI49" i="47"/>
  <c r="AI48" i="47" s="1"/>
  <c r="AH49" i="47"/>
  <c r="AH48" i="47" s="1"/>
  <c r="AG49" i="47"/>
  <c r="AG48" i="47" s="1"/>
  <c r="BC47" i="47"/>
  <c r="BD47" i="47" s="1"/>
  <c r="AY47" i="47"/>
  <c r="AS47" i="47"/>
  <c r="AR47" i="47"/>
  <c r="AQ47" i="47"/>
  <c r="AN47" i="47"/>
  <c r="AL47" i="47"/>
  <c r="AI47" i="47"/>
  <c r="BA47" i="47" s="1"/>
  <c r="BB47" i="47" s="1"/>
  <c r="Z47" i="47"/>
  <c r="Y47" i="47"/>
  <c r="R47" i="47"/>
  <c r="Q47" i="47"/>
  <c r="P47" i="47"/>
  <c r="O47" i="47"/>
  <c r="BA46" i="47"/>
  <c r="BB46" i="47" s="1"/>
  <c r="AY46" i="47"/>
  <c r="AS46" i="47"/>
  <c r="AS44" i="47" s="1"/>
  <c r="AR46" i="47"/>
  <c r="AQ46" i="47"/>
  <c r="AN46" i="47"/>
  <c r="AL46" i="47"/>
  <c r="AI46" i="47"/>
  <c r="AI44" i="47" s="1"/>
  <c r="Z46" i="47"/>
  <c r="Y46" i="47"/>
  <c r="R46" i="47"/>
  <c r="Q46" i="47"/>
  <c r="P46" i="47"/>
  <c r="O46" i="47"/>
  <c r="BC45" i="47"/>
  <c r="BD45" i="47" s="1"/>
  <c r="BA45" i="47"/>
  <c r="BB45" i="47" s="1"/>
  <c r="AY45" i="47"/>
  <c r="AR45" i="47"/>
  <c r="AQ45" i="47"/>
  <c r="AL45" i="47"/>
  <c r="Z45" i="47"/>
  <c r="Y45" i="47"/>
  <c r="R45" i="47"/>
  <c r="Q45" i="47"/>
  <c r="P45" i="47"/>
  <c r="O45" i="47"/>
  <c r="AX44" i="47"/>
  <c r="AW44" i="47"/>
  <c r="AV44" i="47"/>
  <c r="AU44" i="47"/>
  <c r="AT44" i="47"/>
  <c r="AP44" i="47"/>
  <c r="AO44" i="47"/>
  <c r="AM44" i="47"/>
  <c r="AK44" i="47"/>
  <c r="AJ44" i="47"/>
  <c r="AH44" i="47"/>
  <c r="AG44" i="47"/>
  <c r="Z44" i="47"/>
  <c r="BC43" i="47"/>
  <c r="BD43" i="47" s="1"/>
  <c r="BA43" i="47"/>
  <c r="BB43" i="47" s="1"/>
  <c r="AY43" i="47"/>
  <c r="AR43" i="47"/>
  <c r="AQ43" i="47"/>
  <c r="AL43" i="47"/>
  <c r="Z43" i="47"/>
  <c r="Y43" i="47"/>
  <c r="R43" i="47"/>
  <c r="Q43" i="47"/>
  <c r="P43" i="47"/>
  <c r="O43" i="47"/>
  <c r="BC42" i="47"/>
  <c r="BD42" i="47" s="1"/>
  <c r="BA42" i="47"/>
  <c r="BB42" i="47" s="1"/>
  <c r="AY42" i="47"/>
  <c r="AR42" i="47"/>
  <c r="AQ42" i="47"/>
  <c r="AL42" i="47"/>
  <c r="Z42" i="47"/>
  <c r="Y42" i="47"/>
  <c r="R42" i="47"/>
  <c r="Q42" i="47"/>
  <c r="P42" i="47"/>
  <c r="O42" i="47"/>
  <c r="BC41" i="47"/>
  <c r="BD41" i="47" s="1"/>
  <c r="BA41" i="47"/>
  <c r="BB41" i="47" s="1"/>
  <c r="AY41" i="47"/>
  <c r="AR41" i="47"/>
  <c r="AQ41" i="47"/>
  <c r="AL41" i="47"/>
  <c r="Z41" i="47"/>
  <c r="Y41" i="47"/>
  <c r="R41" i="47"/>
  <c r="Q41" i="47"/>
  <c r="P41" i="47"/>
  <c r="O41" i="47"/>
  <c r="BC40" i="47"/>
  <c r="BD40" i="47" s="1"/>
  <c r="BA40" i="47"/>
  <c r="BB40" i="47" s="1"/>
  <c r="AY40" i="47"/>
  <c r="AR40" i="47"/>
  <c r="AQ40" i="47"/>
  <c r="AL40" i="47"/>
  <c r="Z40" i="47"/>
  <c r="Y40" i="47"/>
  <c r="R40" i="47"/>
  <c r="Q40" i="47"/>
  <c r="P40" i="47"/>
  <c r="O40" i="47"/>
  <c r="BC39" i="47"/>
  <c r="BD39" i="47" s="1"/>
  <c r="BA39" i="47"/>
  <c r="BB39" i="47" s="1"/>
  <c r="AY39" i="47"/>
  <c r="AR39" i="47"/>
  <c r="AQ39" i="47"/>
  <c r="AL39" i="47"/>
  <c r="Z39" i="47"/>
  <c r="Y39" i="47"/>
  <c r="R39" i="47"/>
  <c r="Q39" i="47"/>
  <c r="P39" i="47"/>
  <c r="O39" i="47"/>
  <c r="BC38" i="47"/>
  <c r="BD38" i="47" s="1"/>
  <c r="BA38" i="47"/>
  <c r="BB38" i="47" s="1"/>
  <c r="AY38" i="47"/>
  <c r="AR38" i="47"/>
  <c r="AQ38" i="47"/>
  <c r="AL38" i="47"/>
  <c r="Z38" i="47"/>
  <c r="Y38" i="47"/>
  <c r="R38" i="47"/>
  <c r="Q38" i="47"/>
  <c r="P38" i="47"/>
  <c r="O38" i="47"/>
  <c r="BC37" i="47"/>
  <c r="BD37" i="47" s="1"/>
  <c r="BA37" i="47"/>
  <c r="BB37" i="47" s="1"/>
  <c r="AY37" i="47"/>
  <c r="AR37" i="47"/>
  <c r="AQ37" i="47"/>
  <c r="AL37" i="47"/>
  <c r="Z37" i="47"/>
  <c r="Y37" i="47"/>
  <c r="R37" i="47"/>
  <c r="Q37" i="47"/>
  <c r="P37" i="47"/>
  <c r="O37" i="47"/>
  <c r="AX36" i="47"/>
  <c r="AW36" i="47"/>
  <c r="AV36" i="47"/>
  <c r="AU36" i="47"/>
  <c r="AT36" i="47"/>
  <c r="AS36" i="47"/>
  <c r="AP36" i="47"/>
  <c r="AO36" i="47"/>
  <c r="AN36" i="47"/>
  <c r="AM36" i="47"/>
  <c r="AK36" i="47"/>
  <c r="AJ36" i="47"/>
  <c r="AI36" i="47"/>
  <c r="AH36" i="47"/>
  <c r="AG36" i="47"/>
  <c r="Z36" i="47"/>
  <c r="BC35" i="47"/>
  <c r="BD35" i="47" s="1"/>
  <c r="BA35" i="47"/>
  <c r="BB35" i="47" s="1"/>
  <c r="AY35" i="47"/>
  <c r="AR35" i="47"/>
  <c r="AQ35" i="47"/>
  <c r="AL35" i="47"/>
  <c r="Z35" i="47"/>
  <c r="Y35" i="47"/>
  <c r="R35" i="47"/>
  <c r="Q35" i="47"/>
  <c r="P35" i="47"/>
  <c r="O35" i="47"/>
  <c r="BC34" i="47"/>
  <c r="BD34" i="47" s="1"/>
  <c r="BA34" i="47"/>
  <c r="BB34" i="47" s="1"/>
  <c r="AY34" i="47"/>
  <c r="AR34" i="47"/>
  <c r="AQ34" i="47"/>
  <c r="AL34" i="47"/>
  <c r="Z34" i="47"/>
  <c r="Y34" i="47"/>
  <c r="R34" i="47"/>
  <c r="Q34" i="47"/>
  <c r="P34" i="47"/>
  <c r="O34" i="47"/>
  <c r="BC33" i="47"/>
  <c r="BD33" i="47" s="1"/>
  <c r="BA33" i="47"/>
  <c r="BB33" i="47" s="1"/>
  <c r="AY33" i="47"/>
  <c r="AR33" i="47"/>
  <c r="AQ33" i="47"/>
  <c r="AL33" i="47"/>
  <c r="Y33" i="47"/>
  <c r="Q33" i="47"/>
  <c r="P33" i="47"/>
  <c r="O33" i="47"/>
  <c r="K33" i="47"/>
  <c r="AX32" i="47"/>
  <c r="AW32" i="47"/>
  <c r="AV32" i="47"/>
  <c r="AU32" i="47"/>
  <c r="AT32" i="47"/>
  <c r="AS32" i="47"/>
  <c r="AP32" i="47"/>
  <c r="AO32" i="47"/>
  <c r="AN32" i="47"/>
  <c r="AM32" i="47"/>
  <c r="AK32" i="47"/>
  <c r="AJ32" i="47"/>
  <c r="AI32" i="47"/>
  <c r="AH32" i="47"/>
  <c r="AG32" i="47"/>
  <c r="Z32" i="47"/>
  <c r="Z31" i="47"/>
  <c r="BC30" i="47"/>
  <c r="BD30" i="47" s="1"/>
  <c r="BA30" i="47"/>
  <c r="BB30" i="47" s="1"/>
  <c r="AY30" i="47"/>
  <c r="AR30" i="47"/>
  <c r="AQ30" i="47"/>
  <c r="AL30" i="47"/>
  <c r="Z30" i="47"/>
  <c r="Y30" i="47"/>
  <c r="R30" i="47"/>
  <c r="Q30" i="47"/>
  <c r="P30" i="47"/>
  <c r="O30" i="47"/>
  <c r="BC29" i="47"/>
  <c r="BD29" i="47" s="1"/>
  <c r="BA29" i="47"/>
  <c r="BB29" i="47" s="1"/>
  <c r="AY29" i="47"/>
  <c r="AR29" i="47"/>
  <c r="AQ29" i="47"/>
  <c r="AL29" i="47"/>
  <c r="Z29" i="47"/>
  <c r="Y29" i="47"/>
  <c r="R29" i="47"/>
  <c r="Q29" i="47"/>
  <c r="P29" i="47"/>
  <c r="O29" i="47"/>
  <c r="BC28" i="47"/>
  <c r="BD28" i="47" s="1"/>
  <c r="BA28" i="47"/>
  <c r="BB28" i="47" s="1"/>
  <c r="AY28" i="47"/>
  <c r="AR28" i="47"/>
  <c r="AQ28" i="47"/>
  <c r="AL28" i="47"/>
  <c r="Z28" i="47"/>
  <c r="Y28" i="47"/>
  <c r="R28" i="47"/>
  <c r="Q28" i="47"/>
  <c r="P28" i="47"/>
  <c r="O28" i="47"/>
  <c r="BC27" i="47"/>
  <c r="BD27" i="47" s="1"/>
  <c r="BA27" i="47"/>
  <c r="BB27" i="47" s="1"/>
  <c r="AY27" i="47"/>
  <c r="AR27" i="47"/>
  <c r="AQ27" i="47"/>
  <c r="AL27" i="47"/>
  <c r="Z27" i="47"/>
  <c r="Y27" i="47"/>
  <c r="R27" i="47"/>
  <c r="Q27" i="47"/>
  <c r="P27" i="47"/>
  <c r="O27" i="47"/>
  <c r="BC26" i="47"/>
  <c r="BD26" i="47" s="1"/>
  <c r="BA26" i="47"/>
  <c r="BB26" i="47" s="1"/>
  <c r="AY26" i="47"/>
  <c r="AR26" i="47"/>
  <c r="AQ26" i="47"/>
  <c r="AL26" i="47"/>
  <c r="Z26" i="47"/>
  <c r="Y26" i="47"/>
  <c r="R26" i="47"/>
  <c r="Q26" i="47"/>
  <c r="P26" i="47"/>
  <c r="O26" i="47"/>
  <c r="AX25" i="47"/>
  <c r="AW25" i="47"/>
  <c r="AV25" i="47"/>
  <c r="AU25" i="47"/>
  <c r="AT25" i="47"/>
  <c r="AS25" i="47"/>
  <c r="AP25" i="47"/>
  <c r="AO25" i="47"/>
  <c r="AN25" i="47"/>
  <c r="AM25" i="47"/>
  <c r="AK25" i="47"/>
  <c r="AJ25" i="47"/>
  <c r="AI25" i="47"/>
  <c r="AH25" i="47"/>
  <c r="AG25" i="47"/>
  <c r="BC24" i="47"/>
  <c r="BD24" i="47" s="1"/>
  <c r="BA24" i="47"/>
  <c r="BB24" i="47" s="1"/>
  <c r="AY24" i="47"/>
  <c r="AR24" i="47"/>
  <c r="AQ24" i="47"/>
  <c r="AL24" i="47"/>
  <c r="Z24" i="47"/>
  <c r="Y24" i="47"/>
  <c r="R24" i="47"/>
  <c r="Q24" i="47"/>
  <c r="P24" i="47"/>
  <c r="O24" i="47"/>
  <c r="BC23" i="47"/>
  <c r="BD23" i="47" s="1"/>
  <c r="BA23" i="47"/>
  <c r="BB23" i="47" s="1"/>
  <c r="AY23" i="47"/>
  <c r="AR23" i="47"/>
  <c r="AQ23" i="47"/>
  <c r="AL23" i="47"/>
  <c r="Z23" i="47"/>
  <c r="Y23" i="47"/>
  <c r="R23" i="47"/>
  <c r="Q23" i="47"/>
  <c r="P23" i="47"/>
  <c r="O23" i="47"/>
  <c r="AX22" i="47"/>
  <c r="AW22" i="47"/>
  <c r="AV22" i="47"/>
  <c r="AU22" i="47"/>
  <c r="AT22" i="47"/>
  <c r="AS22" i="47"/>
  <c r="AP22" i="47"/>
  <c r="AO22" i="47"/>
  <c r="AN22" i="47"/>
  <c r="AM22" i="47"/>
  <c r="AK22" i="47"/>
  <c r="AJ22" i="47"/>
  <c r="AI22" i="47"/>
  <c r="AH22" i="47"/>
  <c r="AG22" i="47"/>
  <c r="R22" i="47"/>
  <c r="Q22" i="47"/>
  <c r="BC21" i="47"/>
  <c r="BD21" i="47" s="1"/>
  <c r="BA21" i="47"/>
  <c r="BB21" i="47" s="1"/>
  <c r="AY21" i="47"/>
  <c r="AR21" i="47"/>
  <c r="AQ21" i="47"/>
  <c r="AL21" i="47"/>
  <c r="Z21" i="47"/>
  <c r="Y21" i="47"/>
  <c r="R21" i="47"/>
  <c r="Q21" i="47"/>
  <c r="P21" i="47"/>
  <c r="O21" i="47"/>
  <c r="BC20" i="47"/>
  <c r="BD20" i="47" s="1"/>
  <c r="BA20" i="47"/>
  <c r="BB20" i="47" s="1"/>
  <c r="AY20" i="47"/>
  <c r="AR20" i="47"/>
  <c r="AQ20" i="47"/>
  <c r="AL20" i="47"/>
  <c r="Z20" i="47"/>
  <c r="Y20" i="47"/>
  <c r="R20" i="47"/>
  <c r="Q20" i="47"/>
  <c r="P20" i="47"/>
  <c r="O20" i="47"/>
  <c r="BC19" i="47"/>
  <c r="BD19" i="47" s="1"/>
  <c r="BA19" i="47"/>
  <c r="BB19" i="47" s="1"/>
  <c r="AY19" i="47"/>
  <c r="AR19" i="47"/>
  <c r="AQ19" i="47"/>
  <c r="AL19" i="47"/>
  <c r="Z19" i="47"/>
  <c r="Y19" i="47"/>
  <c r="R19" i="47"/>
  <c r="Q19" i="47"/>
  <c r="P19" i="47"/>
  <c r="O19" i="47"/>
  <c r="BC18" i="47"/>
  <c r="BD18" i="47" s="1"/>
  <c r="BA18" i="47"/>
  <c r="BB18" i="47" s="1"/>
  <c r="AY18" i="47"/>
  <c r="AR18" i="47"/>
  <c r="AQ18" i="47"/>
  <c r="AL18" i="47"/>
  <c r="Z18" i="47"/>
  <c r="Y18" i="47"/>
  <c r="R18" i="47"/>
  <c r="Q18" i="47"/>
  <c r="P18" i="47"/>
  <c r="O18" i="47"/>
  <c r="BC17" i="47"/>
  <c r="BD17" i="47" s="1"/>
  <c r="BA17" i="47"/>
  <c r="BB17" i="47" s="1"/>
  <c r="AY17" i="47"/>
  <c r="AR17" i="47"/>
  <c r="AQ17" i="47"/>
  <c r="AL17" i="47"/>
  <c r="Z17" i="47"/>
  <c r="Y17" i="47"/>
  <c r="Q17" i="47"/>
  <c r="P17" i="47"/>
  <c r="O17" i="47"/>
  <c r="BC16" i="47"/>
  <c r="BD16" i="47" s="1"/>
  <c r="BA16" i="47"/>
  <c r="BB16" i="47" s="1"/>
  <c r="AY16" i="47"/>
  <c r="AR16" i="47"/>
  <c r="AQ16" i="47"/>
  <c r="AL16" i="47"/>
  <c r="Z16" i="47"/>
  <c r="Y16" i="47"/>
  <c r="R16" i="47"/>
  <c r="Q16" i="47"/>
  <c r="P16" i="47"/>
  <c r="O16" i="47"/>
  <c r="BC15" i="47"/>
  <c r="BD15" i="47" s="1"/>
  <c r="BA15" i="47"/>
  <c r="BB15" i="47" s="1"/>
  <c r="AY15" i="47"/>
  <c r="AR15" i="47"/>
  <c r="AQ15" i="47"/>
  <c r="AL15" i="47"/>
  <c r="Z15" i="47"/>
  <c r="Y15" i="47"/>
  <c r="R15" i="47"/>
  <c r="Q15" i="47"/>
  <c r="P15" i="47"/>
  <c r="O15" i="47"/>
  <c r="BC14" i="47"/>
  <c r="BD14" i="47" s="1"/>
  <c r="BA14" i="47"/>
  <c r="BB14" i="47" s="1"/>
  <c r="AY14" i="47"/>
  <c r="AR14" i="47"/>
  <c r="AQ14" i="47"/>
  <c r="AL14" i="47"/>
  <c r="Z14" i="47"/>
  <c r="Y14" i="47"/>
  <c r="R14" i="47"/>
  <c r="Q14" i="47"/>
  <c r="P14" i="47"/>
  <c r="O14" i="47"/>
  <c r="BC13" i="47"/>
  <c r="BD13" i="47" s="1"/>
  <c r="BA13" i="47"/>
  <c r="BB13" i="47" s="1"/>
  <c r="AY13" i="47"/>
  <c r="AR13" i="47"/>
  <c r="AQ13" i="47"/>
  <c r="AL13" i="47"/>
  <c r="Z13" i="47"/>
  <c r="Y13" i="47"/>
  <c r="R13" i="47"/>
  <c r="Q13" i="47"/>
  <c r="P13" i="47"/>
  <c r="O13" i="47"/>
  <c r="BC12" i="47"/>
  <c r="BD12" i="47" s="1"/>
  <c r="BA12" i="47"/>
  <c r="BB12" i="47" s="1"/>
  <c r="AY12" i="47"/>
  <c r="AR12" i="47"/>
  <c r="AQ12" i="47"/>
  <c r="AL12" i="47"/>
  <c r="Z12" i="47"/>
  <c r="Y12" i="47"/>
  <c r="R12" i="47"/>
  <c r="Q12" i="47"/>
  <c r="P12" i="47"/>
  <c r="O12" i="47"/>
  <c r="BC11" i="47"/>
  <c r="BD11" i="47" s="1"/>
  <c r="BA11" i="47"/>
  <c r="BB11" i="47" s="1"/>
  <c r="AY11" i="47"/>
  <c r="AR11" i="47"/>
  <c r="AQ11" i="47"/>
  <c r="AL11" i="47"/>
  <c r="Z11" i="47"/>
  <c r="Y11" i="47"/>
  <c r="R11" i="47"/>
  <c r="Q11" i="47"/>
  <c r="P11" i="47"/>
  <c r="O11" i="47"/>
  <c r="BC10" i="47"/>
  <c r="BD10" i="47" s="1"/>
  <c r="BA10" i="47"/>
  <c r="BB10" i="47" s="1"/>
  <c r="AY10" i="47"/>
  <c r="AR10" i="47"/>
  <c r="AQ10" i="47"/>
  <c r="AL10" i="47"/>
  <c r="Z10" i="47"/>
  <c r="Y10" i="47"/>
  <c r="R10" i="47"/>
  <c r="Q10" i="47"/>
  <c r="P10" i="47"/>
  <c r="O10" i="47"/>
  <c r="AX9" i="47"/>
  <c r="AW9" i="47"/>
  <c r="AV9" i="47"/>
  <c r="AU9" i="47"/>
  <c r="AT9" i="47"/>
  <c r="AS9" i="47"/>
  <c r="AP9" i="47"/>
  <c r="AO9" i="47"/>
  <c r="AN9" i="47"/>
  <c r="AM9" i="47"/>
  <c r="AK9" i="47"/>
  <c r="AJ9" i="47"/>
  <c r="AI9" i="47"/>
  <c r="AH9" i="47"/>
  <c r="AG9" i="47"/>
  <c r="AR92" i="47" l="1"/>
  <c r="AR105" i="47"/>
  <c r="Q141" i="47"/>
  <c r="Q230" i="47"/>
  <c r="R75" i="47"/>
  <c r="AT250" i="47"/>
  <c r="AQ234" i="47"/>
  <c r="O240" i="47"/>
  <c r="O239" i="47" s="1"/>
  <c r="AO140" i="47"/>
  <c r="AJ31" i="47"/>
  <c r="AO229" i="47"/>
  <c r="AQ36" i="47"/>
  <c r="AL158" i="47"/>
  <c r="O158" i="47"/>
  <c r="O157" i="47" s="1"/>
  <c r="AP229" i="47"/>
  <c r="AA83" i="47"/>
  <c r="AA84" i="47"/>
  <c r="AM190" i="47"/>
  <c r="AT190" i="47"/>
  <c r="AX190" i="47"/>
  <c r="AW218" i="47"/>
  <c r="AG293" i="47"/>
  <c r="AL293" i="47" s="1"/>
  <c r="AY25" i="47"/>
  <c r="AY200" i="47"/>
  <c r="AM278" i="47"/>
  <c r="AJ218" i="47"/>
  <c r="AU218" i="47"/>
  <c r="Z295" i="47"/>
  <c r="AA295" i="47" s="1"/>
  <c r="AA294" i="47" s="1"/>
  <c r="AA293" i="47" s="1"/>
  <c r="AJ8" i="47"/>
  <c r="AV218" i="47"/>
  <c r="AA138" i="47"/>
  <c r="P32" i="47"/>
  <c r="AO56" i="47"/>
  <c r="AA72" i="47"/>
  <c r="AM260" i="47"/>
  <c r="AA285" i="47"/>
  <c r="AA284" i="47" s="1"/>
  <c r="AA21" i="47"/>
  <c r="AA34" i="47"/>
  <c r="AA59" i="47"/>
  <c r="AA62" i="47"/>
  <c r="AT69" i="47"/>
  <c r="AX218" i="47"/>
  <c r="AA116" i="47"/>
  <c r="AA119" i="47"/>
  <c r="AN8" i="47"/>
  <c r="AT8" i="47"/>
  <c r="AY227" i="47"/>
  <c r="AA262" i="47"/>
  <c r="AA265" i="47"/>
  <c r="AA275" i="47"/>
  <c r="AA123" i="47"/>
  <c r="BC227" i="47"/>
  <c r="BD227" i="47" s="1"/>
  <c r="AA236" i="47"/>
  <c r="BC289" i="47"/>
  <c r="BD289" i="47" s="1"/>
  <c r="R289" i="47"/>
  <c r="AY294" i="47"/>
  <c r="Q32" i="47"/>
  <c r="AI78" i="47"/>
  <c r="AV150" i="47"/>
  <c r="AY178" i="47"/>
  <c r="AA181" i="47"/>
  <c r="O178" i="47"/>
  <c r="BA183" i="47"/>
  <c r="BB183" i="47" s="1"/>
  <c r="AA188" i="47"/>
  <c r="AU190" i="47"/>
  <c r="AY203" i="47"/>
  <c r="AA247" i="47"/>
  <c r="AY251" i="47"/>
  <c r="AA253" i="47"/>
  <c r="BA32" i="47"/>
  <c r="BB32" i="47" s="1"/>
  <c r="AG69" i="47"/>
  <c r="AY144" i="47"/>
  <c r="AY9" i="47"/>
  <c r="AS56" i="47"/>
  <c r="AL101" i="47"/>
  <c r="AQ105" i="47"/>
  <c r="AA110" i="47"/>
  <c r="AA128" i="47"/>
  <c r="AS140" i="47"/>
  <c r="AW140" i="47"/>
  <c r="R157" i="47"/>
  <c r="AJ190" i="47"/>
  <c r="AA221" i="47"/>
  <c r="AX260" i="47"/>
  <c r="AR279" i="47"/>
  <c r="AR278" i="47" s="1"/>
  <c r="BA282" i="47"/>
  <c r="AX286" i="47"/>
  <c r="AL9" i="47"/>
  <c r="AQ9" i="47"/>
  <c r="AA19" i="47"/>
  <c r="AR32" i="47"/>
  <c r="AA45" i="47"/>
  <c r="AA66" i="47"/>
  <c r="AA67" i="47"/>
  <c r="AU69" i="47"/>
  <c r="AY75" i="47"/>
  <c r="AW78" i="47"/>
  <c r="BA97" i="47"/>
  <c r="BB97" i="47" s="1"/>
  <c r="BC97" i="47"/>
  <c r="BD97" i="47" s="1"/>
  <c r="AY97" i="47"/>
  <c r="AA102" i="47"/>
  <c r="AA106" i="47"/>
  <c r="AA109" i="47"/>
  <c r="AA126" i="47"/>
  <c r="AA130" i="47"/>
  <c r="AL132" i="47"/>
  <c r="AA145" i="47"/>
  <c r="AA144" i="47" s="1"/>
  <c r="AP150" i="47"/>
  <c r="AY153" i="47"/>
  <c r="Q158" i="47"/>
  <c r="Q157" i="47" s="1"/>
  <c r="AY165" i="47"/>
  <c r="BA168" i="47"/>
  <c r="AA169" i="47"/>
  <c r="P168" i="47"/>
  <c r="AA171" i="47"/>
  <c r="BA176" i="47"/>
  <c r="BB176" i="47" s="1"/>
  <c r="AA177" i="47"/>
  <c r="AA176" i="47" s="1"/>
  <c r="AY183" i="47"/>
  <c r="AA206" i="47"/>
  <c r="AA207" i="47"/>
  <c r="AA220" i="47"/>
  <c r="AA224" i="47"/>
  <c r="Q234" i="47"/>
  <c r="Q229" i="47" s="1"/>
  <c r="P240" i="47"/>
  <c r="P239" i="47" s="1"/>
  <c r="AA244" i="47"/>
  <c r="AA255" i="47"/>
  <c r="AL257" i="47"/>
  <c r="AQ257" i="47"/>
  <c r="R261" i="47"/>
  <c r="R260" i="47" s="1"/>
  <c r="BA270" i="47"/>
  <c r="BB270" i="47" s="1"/>
  <c r="AA273" i="47"/>
  <c r="AA276" i="47"/>
  <c r="R279" i="47"/>
  <c r="AY282" i="47"/>
  <c r="AW286" i="47"/>
  <c r="AY286" i="47" s="1"/>
  <c r="AL79" i="47"/>
  <c r="AQ111" i="47"/>
  <c r="BA114" i="47"/>
  <c r="BB114" i="47" s="1"/>
  <c r="AY147" i="47"/>
  <c r="AS150" i="47"/>
  <c r="BC165" i="47"/>
  <c r="BD165" i="47" s="1"/>
  <c r="AK190" i="47"/>
  <c r="AL213" i="47"/>
  <c r="AQ213" i="47"/>
  <c r="O213" i="47"/>
  <c r="O212" i="47" s="1"/>
  <c r="AO218" i="47"/>
  <c r="BA246" i="47"/>
  <c r="BB246" i="47" s="1"/>
  <c r="BA284" i="47"/>
  <c r="BB284" i="47" s="1"/>
  <c r="AQ293" i="47"/>
  <c r="AL97" i="47"/>
  <c r="AL111" i="47"/>
  <c r="AQ161" i="47"/>
  <c r="AR294" i="47"/>
  <c r="AM8" i="47"/>
  <c r="AU8" i="47"/>
  <c r="AL32" i="47"/>
  <c r="AQ32" i="47"/>
  <c r="AG8" i="47"/>
  <c r="O22" i="47"/>
  <c r="AR22" i="47"/>
  <c r="BC32" i="47"/>
  <c r="BD32" i="47" s="1"/>
  <c r="AY32" i="47"/>
  <c r="AA41" i="47"/>
  <c r="AA47" i="47"/>
  <c r="AP56" i="47"/>
  <c r="AU56" i="47"/>
  <c r="AS69" i="47"/>
  <c r="AW69" i="47"/>
  <c r="P70" i="47"/>
  <c r="AL75" i="47"/>
  <c r="AQ75" i="47"/>
  <c r="AJ78" i="47"/>
  <c r="AU78" i="47"/>
  <c r="AA94" i="47"/>
  <c r="AA95" i="47"/>
  <c r="AU100" i="47"/>
  <c r="O114" i="47"/>
  <c r="AR118" i="47"/>
  <c r="AL121" i="47"/>
  <c r="P135" i="47"/>
  <c r="P134" i="47" s="1"/>
  <c r="AV140" i="47"/>
  <c r="AA143" i="47"/>
  <c r="AS190" i="47"/>
  <c r="AA198" i="47"/>
  <c r="AA199" i="47"/>
  <c r="AX202" i="47"/>
  <c r="AY202" i="47" s="1"/>
  <c r="R203" i="47"/>
  <c r="R202" i="47" s="1"/>
  <c r="AY261" i="47"/>
  <c r="AL268" i="47"/>
  <c r="R271" i="47"/>
  <c r="R270" i="47" s="1"/>
  <c r="P279" i="47"/>
  <c r="P278" i="47" s="1"/>
  <c r="AA288" i="47"/>
  <c r="AA287" i="47" s="1"/>
  <c r="AS157" i="47"/>
  <c r="AV278" i="47"/>
  <c r="P219" i="47"/>
  <c r="P218" i="47" s="1"/>
  <c r="AW278" i="47"/>
  <c r="AW150" i="47"/>
  <c r="AL178" i="47"/>
  <c r="Q105" i="47"/>
  <c r="AW56" i="47"/>
  <c r="AV250" i="47"/>
  <c r="AI286" i="47"/>
  <c r="Q140" i="47"/>
  <c r="Q240" i="47"/>
  <c r="Q239" i="47" s="1"/>
  <c r="AJ286" i="47"/>
  <c r="BA22" i="47"/>
  <c r="BB22" i="47" s="1"/>
  <c r="AT31" i="47"/>
  <c r="AA37" i="47"/>
  <c r="AA46" i="47"/>
  <c r="O57" i="47"/>
  <c r="AG78" i="47"/>
  <c r="AA89" i="47"/>
  <c r="AK100" i="47"/>
  <c r="AY101" i="47"/>
  <c r="AA104" i="47"/>
  <c r="Q135" i="47"/>
  <c r="Q134" i="47" s="1"/>
  <c r="AG140" i="47"/>
  <c r="O141" i="47"/>
  <c r="O140" i="47" s="1"/>
  <c r="R150" i="47"/>
  <c r="AA154" i="47"/>
  <c r="AA153" i="47" s="1"/>
  <c r="AA156" i="47"/>
  <c r="AA155" i="47" s="1"/>
  <c r="AY161" i="47"/>
  <c r="AA175" i="47"/>
  <c r="AA182" i="47"/>
  <c r="AA195" i="47"/>
  <c r="AN190" i="47"/>
  <c r="AA216" i="47"/>
  <c r="BC230" i="47"/>
  <c r="BD230" i="47" s="1"/>
  <c r="AJ229" i="47"/>
  <c r="R234" i="47"/>
  <c r="AX250" i="47"/>
  <c r="AI278" i="47"/>
  <c r="R278" i="47"/>
  <c r="AU286" i="47"/>
  <c r="AX293" i="47"/>
  <c r="AY293" i="47" s="1"/>
  <c r="AS250" i="47"/>
  <c r="AY279" i="47"/>
  <c r="AH150" i="47"/>
  <c r="O150" i="47"/>
  <c r="AA42" i="47"/>
  <c r="AA74" i="47"/>
  <c r="AA73" i="47" s="1"/>
  <c r="AR230" i="47"/>
  <c r="O70" i="47"/>
  <c r="AJ167" i="47"/>
  <c r="AY191" i="47"/>
  <c r="AU229" i="47"/>
  <c r="AW250" i="47"/>
  <c r="BA257" i="47"/>
  <c r="BB257" i="47" s="1"/>
  <c r="AJ278" i="47"/>
  <c r="AA281" i="47"/>
  <c r="AV286" i="47"/>
  <c r="AY48" i="47"/>
  <c r="AA30" i="47"/>
  <c r="BA144" i="47"/>
  <c r="BB144" i="47" s="1"/>
  <c r="AY63" i="47"/>
  <c r="AA196" i="47"/>
  <c r="AA237" i="47"/>
  <c r="BB282" i="47"/>
  <c r="O105" i="47"/>
  <c r="AA23" i="47"/>
  <c r="AG31" i="47"/>
  <c r="R44" i="47"/>
  <c r="Q57" i="47"/>
  <c r="AK56" i="47"/>
  <c r="P92" i="47"/>
  <c r="AQ97" i="47"/>
  <c r="AG100" i="47"/>
  <c r="BC105" i="47"/>
  <c r="BD105" i="47" s="1"/>
  <c r="Q114" i="47"/>
  <c r="AA174" i="47"/>
  <c r="R191" i="47"/>
  <c r="AS218" i="47"/>
  <c r="AV229" i="47"/>
  <c r="P257" i="47"/>
  <c r="AL279" i="47"/>
  <c r="AN286" i="47"/>
  <c r="BD295" i="47"/>
  <c r="AA98" i="47"/>
  <c r="AA97" i="47" s="1"/>
  <c r="AA10" i="47"/>
  <c r="AS78" i="47"/>
  <c r="AH167" i="47"/>
  <c r="AL212" i="47"/>
  <c r="AL219" i="47"/>
  <c r="AA60" i="47"/>
  <c r="AI260" i="47"/>
  <c r="AN293" i="47"/>
  <c r="AR293" i="47" s="1"/>
  <c r="O44" i="47"/>
  <c r="BB168" i="47"/>
  <c r="Q279" i="47"/>
  <c r="Q278" i="47" s="1"/>
  <c r="AQ144" i="47"/>
  <c r="AK8" i="47"/>
  <c r="AH31" i="47"/>
  <c r="AR79" i="47"/>
  <c r="AR78" i="47" s="1"/>
  <c r="Q92" i="47"/>
  <c r="R114" i="47"/>
  <c r="AJ140" i="47"/>
  <c r="AN150" i="47"/>
  <c r="AT218" i="47"/>
  <c r="O230" i="47"/>
  <c r="Q257" i="47"/>
  <c r="AQ282" i="47"/>
  <c r="AN278" i="47"/>
  <c r="AY289" i="47"/>
  <c r="AA192" i="47"/>
  <c r="AY268" i="47"/>
  <c r="AK167" i="47"/>
  <c r="AU157" i="47"/>
  <c r="AV100" i="47"/>
  <c r="AR111" i="47"/>
  <c r="AP31" i="47"/>
  <c r="R92" i="47"/>
  <c r="AY111" i="47"/>
  <c r="AQ125" i="47"/>
  <c r="AA131" i="47"/>
  <c r="AO150" i="47"/>
  <c r="AM157" i="47"/>
  <c r="O219" i="47"/>
  <c r="O218" i="47" s="1"/>
  <c r="Q251" i="47"/>
  <c r="AQ268" i="47"/>
  <c r="AA277" i="47"/>
  <c r="AA39" i="47"/>
  <c r="AA26" i="47"/>
  <c r="AA226" i="47"/>
  <c r="Q246" i="47"/>
  <c r="Q245" i="47" s="1"/>
  <c r="AA90" i="47"/>
  <c r="AL246" i="47"/>
  <c r="AA29" i="47"/>
  <c r="AA137" i="47"/>
  <c r="O92" i="47"/>
  <c r="AQ22" i="47"/>
  <c r="AA53" i="47"/>
  <c r="AA58" i="47"/>
  <c r="AW100" i="47"/>
  <c r="AL114" i="47"/>
  <c r="AM140" i="47"/>
  <c r="AR141" i="47"/>
  <c r="AR140" i="47" s="1"/>
  <c r="AO167" i="47"/>
  <c r="BC176" i="47"/>
  <c r="BD176" i="47" s="1"/>
  <c r="AA223" i="47"/>
  <c r="R251" i="47"/>
  <c r="AS260" i="47"/>
  <c r="AL270" i="47"/>
  <c r="AO278" i="47"/>
  <c r="AA238" i="47"/>
  <c r="Q118" i="47"/>
  <c r="AX150" i="47"/>
  <c r="AA160" i="47"/>
  <c r="AA228" i="47"/>
  <c r="AA227" i="47" s="1"/>
  <c r="AW260" i="47"/>
  <c r="AV56" i="47"/>
  <c r="AA185" i="47"/>
  <c r="P22" i="47"/>
  <c r="AQ178" i="47"/>
  <c r="AA204" i="47"/>
  <c r="AS8" i="47"/>
  <c r="AU31" i="47"/>
  <c r="AX100" i="47"/>
  <c r="AQ168" i="47"/>
  <c r="AU167" i="47"/>
  <c r="AA180" i="47"/>
  <c r="AA242" i="47"/>
  <c r="AH245" i="47"/>
  <c r="BA245" i="47" s="1"/>
  <c r="BB245" i="47" s="1"/>
  <c r="AL251" i="47"/>
  <c r="AM250" i="47"/>
  <c r="AA292" i="47"/>
  <c r="AA15" i="47"/>
  <c r="AA113" i="47"/>
  <c r="AA107" i="47"/>
  <c r="AW167" i="47"/>
  <c r="AL289" i="47"/>
  <c r="AA24" i="47"/>
  <c r="Q44" i="47"/>
  <c r="AH140" i="47"/>
  <c r="Q25" i="47"/>
  <c r="AV31" i="47"/>
  <c r="AP69" i="47"/>
  <c r="AQ69" i="47" s="1"/>
  <c r="AY73" i="47"/>
  <c r="AM117" i="47"/>
  <c r="AG157" i="47"/>
  <c r="AL161" i="47"/>
  <c r="AA162" i="47"/>
  <c r="AA161" i="47" s="1"/>
  <c r="AA173" i="47"/>
  <c r="AA193" i="47"/>
  <c r="AR213" i="47"/>
  <c r="AR212" i="47" s="1"/>
  <c r="AA232" i="47"/>
  <c r="AU260" i="47"/>
  <c r="AQ266" i="47"/>
  <c r="Q150" i="47"/>
  <c r="BA203" i="47"/>
  <c r="BB203" i="47" s="1"/>
  <c r="AI202" i="47"/>
  <c r="BA202" i="47" s="1"/>
  <c r="BB202" i="47" s="1"/>
  <c r="AA205" i="47"/>
  <c r="AY36" i="47"/>
  <c r="AW31" i="47"/>
  <c r="Q36" i="47"/>
  <c r="AA50" i="47"/>
  <c r="BA63" i="47"/>
  <c r="BB63" i="47" s="1"/>
  <c r="AA65" i="47"/>
  <c r="R141" i="47"/>
  <c r="R140" i="47" s="1"/>
  <c r="AJ150" i="47"/>
  <c r="AV260" i="47"/>
  <c r="AA283" i="47"/>
  <c r="AA282" i="47" s="1"/>
  <c r="R288" i="47"/>
  <c r="R287" i="47" s="1"/>
  <c r="R286" i="47" s="1"/>
  <c r="AY22" i="47"/>
  <c r="BA73" i="47"/>
  <c r="BB73" i="47" s="1"/>
  <c r="AM100" i="47"/>
  <c r="BC111" i="47"/>
  <c r="BD111" i="47" s="1"/>
  <c r="O118" i="47"/>
  <c r="AR121" i="47"/>
  <c r="AL203" i="47"/>
  <c r="AL234" i="47"/>
  <c r="Y245" i="47"/>
  <c r="AM245" i="47"/>
  <c r="BC245" i="47" s="1"/>
  <c r="BD245" i="47" s="1"/>
  <c r="AK286" i="47"/>
  <c r="AA18" i="47"/>
  <c r="P57" i="47"/>
  <c r="AA87" i="47"/>
  <c r="P118" i="47"/>
  <c r="AA149" i="47"/>
  <c r="AA148" i="47" s="1"/>
  <c r="AA147" i="47" s="1"/>
  <c r="AA187" i="47"/>
  <c r="AM286" i="47"/>
  <c r="BC287" i="47"/>
  <c r="BD287" i="47" s="1"/>
  <c r="AX69" i="47"/>
  <c r="AS117" i="47"/>
  <c r="AA186" i="47"/>
  <c r="AL209" i="47"/>
  <c r="AQ209" i="47"/>
  <c r="BA294" i="47"/>
  <c r="BB295" i="47"/>
  <c r="AA82" i="47"/>
  <c r="AS100" i="47"/>
  <c r="AA217" i="47"/>
  <c r="AA254" i="47"/>
  <c r="Q261" i="47"/>
  <c r="Q260" i="47" s="1"/>
  <c r="AA263" i="47"/>
  <c r="BD293" i="47"/>
  <c r="AR9" i="47"/>
  <c r="BA92" i="47"/>
  <c r="BB92" i="47" s="1"/>
  <c r="AH78" i="47"/>
  <c r="AA80" i="47"/>
  <c r="AL73" i="47"/>
  <c r="AA13" i="47"/>
  <c r="AA64" i="47"/>
  <c r="P261" i="47"/>
  <c r="P260" i="47" s="1"/>
  <c r="BA36" i="47"/>
  <c r="BB36" i="47" s="1"/>
  <c r="AN56" i="47"/>
  <c r="AK78" i="47"/>
  <c r="AL78" i="47" s="1"/>
  <c r="R219" i="47"/>
  <c r="R218" i="47" s="1"/>
  <c r="AL151" i="47"/>
  <c r="AG150" i="47"/>
  <c r="BA25" i="47"/>
  <c r="BB25" i="47" s="1"/>
  <c r="AA243" i="47"/>
  <c r="AY168" i="47"/>
  <c r="BC36" i="47"/>
  <c r="BD36" i="47" s="1"/>
  <c r="AA52" i="47"/>
  <c r="AO100" i="47"/>
  <c r="AO117" i="47"/>
  <c r="AV190" i="47"/>
  <c r="AG202" i="47"/>
  <c r="AN218" i="47"/>
  <c r="O257" i="47"/>
  <c r="AH278" i="47"/>
  <c r="AV8" i="47"/>
  <c r="BA118" i="47"/>
  <c r="BB118" i="47" s="1"/>
  <c r="AJ117" i="47"/>
  <c r="AK117" i="47"/>
  <c r="AL118" i="47"/>
  <c r="AO8" i="47"/>
  <c r="AQ57" i="47"/>
  <c r="AQ118" i="47"/>
  <c r="AP117" i="47"/>
  <c r="Q121" i="47"/>
  <c r="AL183" i="47"/>
  <c r="BC219" i="47"/>
  <c r="BD219" i="47" s="1"/>
  <c r="R240" i="47"/>
  <c r="R239" i="47" s="1"/>
  <c r="Q289" i="47"/>
  <c r="Q286" i="47" s="1"/>
  <c r="BD294" i="47"/>
  <c r="Q125" i="47"/>
  <c r="BA147" i="47"/>
  <c r="BB147" i="47" s="1"/>
  <c r="O125" i="47"/>
  <c r="AA20" i="47"/>
  <c r="AR25" i="47"/>
  <c r="BA49" i="47"/>
  <c r="BB49" i="47" s="1"/>
  <c r="AR101" i="47"/>
  <c r="AY105" i="47"/>
  <c r="AL144" i="47"/>
  <c r="AK140" i="47"/>
  <c r="AL163" i="47"/>
  <c r="Q191" i="47"/>
  <c r="Q190" i="47" s="1"/>
  <c r="AQ227" i="47"/>
  <c r="AY271" i="47"/>
  <c r="AW270" i="47"/>
  <c r="AY270" i="47" s="1"/>
  <c r="AA40" i="47"/>
  <c r="O36" i="47"/>
  <c r="P125" i="47"/>
  <c r="R57" i="47"/>
  <c r="AG229" i="47"/>
  <c r="AL229" i="47" s="1"/>
  <c r="AA139" i="47"/>
  <c r="AA179" i="47"/>
  <c r="AR36" i="47"/>
  <c r="BA44" i="47"/>
  <c r="BB44" i="47" s="1"/>
  <c r="BA161" i="47"/>
  <c r="BB161" i="47" s="1"/>
  <c r="AI157" i="47"/>
  <c r="AA164" i="47"/>
  <c r="AA163" i="47" s="1"/>
  <c r="AY234" i="47"/>
  <c r="AG245" i="47"/>
  <c r="AL245" i="47" s="1"/>
  <c r="AQ246" i="47"/>
  <c r="Q271" i="47"/>
  <c r="Q270" i="47" s="1"/>
  <c r="AA274" i="47"/>
  <c r="AA291" i="47"/>
  <c r="AQ200" i="47"/>
  <c r="AG190" i="47"/>
  <c r="BC191" i="47"/>
  <c r="BD191" i="47" s="1"/>
  <c r="AI8" i="47"/>
  <c r="AQ141" i="47"/>
  <c r="O25" i="47"/>
  <c r="AA27" i="47"/>
  <c r="Q79" i="47"/>
  <c r="AA115" i="47"/>
  <c r="AA114" i="47" s="1"/>
  <c r="AX157" i="47"/>
  <c r="AL165" i="47"/>
  <c r="BC266" i="47"/>
  <c r="BD266" i="47" s="1"/>
  <c r="AA290" i="47"/>
  <c r="O75" i="47"/>
  <c r="O69" i="47" s="1"/>
  <c r="AA112" i="47"/>
  <c r="R118" i="47"/>
  <c r="AA124" i="47"/>
  <c r="AA133" i="47"/>
  <c r="AA132" i="47" s="1"/>
  <c r="P141" i="47"/>
  <c r="P140" i="47" s="1"/>
  <c r="AQ147" i="47"/>
  <c r="BA153" i="47"/>
  <c r="BB153" i="47" s="1"/>
  <c r="AV157" i="47"/>
  <c r="AR178" i="47"/>
  <c r="P183" i="47"/>
  <c r="AP218" i="47"/>
  <c r="BA227" i="47"/>
  <c r="BB227" i="47" s="1"/>
  <c r="BA234" i="47"/>
  <c r="BB234" i="47" s="1"/>
  <c r="O251" i="47"/>
  <c r="AA264" i="47"/>
  <c r="AA14" i="47"/>
  <c r="BC22" i="47"/>
  <c r="BD22" i="47" s="1"/>
  <c r="AO31" i="47"/>
  <c r="P36" i="47"/>
  <c r="AA51" i="47"/>
  <c r="AM56" i="47"/>
  <c r="AJ56" i="47"/>
  <c r="AV69" i="47"/>
  <c r="P75" i="47"/>
  <c r="P79" i="47"/>
  <c r="AA86" i="47"/>
  <c r="AA93" i="47"/>
  <c r="R135" i="47"/>
  <c r="R134" i="47" s="1"/>
  <c r="AW157" i="47"/>
  <c r="Q168" i="47"/>
  <c r="Q219" i="47"/>
  <c r="Q218" i="47" s="1"/>
  <c r="AW229" i="47"/>
  <c r="P230" i="47"/>
  <c r="AI229" i="47"/>
  <c r="BA251" i="47"/>
  <c r="BB251" i="47" s="1"/>
  <c r="P251" i="47"/>
  <c r="AY257" i="47"/>
  <c r="AG260" i="47"/>
  <c r="O261" i="47"/>
  <c r="O260" i="47" s="1"/>
  <c r="AO286" i="47"/>
  <c r="BA289" i="47"/>
  <c r="BB289" i="47" s="1"/>
  <c r="AA142" i="47"/>
  <c r="AA259" i="47"/>
  <c r="AR289" i="47"/>
  <c r="AR286" i="47" s="1"/>
  <c r="AM78" i="47"/>
  <c r="R183" i="47"/>
  <c r="AL191" i="47"/>
  <c r="AA194" i="47"/>
  <c r="AY213" i="47"/>
  <c r="AA225" i="47"/>
  <c r="AA233" i="47"/>
  <c r="AA252" i="47"/>
  <c r="AK250" i="47"/>
  <c r="AL250" i="47" s="1"/>
  <c r="AY266" i="47"/>
  <c r="AU278" i="47"/>
  <c r="AS278" i="47"/>
  <c r="R168" i="47"/>
  <c r="AR44" i="47"/>
  <c r="AR57" i="47"/>
  <c r="AA152" i="47"/>
  <c r="AA151" i="47" s="1"/>
  <c r="AX8" i="47"/>
  <c r="AL25" i="47"/>
  <c r="AA43" i="47"/>
  <c r="AQ63" i="47"/>
  <c r="AR63" i="47"/>
  <c r="BC73" i="47"/>
  <c r="BD73" i="47" s="1"/>
  <c r="AA85" i="47"/>
  <c r="BC92" i="47"/>
  <c r="BD92" i="47" s="1"/>
  <c r="AN78" i="47"/>
  <c r="AA108" i="47"/>
  <c r="AA129" i="47"/>
  <c r="AN157" i="47"/>
  <c r="P178" i="47"/>
  <c r="AQ183" i="47"/>
  <c r="AA189" i="47"/>
  <c r="AI190" i="47"/>
  <c r="P271" i="47"/>
  <c r="P270" i="47" s="1"/>
  <c r="AT286" i="47"/>
  <c r="AR219" i="47"/>
  <c r="AR218" i="47" s="1"/>
  <c r="AR49" i="47"/>
  <c r="AR48" i="47" s="1"/>
  <c r="AO78" i="47"/>
  <c r="O101" i="47"/>
  <c r="R125" i="47"/>
  <c r="AQ153" i="47"/>
  <c r="AJ157" i="47"/>
  <c r="AQ163" i="47"/>
  <c r="AG167" i="47"/>
  <c r="AL167" i="47" s="1"/>
  <c r="AR183" i="47"/>
  <c r="AR203" i="47"/>
  <c r="AR202" i="47" s="1"/>
  <c r="AL230" i="47"/>
  <c r="AR234" i="47"/>
  <c r="AQ240" i="47"/>
  <c r="AR246" i="47"/>
  <c r="AR245" i="47" s="1"/>
  <c r="AR261" i="47"/>
  <c r="AR260" i="47" s="1"/>
  <c r="AX278" i="47"/>
  <c r="AY278" i="47" s="1"/>
  <c r="AA248" i="47"/>
  <c r="AA38" i="47"/>
  <c r="AQ70" i="47"/>
  <c r="AA12" i="47"/>
  <c r="AA17" i="47"/>
  <c r="AA61" i="47"/>
  <c r="AJ69" i="47"/>
  <c r="AA96" i="47"/>
  <c r="AL105" i="47"/>
  <c r="AY121" i="47"/>
  <c r="AQ151" i="47"/>
  <c r="AR150" i="47"/>
  <c r="BC183" i="47"/>
  <c r="BD183" i="47" s="1"/>
  <c r="AA201" i="47"/>
  <c r="AA200" i="47" s="1"/>
  <c r="P213" i="47"/>
  <c r="P212" i="47" s="1"/>
  <c r="AG218" i="47"/>
  <c r="AY219" i="47"/>
  <c r="R230" i="47"/>
  <c r="AA256" i="47"/>
  <c r="AA258" i="47"/>
  <c r="AO260" i="47"/>
  <c r="P191" i="47"/>
  <c r="P190" i="47" s="1"/>
  <c r="AA210" i="47"/>
  <c r="AA209" i="47" s="1"/>
  <c r="AA208" i="47" s="1"/>
  <c r="AW8" i="47"/>
  <c r="AH8" i="47"/>
  <c r="AK69" i="47"/>
  <c r="AL69" i="47" s="1"/>
  <c r="AQ73" i="47"/>
  <c r="R105" i="47"/>
  <c r="AA127" i="47"/>
  <c r="AA159" i="47"/>
  <c r="AR158" i="47"/>
  <c r="AR157" i="47" s="1"/>
  <c r="BC234" i="47"/>
  <c r="BD234" i="47" s="1"/>
  <c r="BA268" i="47"/>
  <c r="BB268" i="47" s="1"/>
  <c r="AY287" i="47"/>
  <c r="AA172" i="47"/>
  <c r="AY212" i="47"/>
  <c r="AA241" i="47"/>
  <c r="O9" i="47"/>
  <c r="R25" i="47"/>
  <c r="P9" i="47"/>
  <c r="Q9" i="47"/>
  <c r="AL22" i="47"/>
  <c r="AQ25" i="47"/>
  <c r="AY44" i="47"/>
  <c r="AA71" i="47"/>
  <c r="AA88" i="47"/>
  <c r="AY92" i="47"/>
  <c r="AJ100" i="47"/>
  <c r="Q111" i="47"/>
  <c r="AQ121" i="47"/>
  <c r="AA122" i="47"/>
  <c r="R121" i="47"/>
  <c r="AL125" i="47"/>
  <c r="AQ132" i="47"/>
  <c r="AU140" i="47"/>
  <c r="AA166" i="47"/>
  <c r="AA165" i="47" s="1"/>
  <c r="AL168" i="47"/>
  <c r="AA170" i="47"/>
  <c r="Q178" i="47"/>
  <c r="Q203" i="47"/>
  <c r="Q202" i="47" s="1"/>
  <c r="AI218" i="47"/>
  <c r="AA231" i="47"/>
  <c r="AP239" i="47"/>
  <c r="BA266" i="47"/>
  <c r="BB266" i="47" s="1"/>
  <c r="AA272" i="47"/>
  <c r="AM150" i="47"/>
  <c r="AA235" i="47"/>
  <c r="R9" i="47"/>
  <c r="O32" i="47"/>
  <c r="AN69" i="47"/>
  <c r="AQ92" i="47"/>
  <c r="Q101" i="47"/>
  <c r="O111" i="47"/>
  <c r="AG117" i="47"/>
  <c r="AH117" i="47"/>
  <c r="BA132" i="47"/>
  <c r="BB132" i="47" s="1"/>
  <c r="BA148" i="47"/>
  <c r="BB148" i="47" s="1"/>
  <c r="AU150" i="47"/>
  <c r="AM167" i="47"/>
  <c r="AO190" i="47"/>
  <c r="AA214" i="47"/>
  <c r="AA222" i="47"/>
  <c r="AQ230" i="47"/>
  <c r="P234" i="47"/>
  <c r="AU250" i="47"/>
  <c r="AR257" i="47"/>
  <c r="AL266" i="47"/>
  <c r="BA279" i="47"/>
  <c r="BB279" i="47" s="1"/>
  <c r="P289" i="47"/>
  <c r="P286" i="47" s="1"/>
  <c r="AQ294" i="47"/>
  <c r="Z33" i="47"/>
  <c r="AA33" i="47" s="1"/>
  <c r="R33" i="47"/>
  <c r="R32" i="47" s="1"/>
  <c r="BA122" i="47"/>
  <c r="BB122" i="47" s="1"/>
  <c r="AI121" i="47"/>
  <c r="AL36" i="47"/>
  <c r="AQ135" i="47"/>
  <c r="AP78" i="47"/>
  <c r="AQ78" i="47" s="1"/>
  <c r="AQ79" i="47"/>
  <c r="AA77" i="47"/>
  <c r="P111" i="47"/>
  <c r="BC135" i="47"/>
  <c r="BD135" i="47" s="1"/>
  <c r="AT134" i="47"/>
  <c r="BC144" i="47"/>
  <c r="BD144" i="47" s="1"/>
  <c r="AN140" i="47"/>
  <c r="AA11" i="47"/>
  <c r="AS31" i="47"/>
  <c r="P44" i="47"/>
  <c r="P49" i="47"/>
  <c r="P48" i="47" s="1"/>
  <c r="R63" i="47"/>
  <c r="AX78" i="47"/>
  <c r="AT78" i="47"/>
  <c r="AW117" i="47"/>
  <c r="Q49" i="47"/>
  <c r="Q48" i="47" s="1"/>
  <c r="BC49" i="47"/>
  <c r="BD49" i="47" s="1"/>
  <c r="Q75" i="47"/>
  <c r="Q69" i="47" s="1"/>
  <c r="AP8" i="47"/>
  <c r="R36" i="47"/>
  <c r="AL49" i="47"/>
  <c r="O49" i="47"/>
  <c r="O48" i="47" s="1"/>
  <c r="Q63" i="47"/>
  <c r="Q56" i="47" s="1"/>
  <c r="AT121" i="47"/>
  <c r="BC121" i="47" s="1"/>
  <c r="BD121" i="47" s="1"/>
  <c r="BC122" i="47"/>
  <c r="BD122" i="47" s="1"/>
  <c r="AY155" i="47"/>
  <c r="BC155" i="47"/>
  <c r="BD155" i="47" s="1"/>
  <c r="AK48" i="47"/>
  <c r="AL48" i="47" s="1"/>
  <c r="BC57" i="47"/>
  <c r="BD57" i="47" s="1"/>
  <c r="AT56" i="47"/>
  <c r="AL63" i="47"/>
  <c r="O63" i="47"/>
  <c r="BC70" i="47"/>
  <c r="BD70" i="47" s="1"/>
  <c r="AR70" i="47"/>
  <c r="AA76" i="47"/>
  <c r="BC118" i="47"/>
  <c r="BD118" i="47" s="1"/>
  <c r="AR125" i="47"/>
  <c r="P150" i="47"/>
  <c r="AA197" i="47"/>
  <c r="AL227" i="47"/>
  <c r="AP260" i="47"/>
  <c r="AQ261" i="47"/>
  <c r="AY49" i="47"/>
  <c r="AA54" i="47"/>
  <c r="AX31" i="47"/>
  <c r="AA68" i="47"/>
  <c r="AL44" i="47"/>
  <c r="P63" i="47"/>
  <c r="BA76" i="47"/>
  <c r="BB76" i="47" s="1"/>
  <c r="AH75" i="47"/>
  <c r="AU117" i="47"/>
  <c r="AU99" i="47" s="1"/>
  <c r="AX134" i="47"/>
  <c r="AY134" i="47" s="1"/>
  <c r="AY135" i="47"/>
  <c r="BA155" i="47"/>
  <c r="BB155" i="47" s="1"/>
  <c r="AS167" i="47"/>
  <c r="AP100" i="47"/>
  <c r="AQ101" i="47"/>
  <c r="AM69" i="47"/>
  <c r="AN117" i="47"/>
  <c r="AR135" i="47"/>
  <c r="AR134" i="47" s="1"/>
  <c r="R49" i="47"/>
  <c r="R48" i="47" s="1"/>
  <c r="BC25" i="47"/>
  <c r="BD25" i="47" s="1"/>
  <c r="BC48" i="47"/>
  <c r="BD48" i="47" s="1"/>
  <c r="AQ49" i="47"/>
  <c r="AA91" i="47"/>
  <c r="AI100" i="47"/>
  <c r="BA101" i="47"/>
  <c r="BB101" i="47" s="1"/>
  <c r="BA134" i="47"/>
  <c r="BB134" i="47" s="1"/>
  <c r="AO157" i="47"/>
  <c r="AR191" i="47"/>
  <c r="AR190" i="47" s="1"/>
  <c r="AT229" i="47"/>
  <c r="AA28" i="47"/>
  <c r="AQ148" i="47"/>
  <c r="AO69" i="47"/>
  <c r="BA105" i="47"/>
  <c r="BB105" i="47" s="1"/>
  <c r="AH100" i="47"/>
  <c r="AY132" i="47"/>
  <c r="AL147" i="47"/>
  <c r="AI31" i="47"/>
  <c r="AQ44" i="47"/>
  <c r="BC46" i="47"/>
  <c r="BD46" i="47" s="1"/>
  <c r="AN44" i="47"/>
  <c r="AN31" i="47" s="1"/>
  <c r="AL57" i="47"/>
  <c r="AG56" i="47"/>
  <c r="AG55" i="47" s="1"/>
  <c r="AX56" i="47"/>
  <c r="AY57" i="47"/>
  <c r="R69" i="47"/>
  <c r="BA79" i="47"/>
  <c r="BB79" i="47" s="1"/>
  <c r="BC114" i="47"/>
  <c r="BD114" i="47" s="1"/>
  <c r="AR114" i="47"/>
  <c r="P121" i="47"/>
  <c r="BC141" i="47"/>
  <c r="BD141" i="47" s="1"/>
  <c r="AT140" i="47"/>
  <c r="AQ158" i="47"/>
  <c r="AP157" i="47"/>
  <c r="AV167" i="47"/>
  <c r="AQ287" i="47"/>
  <c r="AG286" i="47"/>
  <c r="AL287" i="47"/>
  <c r="O289" i="47"/>
  <c r="O286" i="47" s="1"/>
  <c r="AA81" i="47"/>
  <c r="P25" i="47"/>
  <c r="AQ48" i="47"/>
  <c r="AL135" i="47"/>
  <c r="AG134" i="47"/>
  <c r="AL134" i="47" s="1"/>
  <c r="AK31" i="47"/>
  <c r="BA57" i="47"/>
  <c r="BB57" i="47" s="1"/>
  <c r="AH56" i="47"/>
  <c r="BC75" i="47"/>
  <c r="BD75" i="47" s="1"/>
  <c r="O79" i="47"/>
  <c r="O121" i="47"/>
  <c r="AX125" i="47"/>
  <c r="AX117" i="47" s="1"/>
  <c r="BC132" i="47"/>
  <c r="BD132" i="47" s="1"/>
  <c r="AI125" i="47"/>
  <c r="BA125" i="47" s="1"/>
  <c r="BB125" i="47" s="1"/>
  <c r="BA130" i="47"/>
  <c r="BB130" i="47" s="1"/>
  <c r="AI56" i="47"/>
  <c r="BC63" i="47"/>
  <c r="BD63" i="47" s="1"/>
  <c r="BA70" i="47"/>
  <c r="BB70" i="47" s="1"/>
  <c r="BC79" i="47"/>
  <c r="BD79" i="47" s="1"/>
  <c r="P101" i="47"/>
  <c r="BC168" i="47"/>
  <c r="BD168" i="47" s="1"/>
  <c r="AY176" i="47"/>
  <c r="AX167" i="47"/>
  <c r="AY167" i="47" s="1"/>
  <c r="AA120" i="47"/>
  <c r="BC148" i="47"/>
  <c r="BD148" i="47" s="1"/>
  <c r="BC163" i="47"/>
  <c r="BD163" i="47" s="1"/>
  <c r="P157" i="47"/>
  <c r="AR240" i="47"/>
  <c r="AR239" i="47" s="1"/>
  <c r="BA9" i="47"/>
  <c r="AM31" i="47"/>
  <c r="AN100" i="47"/>
  <c r="BC9" i="47"/>
  <c r="AA16" i="47"/>
  <c r="AA35" i="47"/>
  <c r="AI69" i="47"/>
  <c r="R79" i="47"/>
  <c r="R101" i="47"/>
  <c r="AA103" i="47"/>
  <c r="AY114" i="47"/>
  <c r="BC127" i="47"/>
  <c r="BD127" i="47" s="1"/>
  <c r="AY127" i="47"/>
  <c r="AA136" i="47"/>
  <c r="AX140" i="47"/>
  <c r="AY141" i="47"/>
  <c r="Q213" i="47"/>
  <c r="Q212" i="47" s="1"/>
  <c r="BC151" i="47"/>
  <c r="BD151" i="47" s="1"/>
  <c r="BC158" i="47"/>
  <c r="BD158" i="47" s="1"/>
  <c r="AY250" i="47"/>
  <c r="AG278" i="47"/>
  <c r="AL284" i="47"/>
  <c r="AY70" i="47"/>
  <c r="AM147" i="47"/>
  <c r="BC161" i="47"/>
  <c r="BD161" i="47" s="1"/>
  <c r="AW190" i="47"/>
  <c r="AY190" i="47" s="1"/>
  <c r="BC200" i="47"/>
  <c r="BD200" i="47" s="1"/>
  <c r="BC240" i="47"/>
  <c r="BD240" i="47" s="1"/>
  <c r="AT239" i="47"/>
  <c r="AV117" i="47"/>
  <c r="O183" i="47"/>
  <c r="R190" i="47"/>
  <c r="O191" i="47"/>
  <c r="O190" i="47" s="1"/>
  <c r="AM212" i="47"/>
  <c r="BC213" i="47"/>
  <c r="BD213" i="47" s="1"/>
  <c r="R213" i="47"/>
  <c r="R212" i="47" s="1"/>
  <c r="AA215" i="47"/>
  <c r="AP270" i="47"/>
  <c r="AQ270" i="47" s="1"/>
  <c r="AQ271" i="47"/>
  <c r="AL70" i="47"/>
  <c r="AR75" i="47"/>
  <c r="AI140" i="47"/>
  <c r="AY148" i="47"/>
  <c r="BA151" i="47"/>
  <c r="BB151" i="47" s="1"/>
  <c r="AY151" i="47"/>
  <c r="BA158" i="47"/>
  <c r="BB158" i="47" s="1"/>
  <c r="AH157" i="47"/>
  <c r="AY158" i="47"/>
  <c r="AP212" i="47"/>
  <c r="AY118" i="47"/>
  <c r="BA135" i="47"/>
  <c r="BB135" i="47" s="1"/>
  <c r="BA141" i="47"/>
  <c r="BB141" i="47" s="1"/>
  <c r="AI150" i="47"/>
  <c r="BC153" i="47"/>
  <c r="BD153" i="47" s="1"/>
  <c r="O203" i="47"/>
  <c r="O202" i="47" s="1"/>
  <c r="BA219" i="47"/>
  <c r="BB219" i="47" s="1"/>
  <c r="AH218" i="47"/>
  <c r="BA230" i="47"/>
  <c r="BB230" i="47" s="1"/>
  <c r="AH229" i="47"/>
  <c r="BC271" i="47"/>
  <c r="BD271" i="47" s="1"/>
  <c r="AL92" i="47"/>
  <c r="BC101" i="47"/>
  <c r="BD101" i="47" s="1"/>
  <c r="AL141" i="47"/>
  <c r="AT167" i="47"/>
  <c r="BC209" i="47"/>
  <c r="BD209" i="47" s="1"/>
  <c r="AT208" i="47"/>
  <c r="O279" i="47"/>
  <c r="O278" i="47" s="1"/>
  <c r="AT150" i="47"/>
  <c r="AK157" i="47"/>
  <c r="R257" i="47"/>
  <c r="AQ284" i="47"/>
  <c r="AV78" i="47"/>
  <c r="BA111" i="47"/>
  <c r="BB111" i="47" s="1"/>
  <c r="AL148" i="47"/>
  <c r="AY163" i="47"/>
  <c r="BA181" i="47"/>
  <c r="BB181" i="47" s="1"/>
  <c r="AI178" i="47"/>
  <c r="BA178" i="47" s="1"/>
  <c r="BB178" i="47" s="1"/>
  <c r="P105" i="47"/>
  <c r="O135" i="47"/>
  <c r="O134" i="47" s="1"/>
  <c r="AT157" i="47"/>
  <c r="AY79" i="47"/>
  <c r="AT100" i="47"/>
  <c r="AP140" i="47"/>
  <c r="AK150" i="47"/>
  <c r="AL153" i="47"/>
  <c r="BA163" i="47"/>
  <c r="BB163" i="47" s="1"/>
  <c r="AQ176" i="47"/>
  <c r="AP167" i="47"/>
  <c r="AA184" i="47"/>
  <c r="AX208" i="47"/>
  <c r="AY208" i="47" s="1"/>
  <c r="AY209" i="47"/>
  <c r="BC268" i="47"/>
  <c r="BD268" i="47" s="1"/>
  <c r="AT260" i="47"/>
  <c r="AM229" i="47"/>
  <c r="AW245" i="47"/>
  <c r="AY246" i="47"/>
  <c r="BC282" i="47"/>
  <c r="BD282" i="47" s="1"/>
  <c r="BA287" i="47"/>
  <c r="BB287" i="47" s="1"/>
  <c r="O168" i="47"/>
  <c r="R178" i="47"/>
  <c r="AN178" i="47"/>
  <c r="AN167" i="47" s="1"/>
  <c r="AN229" i="47"/>
  <c r="BC261" i="47"/>
  <c r="BD261" i="47" s="1"/>
  <c r="AR271" i="47"/>
  <c r="AR270" i="47" s="1"/>
  <c r="AH286" i="47"/>
  <c r="BC246" i="47"/>
  <c r="BD246" i="47" s="1"/>
  <c r="AK218" i="47"/>
  <c r="AN260" i="47"/>
  <c r="AX239" i="47"/>
  <c r="AY239" i="47" s="1"/>
  <c r="AY240" i="47"/>
  <c r="O246" i="47"/>
  <c r="O245" i="47" s="1"/>
  <c r="AN250" i="47"/>
  <c r="AP278" i="47"/>
  <c r="AA280" i="47"/>
  <c r="BC284" i="47"/>
  <c r="BD284" i="47" s="1"/>
  <c r="BA200" i="47"/>
  <c r="BB200" i="47" s="1"/>
  <c r="BA213" i="47"/>
  <c r="BB213" i="47" s="1"/>
  <c r="AM218" i="47"/>
  <c r="AL240" i="47"/>
  <c r="AG239" i="47"/>
  <c r="P246" i="47"/>
  <c r="P245" i="47" s="1"/>
  <c r="AA249" i="47"/>
  <c r="AO250" i="47"/>
  <c r="AR251" i="47"/>
  <c r="BA261" i="47"/>
  <c r="BB261" i="47" s="1"/>
  <c r="AQ279" i="47"/>
  <c r="AK278" i="47"/>
  <c r="AL282" i="47"/>
  <c r="BA165" i="47"/>
  <c r="BB165" i="47" s="1"/>
  <c r="AR168" i="47"/>
  <c r="AL176" i="47"/>
  <c r="BA209" i="47"/>
  <c r="BB209" i="47" s="1"/>
  <c r="AH208" i="47"/>
  <c r="BA208" i="47" s="1"/>
  <c r="BB208" i="47" s="1"/>
  <c r="BA240" i="47"/>
  <c r="BB240" i="47" s="1"/>
  <c r="AH239" i="47"/>
  <c r="BA239" i="47" s="1"/>
  <c r="BB239" i="47" s="1"/>
  <c r="R246" i="47"/>
  <c r="R245" i="47" s="1"/>
  <c r="AP250" i="47"/>
  <c r="AQ250" i="47" s="1"/>
  <c r="AQ251" i="47"/>
  <c r="AS286" i="47"/>
  <c r="BA192" i="47"/>
  <c r="BB192" i="47" s="1"/>
  <c r="AH191" i="47"/>
  <c r="AX229" i="47"/>
  <c r="AY230" i="47"/>
  <c r="BC257" i="47"/>
  <c r="BD257" i="47" s="1"/>
  <c r="AJ260" i="47"/>
  <c r="BC279" i="47"/>
  <c r="BD279" i="47" s="1"/>
  <c r="AT278" i="47"/>
  <c r="AP190" i="47"/>
  <c r="AQ191" i="47"/>
  <c r="P203" i="47"/>
  <c r="P202" i="47" s="1"/>
  <c r="AQ219" i="47"/>
  <c r="O234" i="47"/>
  <c r="BC251" i="47"/>
  <c r="BD251" i="47" s="1"/>
  <c r="AK260" i="47"/>
  <c r="BA271" i="47"/>
  <c r="BB271" i="47" s="1"/>
  <c r="O271" i="47"/>
  <c r="O270" i="47" s="1"/>
  <c r="AY284" i="47"/>
  <c r="AP286" i="47"/>
  <c r="AQ289" i="47"/>
  <c r="BC203" i="47"/>
  <c r="BD203" i="47" s="1"/>
  <c r="AG208" i="47"/>
  <c r="AH250" i="47"/>
  <c r="AH260" i="47"/>
  <c r="AL261" i="47"/>
  <c r="AL271" i="47"/>
  <c r="AH212" i="47"/>
  <c r="AJ7" i="47" l="1"/>
  <c r="AL190" i="47"/>
  <c r="O229" i="47"/>
  <c r="P31" i="47"/>
  <c r="AH7" i="47"/>
  <c r="AY218" i="47"/>
  <c r="AA118" i="47"/>
  <c r="AA22" i="47"/>
  <c r="AA44" i="47"/>
  <c r="AQ31" i="47"/>
  <c r="P8" i="47"/>
  <c r="O56" i="47"/>
  <c r="AR229" i="47"/>
  <c r="AW55" i="47"/>
  <c r="AL157" i="47"/>
  <c r="AM7" i="47"/>
  <c r="AR56" i="47"/>
  <c r="P250" i="47"/>
  <c r="Q78" i="47"/>
  <c r="AA203" i="47"/>
  <c r="AA202" i="47" s="1"/>
  <c r="AY150" i="47"/>
  <c r="AA70" i="47"/>
  <c r="AA279" i="47"/>
  <c r="AA278" i="47" s="1"/>
  <c r="R229" i="47"/>
  <c r="AY100" i="47"/>
  <c r="BC239" i="47"/>
  <c r="BD239" i="47" s="1"/>
  <c r="AA101" i="47"/>
  <c r="AN7" i="47"/>
  <c r="AO55" i="47"/>
  <c r="P56" i="47"/>
  <c r="AJ99" i="47"/>
  <c r="AT7" i="47"/>
  <c r="AL31" i="47"/>
  <c r="AY229" i="47"/>
  <c r="AJ211" i="47"/>
  <c r="AA121" i="47"/>
  <c r="O100" i="47"/>
  <c r="O117" i="47"/>
  <c r="AY78" i="47"/>
  <c r="AS55" i="47"/>
  <c r="BA229" i="47"/>
  <c r="BB229" i="47" s="1"/>
  <c r="BC202" i="47"/>
  <c r="BD202" i="47" s="1"/>
  <c r="R56" i="47"/>
  <c r="AA63" i="47"/>
  <c r="AU55" i="47"/>
  <c r="AG7" i="47"/>
  <c r="AR100" i="47"/>
  <c r="AA251" i="47"/>
  <c r="AY140" i="47"/>
  <c r="AR117" i="47"/>
  <c r="AA219" i="47"/>
  <c r="AA218" i="47" s="1"/>
  <c r="AU146" i="47"/>
  <c r="AA234" i="47"/>
  <c r="AA271" i="47"/>
  <c r="AA270" i="47" s="1"/>
  <c r="AI211" i="47"/>
  <c r="AA240" i="47"/>
  <c r="AA239" i="47" s="1"/>
  <c r="AA92" i="47"/>
  <c r="AA141" i="47"/>
  <c r="AA140" i="47" s="1"/>
  <c r="Q167" i="47"/>
  <c r="Q146" i="47" s="1"/>
  <c r="AR31" i="47"/>
  <c r="AQ150" i="47"/>
  <c r="AY260" i="47"/>
  <c r="AV211" i="47"/>
  <c r="R250" i="47"/>
  <c r="AV99" i="47"/>
  <c r="AI55" i="47"/>
  <c r="AS7" i="47"/>
  <c r="AQ229" i="47"/>
  <c r="AL56" i="47"/>
  <c r="AA135" i="47"/>
  <c r="AA134" i="47" s="1"/>
  <c r="BC44" i="47"/>
  <c r="BD44" i="47" s="1"/>
  <c r="AA36" i="47"/>
  <c r="AA105" i="47"/>
  <c r="P69" i="47"/>
  <c r="AL140" i="47"/>
  <c r="AY69" i="47"/>
  <c r="AM99" i="47"/>
  <c r="AA125" i="47"/>
  <c r="AL8" i="47"/>
  <c r="O31" i="47"/>
  <c r="AL100" i="47"/>
  <c r="AR250" i="47"/>
  <c r="AQ286" i="47"/>
  <c r="BA278" i="47"/>
  <c r="BB278" i="47" s="1"/>
  <c r="O167" i="47"/>
  <c r="AA32" i="47"/>
  <c r="R8" i="47"/>
  <c r="AA230" i="47"/>
  <c r="AU211" i="47"/>
  <c r="AQ218" i="47"/>
  <c r="AU7" i="47"/>
  <c r="AA257" i="47"/>
  <c r="AA57" i="47"/>
  <c r="P78" i="47"/>
  <c r="AN55" i="47"/>
  <c r="BA140" i="47"/>
  <c r="BB140" i="47" s="1"/>
  <c r="AS146" i="47"/>
  <c r="AL286" i="47"/>
  <c r="Q117" i="47"/>
  <c r="AQ140" i="47"/>
  <c r="AW99" i="47"/>
  <c r="AA178" i="47"/>
  <c r="AA246" i="47"/>
  <c r="AA245" i="47" s="1"/>
  <c r="R100" i="47"/>
  <c r="AQ260" i="47"/>
  <c r="AL218" i="47"/>
  <c r="R78" i="47"/>
  <c r="O78" i="47"/>
  <c r="AQ239" i="47"/>
  <c r="AA191" i="47"/>
  <c r="AA190" i="47" s="1"/>
  <c r="AA111" i="47"/>
  <c r="AS99" i="47"/>
  <c r="AJ146" i="47"/>
  <c r="AJ55" i="47"/>
  <c r="AA158" i="47"/>
  <c r="AA157" i="47" s="1"/>
  <c r="AQ157" i="47"/>
  <c r="AI7" i="47"/>
  <c r="AR8" i="47"/>
  <c r="Q8" i="47"/>
  <c r="AY8" i="47"/>
  <c r="BA260" i="47"/>
  <c r="BB260" i="47" s="1"/>
  <c r="AA150" i="47"/>
  <c r="O250" i="47"/>
  <c r="O211" i="47" s="1"/>
  <c r="AV7" i="47"/>
  <c r="AA261" i="47"/>
  <c r="AA260" i="47" s="1"/>
  <c r="BC208" i="47"/>
  <c r="BD208" i="47" s="1"/>
  <c r="BA250" i="47"/>
  <c r="BB250" i="47" s="1"/>
  <c r="AY157" i="47"/>
  <c r="AK99" i="47"/>
  <c r="BC286" i="47"/>
  <c r="BD286" i="47" s="1"/>
  <c r="P117" i="47"/>
  <c r="AA9" i="47"/>
  <c r="O8" i="47"/>
  <c r="P167" i="47"/>
  <c r="P146" i="47" s="1"/>
  <c r="Q31" i="47"/>
  <c r="Q7" i="47" s="1"/>
  <c r="Q250" i="47"/>
  <c r="Q211" i="47" s="1"/>
  <c r="AQ202" i="47"/>
  <c r="AL202" i="47"/>
  <c r="AR167" i="47"/>
  <c r="AR146" i="47" s="1"/>
  <c r="AG99" i="47"/>
  <c r="BC78" i="47"/>
  <c r="BD78" i="47" s="1"/>
  <c r="AQ117" i="47"/>
  <c r="BC218" i="47"/>
  <c r="BD218" i="47" s="1"/>
  <c r="BA286" i="47"/>
  <c r="BB286" i="47" s="1"/>
  <c r="AT117" i="47"/>
  <c r="AT99" i="47" s="1"/>
  <c r="AA213" i="47"/>
  <c r="AA212" i="47" s="1"/>
  <c r="BA78" i="47"/>
  <c r="BB78" i="47" s="1"/>
  <c r="AO99" i="47"/>
  <c r="AQ278" i="47"/>
  <c r="AN211" i="47"/>
  <c r="Q100" i="47"/>
  <c r="Q99" i="47" s="1"/>
  <c r="AA168" i="47"/>
  <c r="AA79" i="47"/>
  <c r="AA78" i="47" s="1"/>
  <c r="AL260" i="47"/>
  <c r="AL278" i="47"/>
  <c r="AA183" i="47"/>
  <c r="AM55" i="47"/>
  <c r="BC31" i="47"/>
  <c r="BD31" i="47" s="1"/>
  <c r="AO7" i="47"/>
  <c r="AA25" i="47"/>
  <c r="BC250" i="47"/>
  <c r="BD250" i="47" s="1"/>
  <c r="AN146" i="47"/>
  <c r="AQ167" i="47"/>
  <c r="AA49" i="47"/>
  <c r="AA48" i="47" s="1"/>
  <c r="AW7" i="47"/>
  <c r="R117" i="47"/>
  <c r="BA293" i="47"/>
  <c r="BB293" i="47" s="1"/>
  <c r="BB294" i="47"/>
  <c r="AL239" i="47"/>
  <c r="AS211" i="47"/>
  <c r="R167" i="47"/>
  <c r="R146" i="47" s="1"/>
  <c r="AV55" i="47"/>
  <c r="AO146" i="47"/>
  <c r="AQ245" i="47"/>
  <c r="P229" i="47"/>
  <c r="AL117" i="47"/>
  <c r="AA75" i="47"/>
  <c r="O146" i="47"/>
  <c r="AV146" i="47"/>
  <c r="BC134" i="47"/>
  <c r="BD134" i="47" s="1"/>
  <c r="AK55" i="47"/>
  <c r="AL55" i="47" s="1"/>
  <c r="AO211" i="47"/>
  <c r="AQ134" i="47"/>
  <c r="AA289" i="47"/>
  <c r="AA286" i="47" s="1"/>
  <c r="AY117" i="47"/>
  <c r="AX99" i="47"/>
  <c r="AQ190" i="47"/>
  <c r="BC190" i="47"/>
  <c r="BD190" i="47" s="1"/>
  <c r="BC167" i="47"/>
  <c r="BD167" i="47" s="1"/>
  <c r="BC178" i="47"/>
  <c r="BD178" i="47" s="1"/>
  <c r="P100" i="47"/>
  <c r="AK7" i="47"/>
  <c r="BA150" i="47"/>
  <c r="BB150" i="47" s="1"/>
  <c r="AW146" i="47"/>
  <c r="AG211" i="47"/>
  <c r="AI117" i="47"/>
  <c r="BA117" i="47" s="1"/>
  <c r="BB117" i="47" s="1"/>
  <c r="BA121" i="47"/>
  <c r="BB121" i="47" s="1"/>
  <c r="BC100" i="47"/>
  <c r="BD100" i="47" s="1"/>
  <c r="AQ56" i="47"/>
  <c r="AI167" i="47"/>
  <c r="BA167" i="47" s="1"/>
  <c r="BB167" i="47" s="1"/>
  <c r="AM146" i="47"/>
  <c r="BC147" i="47"/>
  <c r="BD147" i="47" s="1"/>
  <c r="BC69" i="47"/>
  <c r="BD69" i="47" s="1"/>
  <c r="AX55" i="47"/>
  <c r="AY56" i="47"/>
  <c r="AY245" i="47"/>
  <c r="AW211" i="47"/>
  <c r="AL150" i="47"/>
  <c r="AK146" i="47"/>
  <c r="BC270" i="47"/>
  <c r="BD270" i="47" s="1"/>
  <c r="BA56" i="47"/>
  <c r="BB56" i="47" s="1"/>
  <c r="AK211" i="47"/>
  <c r="AP211" i="47"/>
  <c r="AQ212" i="47"/>
  <c r="AM211" i="47"/>
  <c r="BC212" i="47"/>
  <c r="BD212" i="47" s="1"/>
  <c r="R31" i="47"/>
  <c r="AP146" i="47"/>
  <c r="BC229" i="47"/>
  <c r="BD229" i="47" s="1"/>
  <c r="BA75" i="47"/>
  <c r="BB75" i="47" s="1"/>
  <c r="AH69" i="47"/>
  <c r="BA69" i="47" s="1"/>
  <c r="BB69" i="47" s="1"/>
  <c r="AX146" i="47"/>
  <c r="AP55" i="47"/>
  <c r="AQ55" i="47" s="1"/>
  <c r="BA218" i="47"/>
  <c r="BB218" i="47" s="1"/>
  <c r="AX211" i="47"/>
  <c r="BC157" i="47"/>
  <c r="BD157" i="47" s="1"/>
  <c r="BC150" i="47"/>
  <c r="BD150" i="47" s="1"/>
  <c r="AT146" i="47"/>
  <c r="BA157" i="47"/>
  <c r="BB157" i="47" s="1"/>
  <c r="AL208" i="47"/>
  <c r="AQ208" i="47"/>
  <c r="BC278" i="47"/>
  <c r="BD278" i="47" s="1"/>
  <c r="AT211" i="47"/>
  <c r="BC8" i="47"/>
  <c r="BD9" i="47"/>
  <c r="BC140" i="47"/>
  <c r="BD140" i="47" s="1"/>
  <c r="BA31" i="47"/>
  <c r="BB31" i="47" s="1"/>
  <c r="AH211" i="47"/>
  <c r="BA212" i="47"/>
  <c r="BB212" i="47" s="1"/>
  <c r="BA191" i="47"/>
  <c r="BB191" i="47" s="1"/>
  <c r="AH190" i="47"/>
  <c r="AN99" i="47"/>
  <c r="AR69" i="47"/>
  <c r="BC260" i="47"/>
  <c r="BD260" i="47" s="1"/>
  <c r="AQ100" i="47"/>
  <c r="AP99" i="47"/>
  <c r="BA48" i="47"/>
  <c r="BB48" i="47" s="1"/>
  <c r="BB9" i="47"/>
  <c r="BA8" i="47"/>
  <c r="AG146" i="47"/>
  <c r="O99" i="47"/>
  <c r="AX7" i="47"/>
  <c r="AY31" i="47"/>
  <c r="Q55" i="47"/>
  <c r="AH99" i="47"/>
  <c r="BA100" i="47"/>
  <c r="BB100" i="47" s="1"/>
  <c r="BC56" i="47"/>
  <c r="BD56" i="47" s="1"/>
  <c r="AT55" i="47"/>
  <c r="AY125" i="47"/>
  <c r="BC125" i="47"/>
  <c r="BD125" i="47" s="1"/>
  <c r="AP7" i="47"/>
  <c r="AQ8" i="47"/>
  <c r="AR55" i="47" l="1"/>
  <c r="P7" i="47"/>
  <c r="O55" i="47"/>
  <c r="R211" i="47"/>
  <c r="AR211" i="47"/>
  <c r="AJ296" i="47"/>
  <c r="AA69" i="47"/>
  <c r="AY55" i="47"/>
  <c r="AL99" i="47"/>
  <c r="AR99" i="47"/>
  <c r="AA117" i="47"/>
  <c r="AS296" i="47"/>
  <c r="P211" i="47"/>
  <c r="AA250" i="47"/>
  <c r="AQ99" i="47"/>
  <c r="BC117" i="47"/>
  <c r="BD117" i="47" s="1"/>
  <c r="AA229" i="47"/>
  <c r="O7" i="47"/>
  <c r="AA31" i="47"/>
  <c r="R55" i="47"/>
  <c r="AY146" i="47"/>
  <c r="R7" i="47"/>
  <c r="AR7" i="47"/>
  <c r="P55" i="47"/>
  <c r="AA56" i="47"/>
  <c r="AU296" i="47"/>
  <c r="AY99" i="47"/>
  <c r="AA8" i="47"/>
  <c r="AA7" i="47" s="1"/>
  <c r="AA100" i="47"/>
  <c r="AN296" i="47"/>
  <c r="AM296" i="47"/>
  <c r="AA167" i="47"/>
  <c r="AA146" i="47" s="1"/>
  <c r="AG296" i="47"/>
  <c r="R99" i="47"/>
  <c r="P99" i="47"/>
  <c r="AO296" i="47"/>
  <c r="BA299" i="47"/>
  <c r="AV296" i="47"/>
  <c r="Q296" i="47"/>
  <c r="AW296" i="47"/>
  <c r="BC211" i="47"/>
  <c r="BD211" i="47" s="1"/>
  <c r="BD8" i="47"/>
  <c r="BC7" i="47"/>
  <c r="BD7" i="47" s="1"/>
  <c r="AQ211" i="47"/>
  <c r="AX296" i="47"/>
  <c r="AY7" i="47"/>
  <c r="AL146" i="47"/>
  <c r="AP296" i="47"/>
  <c r="AQ7" i="47"/>
  <c r="BB8" i="47"/>
  <c r="BA7" i="47"/>
  <c r="BB7" i="47" s="1"/>
  <c r="BC55" i="47"/>
  <c r="BD55" i="47" s="1"/>
  <c r="AT296" i="47"/>
  <c r="AI99" i="47"/>
  <c r="AQ146" i="47"/>
  <c r="AK296" i="47"/>
  <c r="AL7" i="47"/>
  <c r="BA190" i="47"/>
  <c r="BB190" i="47" s="1"/>
  <c r="AH146" i="47"/>
  <c r="BC146" i="47"/>
  <c r="BD146" i="47" s="1"/>
  <c r="AL211" i="47"/>
  <c r="AH55" i="47"/>
  <c r="BA211" i="47"/>
  <c r="BB211" i="47" s="1"/>
  <c r="AY211" i="47"/>
  <c r="BC99" i="47"/>
  <c r="BD99" i="47" s="1"/>
  <c r="AI146" i="47"/>
  <c r="AA99" i="47" l="1"/>
  <c r="AA55" i="47"/>
  <c r="AR296" i="47"/>
  <c r="O296" i="47"/>
  <c r="R296" i="47"/>
  <c r="AA211" i="47"/>
  <c r="AA296" i="47" s="1"/>
  <c r="AI296" i="47"/>
  <c r="P296" i="47"/>
  <c r="AL296" i="47"/>
  <c r="AQ296" i="47"/>
  <c r="BA146" i="47"/>
  <c r="BB146" i="47" s="1"/>
  <c r="AY296" i="47"/>
  <c r="BA99" i="47"/>
  <c r="BB99" i="47" s="1"/>
  <c r="BA55" i="47"/>
  <c r="BB55" i="47" s="1"/>
  <c r="AH296" i="47"/>
  <c r="BA296" i="47" s="1"/>
  <c r="BB296" i="47" s="1"/>
  <c r="BC296" i="47"/>
  <c r="BD296" i="47" s="1"/>
  <c r="F10" i="12" l="1"/>
  <c r="E81" i="27" l="1"/>
  <c r="D29" i="19" l="1"/>
  <c r="E29" i="19"/>
  <c r="F29" i="19"/>
  <c r="D28" i="19"/>
  <c r="E28" i="19"/>
  <c r="F28" i="19"/>
  <c r="D39" i="21" l="1"/>
  <c r="I24" i="21"/>
  <c r="I25" i="21"/>
  <c r="I26" i="21"/>
  <c r="I27" i="21"/>
  <c r="I28" i="21"/>
  <c r="I29" i="21"/>
  <c r="I30" i="21"/>
  <c r="I31" i="21"/>
  <c r="I23" i="21"/>
  <c r="D22" i="19"/>
  <c r="E22" i="19"/>
  <c r="F22" i="19"/>
  <c r="D8" i="14"/>
  <c r="D16" i="19"/>
  <c r="E16" i="19"/>
  <c r="F16" i="19"/>
  <c r="F83" i="10"/>
  <c r="G83" i="10"/>
  <c r="H83" i="10"/>
  <c r="F82" i="10"/>
  <c r="G82" i="10"/>
  <c r="E82" i="10"/>
  <c r="F20" i="19"/>
  <c r="E20" i="19"/>
  <c r="H22" i="16"/>
  <c r="G21" i="16"/>
  <c r="H21" i="16"/>
  <c r="E13" i="19"/>
  <c r="F13" i="19"/>
  <c r="D12" i="19"/>
  <c r="E12" i="19"/>
  <c r="F12" i="19"/>
  <c r="E11" i="19"/>
  <c r="F9" i="19"/>
  <c r="D8" i="19"/>
  <c r="E8" i="19"/>
  <c r="C8" i="19"/>
  <c r="D10" i="19"/>
  <c r="E10" i="19"/>
  <c r="C10" i="19"/>
  <c r="D8" i="4"/>
  <c r="G57" i="1"/>
  <c r="J53" i="1"/>
  <c r="I76" i="24" l="1"/>
  <c r="I77" i="24"/>
  <c r="I78" i="24" s="1"/>
  <c r="E78" i="24"/>
  <c r="F78" i="24"/>
  <c r="G78" i="24"/>
  <c r="H78" i="24"/>
  <c r="F18" i="19" l="1"/>
  <c r="F27" i="28"/>
  <c r="E27" i="28"/>
  <c r="G21" i="28"/>
  <c r="F21" i="28"/>
  <c r="E21" i="28"/>
  <c r="D12" i="28"/>
  <c r="D11" i="28"/>
  <c r="F10" i="28"/>
  <c r="E4" i="28"/>
  <c r="A2" i="28"/>
  <c r="G69" i="27"/>
  <c r="G68" i="27"/>
  <c r="F68" i="27"/>
  <c r="F69" i="27" s="1"/>
  <c r="E68" i="27"/>
  <c r="E69" i="27" s="1"/>
  <c r="H70" i="27" s="1"/>
  <c r="E74" i="27" s="1"/>
  <c r="H67" i="27"/>
  <c r="H66" i="27"/>
  <c r="F60" i="27"/>
  <c r="E60" i="27"/>
  <c r="L59" i="27"/>
  <c r="L60" i="27" s="1"/>
  <c r="K59" i="27"/>
  <c r="K60" i="27" s="1"/>
  <c r="J59" i="27"/>
  <c r="J60" i="27" s="1"/>
  <c r="I59" i="27"/>
  <c r="I60" i="27" s="1"/>
  <c r="H59" i="27"/>
  <c r="H60" i="27" s="1"/>
  <c r="G59" i="27"/>
  <c r="G60" i="27" s="1"/>
  <c r="F59" i="27"/>
  <c r="E59" i="27"/>
  <c r="G46" i="27"/>
  <c r="G47" i="27" s="1"/>
  <c r="F46" i="27"/>
  <c r="F47" i="27" s="1"/>
  <c r="E46" i="27"/>
  <c r="E47" i="27" s="1"/>
  <c r="H45" i="27"/>
  <c r="H44" i="27"/>
  <c r="H43" i="27"/>
  <c r="L38" i="27"/>
  <c r="K38" i="27"/>
  <c r="J38" i="27"/>
  <c r="L37" i="27"/>
  <c r="K37" i="27"/>
  <c r="J37" i="27"/>
  <c r="I37" i="27"/>
  <c r="I38" i="27" s="1"/>
  <c r="H37" i="27"/>
  <c r="H38" i="27" s="1"/>
  <c r="G37" i="27"/>
  <c r="G38" i="27" s="1"/>
  <c r="F37" i="27"/>
  <c r="F38" i="27" s="1"/>
  <c r="E37" i="27"/>
  <c r="E38" i="27" s="1"/>
  <c r="E79" i="27"/>
  <c r="J20" i="27"/>
  <c r="I20" i="27"/>
  <c r="D12" i="27"/>
  <c r="D11" i="27"/>
  <c r="F10" i="27"/>
  <c r="E4" i="27"/>
  <c r="A2" i="27"/>
  <c r="H21" i="25"/>
  <c r="D8" i="25" s="1"/>
  <c r="G21" i="25"/>
  <c r="F21" i="25"/>
  <c r="I20" i="25"/>
  <c r="I19" i="25"/>
  <c r="E18" i="25"/>
  <c r="E21" i="25" s="1"/>
  <c r="D12" i="25"/>
  <c r="D11" i="25"/>
  <c r="F10" i="25"/>
  <c r="E4" i="25"/>
  <c r="A2" i="25"/>
  <c r="F117" i="24"/>
  <c r="D116" i="24"/>
  <c r="D115" i="24"/>
  <c r="D114" i="24"/>
  <c r="D113" i="24"/>
  <c r="G112" i="24"/>
  <c r="D112" i="24"/>
  <c r="H109" i="24"/>
  <c r="E116" i="24" s="1"/>
  <c r="G109" i="24"/>
  <c r="F109" i="24"/>
  <c r="E109" i="24"/>
  <c r="I108" i="24"/>
  <c r="I109" i="24" s="1"/>
  <c r="I107" i="24"/>
  <c r="H96" i="24"/>
  <c r="G96" i="24"/>
  <c r="F96" i="24"/>
  <c r="E96" i="24"/>
  <c r="I95" i="24"/>
  <c r="I96" i="24" s="1"/>
  <c r="I94" i="24"/>
  <c r="H89" i="24"/>
  <c r="E115" i="24" s="1"/>
  <c r="G89" i="24"/>
  <c r="F89" i="24"/>
  <c r="E89" i="24"/>
  <c r="I88" i="24"/>
  <c r="I89" i="24" s="1"/>
  <c r="I87" i="24"/>
  <c r="H71" i="24"/>
  <c r="E114" i="24" s="1"/>
  <c r="G71" i="24"/>
  <c r="F71" i="24"/>
  <c r="E71" i="24"/>
  <c r="I70" i="24"/>
  <c r="I69" i="24"/>
  <c r="H57" i="24"/>
  <c r="G57" i="24"/>
  <c r="F57" i="24"/>
  <c r="E57" i="24"/>
  <c r="I56" i="24"/>
  <c r="I57" i="24" s="1"/>
  <c r="I55" i="24"/>
  <c r="H50" i="24"/>
  <c r="E113" i="24" s="1"/>
  <c r="G50" i="24"/>
  <c r="F50" i="24"/>
  <c r="E50" i="24"/>
  <c r="I49" i="24"/>
  <c r="I50" i="24" s="1"/>
  <c r="I48" i="24"/>
  <c r="H36" i="24"/>
  <c r="G36" i="24"/>
  <c r="F36" i="24"/>
  <c r="E36" i="24"/>
  <c r="H24" i="24"/>
  <c r="G24" i="24"/>
  <c r="F24" i="24"/>
  <c r="E24" i="24"/>
  <c r="I23" i="24"/>
  <c r="I22" i="24"/>
  <c r="D12" i="24"/>
  <c r="D11" i="24"/>
  <c r="F10" i="24"/>
  <c r="E4" i="24"/>
  <c r="A2" i="24"/>
  <c r="D56" i="23"/>
  <c r="D55" i="23"/>
  <c r="D54" i="23"/>
  <c r="D53" i="23"/>
  <c r="D52" i="23"/>
  <c r="H49" i="23"/>
  <c r="G49" i="23"/>
  <c r="F49" i="23"/>
  <c r="I48" i="23"/>
  <c r="E47" i="23"/>
  <c r="I47" i="23" s="1"/>
  <c r="H42" i="23"/>
  <c r="G42" i="23"/>
  <c r="F42" i="23"/>
  <c r="I41" i="23"/>
  <c r="E40" i="23"/>
  <c r="I40" i="23" s="1"/>
  <c r="H35" i="23"/>
  <c r="G35" i="23"/>
  <c r="F35" i="23"/>
  <c r="I34" i="23"/>
  <c r="E33" i="23"/>
  <c r="E35" i="23" s="1"/>
  <c r="E54" i="23" s="1"/>
  <c r="H28" i="23"/>
  <c r="F53" i="23" s="1"/>
  <c r="G28" i="23"/>
  <c r="F28" i="23"/>
  <c r="I27" i="23"/>
  <c r="E26" i="23"/>
  <c r="I26" i="23" s="1"/>
  <c r="I28" i="23" s="1"/>
  <c r="H21" i="23"/>
  <c r="G21" i="23"/>
  <c r="F21" i="23"/>
  <c r="E21" i="23"/>
  <c r="E52" i="23" s="1"/>
  <c r="I20" i="23"/>
  <c r="I19" i="23"/>
  <c r="I21" i="23" s="1"/>
  <c r="D12" i="23"/>
  <c r="D11" i="23"/>
  <c r="F10" i="23"/>
  <c r="E4" i="23"/>
  <c r="A2" i="23"/>
  <c r="H22" i="5"/>
  <c r="G22" i="5"/>
  <c r="F22" i="5"/>
  <c r="E22" i="5"/>
  <c r="D12" i="5"/>
  <c r="D11" i="5"/>
  <c r="F10" i="5"/>
  <c r="E4" i="5"/>
  <c r="A2" i="5"/>
  <c r="I24" i="24" l="1"/>
  <c r="I42" i="23"/>
  <c r="G54" i="23"/>
  <c r="F57" i="23"/>
  <c r="F10" i="19"/>
  <c r="D8" i="5"/>
  <c r="E30" i="28"/>
  <c r="D8" i="28" s="1"/>
  <c r="F31" i="19" s="1"/>
  <c r="I49" i="23"/>
  <c r="G116" i="24"/>
  <c r="G115" i="24"/>
  <c r="I71" i="24"/>
  <c r="G114" i="24"/>
  <c r="G113" i="24"/>
  <c r="H47" i="27"/>
  <c r="H48" i="27" s="1"/>
  <c r="E73" i="27" s="1"/>
  <c r="I18" i="25"/>
  <c r="I21" i="25" s="1"/>
  <c r="G52" i="23"/>
  <c r="E49" i="23"/>
  <c r="E56" i="23" s="1"/>
  <c r="G56" i="23" s="1"/>
  <c r="E28" i="23"/>
  <c r="E53" i="23" s="1"/>
  <c r="G53" i="23" s="1"/>
  <c r="E42" i="23"/>
  <c r="E55" i="23" s="1"/>
  <c r="G55" i="23" s="1"/>
  <c r="I33" i="23"/>
  <c r="I35" i="23" s="1"/>
  <c r="E75" i="27" l="1"/>
  <c r="E80" i="27" s="1"/>
  <c r="G117" i="24"/>
  <c r="D8" i="24" s="1"/>
  <c r="F27" i="19" s="1"/>
  <c r="E57" i="23"/>
  <c r="G57" i="23"/>
  <c r="D8" i="23" s="1"/>
  <c r="F26" i="19" s="1"/>
  <c r="F34" i="22" l="1"/>
  <c r="I17" i="22"/>
  <c r="D8" i="12"/>
  <c r="R32" i="19" l="1"/>
  <c r="R31" i="19"/>
  <c r="R30" i="19"/>
  <c r="R29" i="19"/>
  <c r="R28" i="19"/>
  <c r="R27" i="19"/>
  <c r="R26" i="19"/>
  <c r="R25" i="19"/>
  <c r="R24" i="19"/>
  <c r="R23" i="19"/>
  <c r="R22" i="19"/>
  <c r="R21" i="19"/>
  <c r="R20" i="19"/>
  <c r="R19" i="19"/>
  <c r="R18" i="19"/>
  <c r="R17" i="19"/>
  <c r="R16" i="19"/>
  <c r="R15" i="19"/>
  <c r="R14" i="19"/>
  <c r="R13" i="19"/>
  <c r="R12" i="19"/>
  <c r="R11" i="19"/>
  <c r="R10" i="19"/>
  <c r="R9" i="19"/>
  <c r="R8" i="19"/>
  <c r="R7" i="19"/>
  <c r="R6" i="19"/>
  <c r="F59" i="29"/>
  <c r="I23" i="17"/>
  <c r="I24" i="17"/>
  <c r="D82" i="29" l="1"/>
  <c r="G74" i="29" l="1"/>
  <c r="G75" i="29"/>
  <c r="G76" i="29"/>
  <c r="G77" i="29"/>
  <c r="G78" i="29"/>
  <c r="G79" i="29"/>
  <c r="G80" i="29"/>
  <c r="G81" i="29"/>
  <c r="G57" i="29"/>
  <c r="G58" i="29"/>
  <c r="G59" i="29"/>
  <c r="G60" i="29"/>
  <c r="G61" i="29"/>
  <c r="G62" i="29"/>
  <c r="G63" i="29"/>
  <c r="G64" i="29"/>
  <c r="G65" i="29"/>
  <c r="G66" i="29"/>
  <c r="G67" i="29"/>
  <c r="G69" i="29"/>
  <c r="G70" i="29"/>
  <c r="G71" i="29"/>
  <c r="G72" i="29"/>
  <c r="G73" i="29"/>
  <c r="F76" i="29"/>
  <c r="F77" i="29"/>
  <c r="F78" i="29"/>
  <c r="F79" i="29"/>
  <c r="F80" i="29"/>
  <c r="F81" i="29"/>
  <c r="F57" i="29"/>
  <c r="F58" i="29"/>
  <c r="F60" i="29"/>
  <c r="F61" i="29"/>
  <c r="F62" i="29"/>
  <c r="F63" i="29"/>
  <c r="F64" i="29"/>
  <c r="F65" i="29"/>
  <c r="F66" i="29"/>
  <c r="F67" i="29"/>
  <c r="F69" i="29"/>
  <c r="F70" i="29"/>
  <c r="F71" i="29"/>
  <c r="F72" i="29"/>
  <c r="F73" i="29"/>
  <c r="F74" i="29"/>
  <c r="F75" i="29"/>
  <c r="E81" i="29"/>
  <c r="E80" i="29"/>
  <c r="J50" i="29" l="1"/>
  <c r="H50" i="29"/>
  <c r="I19" i="29"/>
  <c r="K29" i="13" l="1"/>
  <c r="H29" i="13"/>
  <c r="I29" i="13"/>
  <c r="J29" i="13"/>
  <c r="E76" i="29" l="1"/>
  <c r="E77" i="29"/>
  <c r="E78" i="29"/>
  <c r="E79" i="29"/>
  <c r="E69" i="29"/>
  <c r="E70" i="29"/>
  <c r="E71" i="29"/>
  <c r="E72" i="29"/>
  <c r="E73" i="29"/>
  <c r="E74" i="29"/>
  <c r="E58" i="29"/>
  <c r="E59" i="29"/>
  <c r="E60" i="29"/>
  <c r="E61" i="29"/>
  <c r="E62" i="29"/>
  <c r="E64" i="29"/>
  <c r="E66" i="29"/>
  <c r="E67" i="29"/>
  <c r="E68" i="29"/>
  <c r="E4" i="29"/>
  <c r="A2" i="29"/>
  <c r="E4" i="26"/>
  <c r="A2" i="26"/>
  <c r="A2" i="22"/>
  <c r="E4" i="22"/>
  <c r="A2" i="1" l="1"/>
  <c r="A2" i="2"/>
  <c r="A2" i="3"/>
  <c r="A2" i="4"/>
  <c r="A2" i="6"/>
  <c r="A2" i="8"/>
  <c r="A2" i="9"/>
  <c r="A2" i="10"/>
  <c r="A2" i="11"/>
  <c r="A2" i="12"/>
  <c r="A2" i="13"/>
  <c r="A2" i="14"/>
  <c r="A2" i="15"/>
  <c r="A2" i="16"/>
  <c r="A2" i="17"/>
  <c r="A2" i="18"/>
  <c r="A2" i="20"/>
  <c r="A2" i="21"/>
  <c r="E4" i="21"/>
  <c r="E4" i="20" l="1"/>
  <c r="E4" i="18"/>
  <c r="E4" i="17"/>
  <c r="H20" i="19"/>
  <c r="E4" i="16"/>
  <c r="E4" i="15"/>
  <c r="E4" i="14"/>
  <c r="E4" i="13" l="1"/>
  <c r="H13" i="19"/>
  <c r="H14" i="19"/>
  <c r="H15" i="19"/>
  <c r="H16" i="19"/>
  <c r="E4" i="12"/>
  <c r="E4" i="11"/>
  <c r="E4" i="10"/>
  <c r="E4" i="9"/>
  <c r="E4" i="6"/>
  <c r="E4" i="8"/>
  <c r="E4" i="4"/>
  <c r="E4" i="3"/>
  <c r="I9" i="19"/>
  <c r="P9" i="19" s="1"/>
  <c r="H9" i="19"/>
  <c r="E4" i="2"/>
  <c r="E4" i="1" l="1"/>
  <c r="H6" i="19" l="1"/>
  <c r="D4" i="19"/>
  <c r="A2" i="19"/>
  <c r="K7" i="36" l="1"/>
  <c r="F10" i="16" l="1"/>
  <c r="E32" i="22" l="1"/>
  <c r="E33" i="22"/>
  <c r="E34" i="22"/>
  <c r="E35" i="22"/>
  <c r="D11" i="22"/>
  <c r="J11" i="19"/>
  <c r="M11" i="19" s="1"/>
  <c r="J10" i="19"/>
  <c r="M10" i="19" s="1"/>
  <c r="J9" i="19"/>
  <c r="M9" i="19" s="1"/>
  <c r="J8" i="19"/>
  <c r="M8" i="19" s="1"/>
  <c r="J7" i="19"/>
  <c r="M7" i="19" s="1"/>
  <c r="J6" i="19"/>
  <c r="M6" i="19" s="1"/>
  <c r="Q6" i="19" s="1"/>
  <c r="J32" i="19"/>
  <c r="M32" i="19" s="1"/>
  <c r="Q32" i="19" s="1"/>
  <c r="J31" i="19"/>
  <c r="M31" i="19" s="1"/>
  <c r="J30" i="19"/>
  <c r="M30" i="19" s="1"/>
  <c r="J29" i="19"/>
  <c r="M29" i="19" s="1"/>
  <c r="J28" i="19"/>
  <c r="M28" i="19" s="1"/>
  <c r="J27" i="19"/>
  <c r="M27" i="19" s="1"/>
  <c r="J26" i="19"/>
  <c r="M26" i="19" s="1"/>
  <c r="J25" i="19"/>
  <c r="M25" i="19" s="1"/>
  <c r="J24" i="19"/>
  <c r="M24" i="19" s="1"/>
  <c r="J23" i="19"/>
  <c r="M23" i="19" s="1"/>
  <c r="J22" i="19"/>
  <c r="M22" i="19" s="1"/>
  <c r="J21" i="19"/>
  <c r="M21" i="19" s="1"/>
  <c r="J20" i="19"/>
  <c r="M20" i="19" s="1"/>
  <c r="J19" i="19"/>
  <c r="M19" i="19" s="1"/>
  <c r="J18" i="19"/>
  <c r="M18" i="19" s="1"/>
  <c r="J17" i="19"/>
  <c r="M17" i="19" s="1"/>
  <c r="J16" i="19"/>
  <c r="M16" i="19" s="1"/>
  <c r="J15" i="19"/>
  <c r="M15" i="19" s="1"/>
  <c r="J14" i="19"/>
  <c r="M14" i="19" s="1"/>
  <c r="J13" i="19"/>
  <c r="M13" i="19" s="1"/>
  <c r="J12" i="19"/>
  <c r="M12" i="19" s="1"/>
  <c r="I32" i="19"/>
  <c r="I31" i="19"/>
  <c r="I30" i="19"/>
  <c r="I29" i="19"/>
  <c r="I28" i="19"/>
  <c r="I27" i="19"/>
  <c r="I26" i="19"/>
  <c r="I25" i="19"/>
  <c r="I24" i="19"/>
  <c r="I23" i="19"/>
  <c r="I22" i="19"/>
  <c r="I21" i="19"/>
  <c r="I20" i="19"/>
  <c r="I19" i="19"/>
  <c r="I18" i="19"/>
  <c r="I17" i="19"/>
  <c r="I16" i="19"/>
  <c r="I15" i="19"/>
  <c r="I14" i="19"/>
  <c r="I13" i="19"/>
  <c r="I12" i="19"/>
  <c r="I11" i="19"/>
  <c r="I10" i="19"/>
  <c r="L9" i="19"/>
  <c r="I8" i="19"/>
  <c r="I7" i="19"/>
  <c r="D12" i="3"/>
  <c r="D11" i="3"/>
  <c r="F10" i="3"/>
  <c r="H8" i="19" s="1"/>
  <c r="D12" i="4"/>
  <c r="D11" i="4"/>
  <c r="F10" i="4"/>
  <c r="H10" i="19"/>
  <c r="D12" i="6"/>
  <c r="D11" i="6"/>
  <c r="F10" i="6"/>
  <c r="H11" i="19" s="1"/>
  <c r="D12" i="8"/>
  <c r="D11" i="8"/>
  <c r="F10" i="8"/>
  <c r="H12" i="19" s="1"/>
  <c r="D12" i="9"/>
  <c r="D11" i="9"/>
  <c r="F10" i="9"/>
  <c r="D13" i="10"/>
  <c r="D12" i="10"/>
  <c r="F11" i="10"/>
  <c r="D12" i="11"/>
  <c r="D11" i="11"/>
  <c r="F10" i="11"/>
  <c r="D12" i="12"/>
  <c r="D11" i="12"/>
  <c r="D12" i="13"/>
  <c r="D11" i="13"/>
  <c r="F10" i="13"/>
  <c r="H17" i="19" s="1"/>
  <c r="D12" i="14"/>
  <c r="D11" i="14"/>
  <c r="F10" i="14"/>
  <c r="H18" i="19" s="1"/>
  <c r="D12" i="15"/>
  <c r="D11" i="15"/>
  <c r="F10" i="15"/>
  <c r="H19" i="19" s="1"/>
  <c r="D12" i="16"/>
  <c r="D11" i="16"/>
  <c r="D12" i="17"/>
  <c r="D11" i="17"/>
  <c r="F10" i="17"/>
  <c r="H21" i="19" s="1"/>
  <c r="D12" i="18"/>
  <c r="D11" i="18"/>
  <c r="F10" i="18"/>
  <c r="H22" i="19" s="1"/>
  <c r="D12" i="20"/>
  <c r="D11" i="20"/>
  <c r="F10" i="20"/>
  <c r="H23" i="19" s="1"/>
  <c r="D12" i="21"/>
  <c r="D11" i="21"/>
  <c r="F10" i="21"/>
  <c r="H24" i="19" s="1"/>
  <c r="D12" i="22"/>
  <c r="F10" i="22"/>
  <c r="H25" i="19" s="1"/>
  <c r="H26" i="19"/>
  <c r="D11" i="26"/>
  <c r="D10" i="26"/>
  <c r="F9" i="26"/>
  <c r="H29" i="19" s="1"/>
  <c r="H30" i="19"/>
  <c r="H31" i="19"/>
  <c r="D12" i="29"/>
  <c r="D11" i="29"/>
  <c r="F10" i="29"/>
  <c r="H32" i="19" s="1"/>
  <c r="D12" i="2"/>
  <c r="D11" i="2"/>
  <c r="F10" i="2"/>
  <c r="H7" i="19" s="1"/>
  <c r="I6" i="19"/>
  <c r="D12" i="1"/>
  <c r="D11" i="1"/>
  <c r="D29" i="33"/>
  <c r="D26" i="33"/>
  <c r="D20" i="33"/>
  <c r="H27" i="17" s="1"/>
  <c r="I22" i="17"/>
  <c r="D8" i="16"/>
  <c r="G22" i="16"/>
  <c r="F21" i="16"/>
  <c r="F22" i="16" s="1"/>
  <c r="E21" i="16"/>
  <c r="E22" i="16" s="1"/>
  <c r="Q21" i="14"/>
  <c r="Q20" i="14"/>
  <c r="Q19" i="14"/>
  <c r="L45" i="12"/>
  <c r="M27" i="12"/>
  <c r="N17" i="12"/>
  <c r="N18" i="12" s="1"/>
  <c r="N19" i="12" s="1"/>
  <c r="N20" i="12" s="1"/>
  <c r="N21" i="12" s="1"/>
  <c r="M22" i="12"/>
  <c r="M46" i="12"/>
  <c r="M33" i="12" s="1"/>
  <c r="K28" i="12"/>
  <c r="K43" i="12" s="1"/>
  <c r="K27" i="12"/>
  <c r="K42" i="12" s="1"/>
  <c r="K26" i="12"/>
  <c r="K41" i="12" s="1"/>
  <c r="K29" i="12"/>
  <c r="K44" i="12" s="1"/>
  <c r="M29" i="12"/>
  <c r="M28" i="12"/>
  <c r="M26" i="12"/>
  <c r="E20" i="12"/>
  <c r="G15" i="33" s="1"/>
  <c r="H30" i="12" s="1"/>
  <c r="E68" i="10"/>
  <c r="H57" i="10"/>
  <c r="G57" i="10"/>
  <c r="F57" i="10"/>
  <c r="E57" i="10"/>
  <c r="E45" i="10"/>
  <c r="E34" i="10"/>
  <c r="J18" i="11"/>
  <c r="H68" i="10"/>
  <c r="G68" i="10"/>
  <c r="F68" i="10"/>
  <c r="H84" i="10"/>
  <c r="H45" i="10"/>
  <c r="F45" i="10"/>
  <c r="E83" i="10"/>
  <c r="H34" i="10"/>
  <c r="G34" i="10"/>
  <c r="F34" i="10"/>
  <c r="F23" i="10"/>
  <c r="E23" i="10"/>
  <c r="E43" i="1"/>
  <c r="E51" i="1" s="1"/>
  <c r="G51" i="1"/>
  <c r="H51" i="1"/>
  <c r="I51" i="1"/>
  <c r="J51" i="1"/>
  <c r="G52" i="1"/>
  <c r="H52" i="1"/>
  <c r="J52" i="1"/>
  <c r="G53" i="1"/>
  <c r="H53" i="1"/>
  <c r="I53" i="1"/>
  <c r="E46" i="1"/>
  <c r="D43" i="1"/>
  <c r="D51" i="1" s="1"/>
  <c r="F43" i="1"/>
  <c r="F51" i="1"/>
  <c r="D44" i="1"/>
  <c r="D52" i="1" s="1"/>
  <c r="E44" i="1"/>
  <c r="E52" i="1" s="1"/>
  <c r="F44" i="1"/>
  <c r="F52" i="1" s="1"/>
  <c r="D45" i="1"/>
  <c r="D53" i="1" s="1"/>
  <c r="E45" i="1"/>
  <c r="E53" i="1" s="1"/>
  <c r="F45" i="1"/>
  <c r="F53" i="1" s="1"/>
  <c r="D46" i="1"/>
  <c r="F46" i="1"/>
  <c r="F41" i="20"/>
  <c r="F40" i="20"/>
  <c r="F39" i="20"/>
  <c r="F38" i="20"/>
  <c r="E40" i="20"/>
  <c r="E39" i="20"/>
  <c r="E38" i="20"/>
  <c r="E37" i="20"/>
  <c r="E41" i="20"/>
  <c r="E20" i="20"/>
  <c r="I18" i="20"/>
  <c r="G45" i="21"/>
  <c r="H45" i="21"/>
  <c r="I45" i="21"/>
  <c r="F32" i="22"/>
  <c r="G56" i="29"/>
  <c r="G37" i="22"/>
  <c r="G36" i="22"/>
  <c r="G35" i="22"/>
  <c r="G34" i="22"/>
  <c r="G33" i="22"/>
  <c r="G32" i="22"/>
  <c r="F37" i="22"/>
  <c r="F36" i="22"/>
  <c r="F35" i="22"/>
  <c r="F33" i="22"/>
  <c r="F56" i="29"/>
  <c r="C28" i="19"/>
  <c r="E56" i="29"/>
  <c r="E82" i="29" s="1"/>
  <c r="J38" i="21"/>
  <c r="H20" i="20"/>
  <c r="G20" i="20"/>
  <c r="E23" i="19" s="1"/>
  <c r="F20" i="20"/>
  <c r="D23" i="19" s="1"/>
  <c r="H22" i="18"/>
  <c r="D8" i="18" s="1"/>
  <c r="G22" i="18"/>
  <c r="F22" i="18"/>
  <c r="E22" i="18"/>
  <c r="I21" i="15"/>
  <c r="H21" i="15"/>
  <c r="F21" i="15"/>
  <c r="E21" i="15"/>
  <c r="P22" i="14"/>
  <c r="O22" i="14"/>
  <c r="N22" i="14"/>
  <c r="M22" i="14"/>
  <c r="L22" i="14"/>
  <c r="K22" i="14"/>
  <c r="J22" i="14"/>
  <c r="I22" i="14"/>
  <c r="H22" i="14"/>
  <c r="G22" i="14"/>
  <c r="F22" i="14"/>
  <c r="E22" i="14"/>
  <c r="E20" i="13"/>
  <c r="F20" i="13"/>
  <c r="I20" i="11"/>
  <c r="H20" i="11"/>
  <c r="G20" i="11"/>
  <c r="F20" i="11"/>
  <c r="D8" i="11"/>
  <c r="E20" i="11"/>
  <c r="H19" i="9"/>
  <c r="D8" i="9" s="1"/>
  <c r="G19" i="9"/>
  <c r="F19" i="9"/>
  <c r="D13" i="19" s="1"/>
  <c r="E19" i="9"/>
  <c r="C13" i="19" s="1"/>
  <c r="H19" i="8"/>
  <c r="D8" i="8" s="1"/>
  <c r="G19" i="8"/>
  <c r="F19" i="8"/>
  <c r="E19" i="8"/>
  <c r="C12" i="19" s="1"/>
  <c r="H23" i="4"/>
  <c r="G23" i="4"/>
  <c r="F23" i="4"/>
  <c r="E23" i="4"/>
  <c r="H22" i="3"/>
  <c r="G22" i="3"/>
  <c r="F22" i="3"/>
  <c r="E22" i="3"/>
  <c r="G23" i="2"/>
  <c r="E7" i="19" s="1"/>
  <c r="F23" i="2"/>
  <c r="D7" i="19" s="1"/>
  <c r="E23" i="2"/>
  <c r="C7" i="19" s="1"/>
  <c r="I51" i="10"/>
  <c r="D24" i="33"/>
  <c r="D38" i="22" s="1"/>
  <c r="D23" i="33"/>
  <c r="H32" i="21" s="1"/>
  <c r="D22" i="33"/>
  <c r="D42" i="20" s="1"/>
  <c r="D5" i="33"/>
  <c r="D60" i="1" s="1"/>
  <c r="D31" i="33"/>
  <c r="E24" i="6"/>
  <c r="H26" i="6"/>
  <c r="G26" i="6"/>
  <c r="G24" i="6"/>
  <c r="G25" i="6"/>
  <c r="F26" i="6"/>
  <c r="H25" i="6"/>
  <c r="F25" i="6"/>
  <c r="H24" i="6"/>
  <c r="F24" i="6"/>
  <c r="E25" i="6"/>
  <c r="E26" i="6"/>
  <c r="H17" i="26"/>
  <c r="D7" i="26" s="1"/>
  <c r="G17" i="26"/>
  <c r="F17" i="26"/>
  <c r="E17" i="26"/>
  <c r="C29" i="19" s="1"/>
  <c r="J26" i="22"/>
  <c r="K44" i="21"/>
  <c r="J44" i="21"/>
  <c r="K43" i="21"/>
  <c r="J43" i="21"/>
  <c r="K42" i="21"/>
  <c r="J42" i="21"/>
  <c r="K40" i="21"/>
  <c r="J40" i="21"/>
  <c r="K38" i="21"/>
  <c r="G31" i="20"/>
  <c r="I26" i="17"/>
  <c r="J20" i="15"/>
  <c r="J19" i="15"/>
  <c r="J18" i="15"/>
  <c r="G20" i="15"/>
  <c r="G19" i="15"/>
  <c r="G18" i="15"/>
  <c r="G19" i="13"/>
  <c r="G18" i="13"/>
  <c r="G17" i="13"/>
  <c r="I22" i="4"/>
  <c r="I21" i="4"/>
  <c r="I36" i="6"/>
  <c r="H36" i="6"/>
  <c r="G36" i="6"/>
  <c r="F36" i="6"/>
  <c r="J26" i="9"/>
  <c r="I26" i="9"/>
  <c r="H26" i="9"/>
  <c r="G26" i="9"/>
  <c r="F26" i="9"/>
  <c r="G22" i="10"/>
  <c r="G21" i="10"/>
  <c r="G20" i="10"/>
  <c r="G19" i="10"/>
  <c r="G18" i="10"/>
  <c r="K33" i="14"/>
  <c r="J33" i="14"/>
  <c r="I33" i="14"/>
  <c r="H33" i="14"/>
  <c r="K30" i="15"/>
  <c r="J30" i="15"/>
  <c r="H30" i="15"/>
  <c r="I30" i="15"/>
  <c r="F29" i="16"/>
  <c r="J29" i="16"/>
  <c r="I29" i="16"/>
  <c r="H29" i="16"/>
  <c r="G29" i="16"/>
  <c r="J31" i="20"/>
  <c r="I31" i="20"/>
  <c r="H31" i="20"/>
  <c r="K26" i="22"/>
  <c r="I26" i="22"/>
  <c r="I19" i="22"/>
  <c r="H26" i="22"/>
  <c r="I18" i="22"/>
  <c r="I18" i="29"/>
  <c r="I18" i="21"/>
  <c r="I19" i="20"/>
  <c r="I21" i="18"/>
  <c r="I20" i="18"/>
  <c r="I18" i="17"/>
  <c r="J19" i="11"/>
  <c r="I62" i="10"/>
  <c r="I39" i="10"/>
  <c r="I28" i="10"/>
  <c r="I22" i="2"/>
  <c r="I21" i="2"/>
  <c r="D8" i="20" l="1"/>
  <c r="F23" i="19"/>
  <c r="D8" i="3"/>
  <c r="F8" i="19"/>
  <c r="D8" i="2"/>
  <c r="F7" i="19"/>
  <c r="D9" i="10"/>
  <c r="F14" i="19"/>
  <c r="E15" i="19"/>
  <c r="F15" i="19"/>
  <c r="I20" i="20"/>
  <c r="E24" i="33"/>
  <c r="I23" i="4"/>
  <c r="L10" i="19"/>
  <c r="P10" i="19" s="1"/>
  <c r="L18" i="19"/>
  <c r="P18" i="19" s="1"/>
  <c r="L26" i="19"/>
  <c r="P26" i="19" s="1"/>
  <c r="L24" i="19"/>
  <c r="P24" i="19" s="1"/>
  <c r="L17" i="19"/>
  <c r="P17" i="19" s="1"/>
  <c r="L19" i="19"/>
  <c r="P19" i="19" s="1"/>
  <c r="L27" i="19"/>
  <c r="P27" i="19" s="1"/>
  <c r="L16" i="19"/>
  <c r="P16" i="19"/>
  <c r="L6" i="19"/>
  <c r="P6" i="19" s="1"/>
  <c r="L12" i="19"/>
  <c r="P12" i="19" s="1"/>
  <c r="L20" i="19"/>
  <c r="P20" i="19"/>
  <c r="L28" i="19"/>
  <c r="P28" i="19" s="1"/>
  <c r="L25" i="19"/>
  <c r="P25" i="19" s="1"/>
  <c r="L11" i="19"/>
  <c r="P11" i="19" s="1"/>
  <c r="L13" i="19"/>
  <c r="P13" i="19"/>
  <c r="L21" i="19"/>
  <c r="P21" i="19" s="1"/>
  <c r="L29" i="19"/>
  <c r="P29" i="19" s="1"/>
  <c r="L8" i="19"/>
  <c r="P8" i="19" s="1"/>
  <c r="L14" i="19"/>
  <c r="P14" i="19" s="1"/>
  <c r="L22" i="19"/>
  <c r="P22" i="19" s="1"/>
  <c r="L30" i="19"/>
  <c r="P30" i="19" s="1"/>
  <c r="L32" i="19"/>
  <c r="P32" i="19"/>
  <c r="L7" i="19"/>
  <c r="P7" i="19" s="1"/>
  <c r="L15" i="19"/>
  <c r="P15" i="19"/>
  <c r="L23" i="19"/>
  <c r="P23" i="19" s="1"/>
  <c r="L31" i="19"/>
  <c r="P31" i="19" s="1"/>
  <c r="E38" i="22"/>
  <c r="H27" i="6"/>
  <c r="J20" i="11"/>
  <c r="J45" i="21"/>
  <c r="K12" i="19"/>
  <c r="K10" i="19"/>
  <c r="F27" i="6"/>
  <c r="Q22" i="14"/>
  <c r="M30" i="12"/>
  <c r="M34" i="12" s="1"/>
  <c r="C16" i="19" s="1"/>
  <c r="J21" i="15"/>
  <c r="D8" i="29"/>
  <c r="H27" i="19"/>
  <c r="H28" i="19"/>
  <c r="I22" i="18"/>
  <c r="K18" i="15"/>
  <c r="F84" i="10"/>
  <c r="D14" i="19" s="1"/>
  <c r="K14" i="19" s="1"/>
  <c r="K8" i="19"/>
  <c r="K20" i="15"/>
  <c r="G21" i="15"/>
  <c r="F24" i="33"/>
  <c r="G38" i="22" s="1"/>
  <c r="F38" i="22"/>
  <c r="D8" i="22" s="1"/>
  <c r="K45" i="21"/>
  <c r="F42" i="20"/>
  <c r="K23" i="19"/>
  <c r="C23" i="19"/>
  <c r="K22" i="19"/>
  <c r="C22" i="19"/>
  <c r="E20" i="33"/>
  <c r="I27" i="17" s="1"/>
  <c r="D8" i="17" s="1"/>
  <c r="K19" i="15"/>
  <c r="G20" i="13"/>
  <c r="D8" i="13" s="1"/>
  <c r="F17" i="19" s="1"/>
  <c r="F15" i="33"/>
  <c r="G30" i="12" s="1"/>
  <c r="E15" i="33"/>
  <c r="F30" i="12" s="1"/>
  <c r="D15" i="33"/>
  <c r="E30" i="12" s="1"/>
  <c r="I83" i="10"/>
  <c r="E84" i="10"/>
  <c r="C14" i="19" s="1"/>
  <c r="K9" i="19"/>
  <c r="K7" i="19"/>
  <c r="K15" i="19"/>
  <c r="K16" i="19"/>
  <c r="K18" i="19"/>
  <c r="K29" i="19"/>
  <c r="K13" i="19"/>
  <c r="I57" i="1"/>
  <c r="G58" i="1"/>
  <c r="I58" i="1"/>
  <c r="G59" i="1"/>
  <c r="J57" i="1"/>
  <c r="E27" i="6"/>
  <c r="G27" i="6"/>
  <c r="E23" i="33"/>
  <c r="I32" i="21" s="1"/>
  <c r="D8" i="21" s="1"/>
  <c r="F24" i="19" s="1"/>
  <c r="H58" i="1"/>
  <c r="J58" i="1"/>
  <c r="J59" i="1"/>
  <c r="H59" i="1"/>
  <c r="I59" i="1"/>
  <c r="K20" i="19"/>
  <c r="G84" i="10"/>
  <c r="E14" i="19" s="1"/>
  <c r="H57" i="1"/>
  <c r="G23" i="10"/>
  <c r="M45" i="12"/>
  <c r="M32" i="12" s="1"/>
  <c r="I15" i="33"/>
  <c r="I25" i="12" s="1"/>
  <c r="M31" i="12" s="1"/>
  <c r="D8" i="6" l="1"/>
  <c r="F11" i="19"/>
  <c r="F25" i="19"/>
  <c r="E21" i="19"/>
  <c r="F21" i="19"/>
  <c r="E32" i="19"/>
  <c r="F32" i="19"/>
  <c r="K26" i="19"/>
  <c r="K24" i="19"/>
  <c r="K27" i="19"/>
  <c r="K32" i="19"/>
  <c r="K17" i="19"/>
  <c r="K25" i="19"/>
  <c r="K31" i="19"/>
  <c r="D11" i="19"/>
  <c r="K11" i="19" s="1"/>
  <c r="I84" i="10"/>
  <c r="E29" i="33"/>
  <c r="K21" i="15"/>
  <c r="D8" i="15" s="1"/>
  <c r="F19" i="19" s="1"/>
  <c r="C11" i="19"/>
  <c r="K28" i="19"/>
  <c r="K21" i="19"/>
  <c r="F5" i="33"/>
  <c r="H5" i="33"/>
  <c r="J60" i="1" s="1"/>
  <c r="E5" i="33"/>
  <c r="G5" i="33"/>
  <c r="I60" i="1" s="1"/>
  <c r="E6" i="19" s="1"/>
  <c r="F81" i="27" l="1"/>
  <c r="D8" i="27" s="1"/>
  <c r="F30" i="19" s="1"/>
  <c r="D8" i="1"/>
  <c r="F6" i="19"/>
  <c r="K19" i="19"/>
  <c r="K30" i="19"/>
  <c r="E30" i="19" l="1"/>
  <c r="K6" i="19"/>
  <c r="G50" i="29" l="1"/>
  <c r="I50" i="29"/>
  <c r="G82" i="29" s="1"/>
  <c r="G68" i="29"/>
  <c r="F68" i="29"/>
  <c r="F8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
    <author>alirio rodriguez isidro</author>
    <author>EMH</author>
  </authors>
  <commentList>
    <comment ref="BE4" authorId="0" shapeId="0" xr:uid="{9ED380B0-E5B1-4C70-8E41-DB795039D0CE}">
      <text>
        <r>
          <rPr>
            <b/>
            <sz val="9"/>
            <color indexed="81"/>
            <rFont val="Tahoma"/>
            <family val="2"/>
          </rPr>
          <t>Usuario:</t>
        </r>
        <r>
          <rPr>
            <sz val="9"/>
            <color indexed="81"/>
            <rFont val="Tahoma"/>
            <family val="2"/>
          </rPr>
          <t xml:space="preserve">
El indicador seleccionado es coherente con la actividad. Esta articulación fue aprobada por la instancia correspondiente?</t>
        </r>
      </text>
    </comment>
    <comment ref="BH5" authorId="0" shapeId="0" xr:uid="{1348763B-87A0-461D-8761-B0A1DEB489E6}">
      <text>
        <r>
          <rPr>
            <b/>
            <sz val="9"/>
            <color indexed="81"/>
            <rFont val="Tahoma"/>
            <family val="2"/>
          </rPr>
          <t>Usuario:</t>
        </r>
        <r>
          <rPr>
            <sz val="9"/>
            <color indexed="81"/>
            <rFont val="Tahoma"/>
            <family val="2"/>
          </rPr>
          <t xml:space="preserve">
El indicador seleccionado es coherente con la actividad. Esta articulación fue aprobada por la instancia correspondiente?</t>
        </r>
      </text>
    </comment>
    <comment ref="AS7" authorId="0" shapeId="0" xr:uid="{7CCB61EA-2780-4C05-93ED-77F845FD21FC}">
      <text>
        <r>
          <rPr>
            <b/>
            <sz val="9"/>
            <color indexed="81"/>
            <rFont val="Tahoma"/>
            <family val="2"/>
          </rPr>
          <t>Usuario:</t>
        </r>
        <r>
          <rPr>
            <sz val="9"/>
            <color indexed="81"/>
            <rFont val="Tahoma"/>
            <family val="2"/>
          </rPr>
          <t xml:space="preserve">
revisar, no coincide con dato de informe 2020 debido a diferencia en proyecto 1.2.2.</t>
        </r>
      </text>
    </comment>
    <comment ref="L10" authorId="0" shapeId="0" xr:uid="{6CA3D618-B58D-42BA-B163-252ADE58EF23}">
      <text>
        <r>
          <rPr>
            <b/>
            <sz val="9"/>
            <color indexed="81"/>
            <rFont val="Tahoma"/>
            <family val="2"/>
          </rPr>
          <t>Usuario:</t>
        </r>
        <r>
          <rPr>
            <sz val="9"/>
            <color indexed="81"/>
            <rFont val="Tahoma"/>
            <family val="2"/>
          </rPr>
          <t xml:space="preserve">
Reporte 2022</t>
        </r>
      </text>
    </comment>
    <comment ref="BH10" authorId="1" shapeId="0" xr:uid="{AD712129-BD12-4B32-B813-1E4C3DC58ED5}">
      <text>
        <r>
          <rPr>
            <sz val="11"/>
            <color theme="1"/>
            <rFont val="Arial"/>
            <family val="2"/>
          </rPr>
          <t xml:space="preserve">En Anexo 19 del PAI tenian asociado el indicador ODS: Porcentaje del cambio en la extensión de los ecosistemas relacionados con el agua a lo largo del tiempo. No obstante creo que el aporte se hace más hacia: Grado de aplicación de la ordenación integrada de los recursos hídricos (0-100)
</t>
        </r>
      </text>
    </comment>
    <comment ref="Z11" authorId="2" shapeId="0" xr:uid="{11FF6F62-7D87-4002-B09F-C8EB704598E7}">
      <text>
        <r>
          <rPr>
            <sz val="9"/>
            <color indexed="81"/>
            <rFont val="Tahoma"/>
            <family val="2"/>
          </rPr>
          <t xml:space="preserve">Para la ejecución de esta acción estratégica, se desarrollaron acciones durante la vigencia 2020 y 2021, que permitió lograr un avance del 98% de la meta programada.
</t>
        </r>
      </text>
    </comment>
    <comment ref="BH12" authorId="1" shapeId="0" xr:uid="{E3423C4B-DF3A-456C-B5DE-7E3219E411CD}">
      <text>
        <r>
          <rPr>
            <sz val="11"/>
            <color theme="1"/>
            <rFont val="Arial"/>
            <family val="2"/>
          </rPr>
          <t xml:space="preserve">En Anexo 19 del PAI tenian asociado el indicador ODS: Porcentaje del cambio en la extensión de los ecosistemas relacionados con el agua a lo largo del tiempo. No obstante creo que el aporte se hace más hacia: Grado de aplicación de la ordenación integrada de los recursos hídricos (0-100)
</t>
        </r>
      </text>
    </comment>
    <comment ref="BH15" authorId="1" shapeId="0" xr:uid="{5A12A047-0DB9-42BF-B4B7-D503CF21ED0B}">
      <text>
        <r>
          <rPr>
            <sz val="11"/>
            <color theme="1"/>
            <rFont val="Arial"/>
            <family val="2"/>
          </rPr>
          <t xml:space="preserve">En Anexo 19 del PAI tenian asociado el indicador ODS: Porcentaje del cambio en la extensión de los ecosistemas relacionados con el agua a lo largo del tiempo. No obstante creo que el aporte se hace más hacia: Grado de aplicación de la ordenación integrada de los recursos hídricos (0-100)
</t>
        </r>
      </text>
    </comment>
    <comment ref="B16" authorId="3" shapeId="0" xr:uid="{C338EC92-ED94-41D0-9654-6B9DDE5FE44A}">
      <text>
        <r>
          <rPr>
            <b/>
            <sz val="9"/>
            <color indexed="81"/>
            <rFont val="Tahoma"/>
            <family val="2"/>
          </rPr>
          <t>EMH:</t>
        </r>
        <r>
          <rPr>
            <sz val="9"/>
            <color indexed="81"/>
            <rFont val="Tahoma"/>
            <family val="2"/>
          </rPr>
          <t xml:space="preserve">
Acuerdo 008 d 2023</t>
        </r>
      </text>
    </comment>
    <comment ref="BH18" authorId="1" shapeId="0" xr:uid="{B0BB815F-7427-4048-AFC7-CA0A808CBB45}">
      <text>
        <r>
          <rPr>
            <sz val="11"/>
            <color theme="1"/>
            <rFont val="Arial"/>
            <family val="2"/>
          </rPr>
          <t xml:space="preserve">En Anexo 19 del PAI tenian asociado el indicador ODS: Porcentaje del cambio en la extensión de los ecosistemas relacionados con el agua a lo largo del tiempo. No obstante creo que el aporte se hace más hacia:  Nivel de estrés hídrico: extracción de agua dulce como proporción de los recursos de agua dulce disponibles
</t>
        </r>
      </text>
    </comment>
    <comment ref="BH19" authorId="1" shapeId="0" xr:uid="{8E4F36FD-AF55-40E4-9CE9-E93199826D70}">
      <text>
        <r>
          <rPr>
            <sz val="11"/>
            <color theme="1"/>
            <rFont val="Arial"/>
            <family val="2"/>
          </rPr>
          <t xml:space="preserve">En Anexo 19 del PAI tenian asociado el indicador ODS: Porcentaje del cambio en la extensión de los ecosistemas relacionados con el agua a lo largo del tiempo. No obstante creo que el aporte se hace más hacia: Grado de aplicación de la ordenación integrada de los recursos hídricos (0-100)
</t>
        </r>
      </text>
    </comment>
    <comment ref="BH20" authorId="1" shapeId="0" xr:uid="{AE522E7B-55DE-457F-A5AD-363FA89C9FCB}">
      <text>
        <r>
          <rPr>
            <sz val="11"/>
            <color theme="1"/>
            <rFont val="Arial"/>
            <family val="2"/>
          </rPr>
          <t xml:space="preserve">En Anexo 19 del PAI tenian asociado el indicador ODS: Porcentaje del cambio en la extensión de los ecosistemas relacionados con el agua a lo largo del tiempo. No obstante creo que el aporte se hace más hacia: Grado de aplicación de la ordenación integrada de los recursos hídricos (0-100)
</t>
        </r>
      </text>
    </comment>
    <comment ref="BH21" authorId="1" shapeId="0" xr:uid="{F90DCA9E-4E73-4BAF-B9F9-FEB8C901B07E}">
      <text>
        <r>
          <rPr>
            <sz val="11"/>
            <color theme="1"/>
            <rFont val="Arial"/>
            <family val="2"/>
          </rPr>
          <t xml:space="preserve">En Anexo 19 del PAI tenian asociado el indicador ODS: Porcentaje del cambio en la extensión de los ecosistemas relacionados con el agua a lo largo del tiempo. No obstante creo que el aporte se hace más hacia: Grado de aplicación de la ordenación integrada de los recursos hídricos (0-100)
</t>
        </r>
      </text>
    </comment>
    <comment ref="S26" authorId="0" shapeId="0" xr:uid="{C7D795B5-208D-40BC-BA98-C87AA1372D9A}">
      <text>
        <r>
          <rPr>
            <b/>
            <sz val="9"/>
            <color indexed="81"/>
            <rFont val="Tahoma"/>
            <family val="2"/>
          </rPr>
          <t>Usuario:</t>
        </r>
        <r>
          <rPr>
            <sz val="9"/>
            <color indexed="81"/>
            <rFont val="Tahoma"/>
            <family val="2"/>
          </rPr>
          <t xml:space="preserve">
Revisar respecto al avance.</t>
        </r>
      </text>
    </comment>
    <comment ref="BH30" authorId="1" shapeId="0" xr:uid="{92DADB0D-4ADE-4420-9928-30877DA2F543}">
      <text>
        <r>
          <rPr>
            <sz val="11"/>
            <color theme="1"/>
            <rFont val="Arial"/>
            <family val="2"/>
          </rPr>
          <t xml:space="preserve">En Anexo 19 del PAI tenian asociado el indicador ODS: Porcentaje del cambio en la extensión de los ecosistemas relacionados con el agua a lo largo del tiempo. No obstante creo que el aporte se hace más hacia el que aqui se indica
</t>
        </r>
      </text>
    </comment>
    <comment ref="BH35" authorId="1" shapeId="0" xr:uid="{85B020AF-738A-4ABC-9CF6-76724587599A}">
      <text>
        <r>
          <rPr>
            <sz val="11"/>
            <color theme="1"/>
            <rFont val="Arial"/>
            <family val="2"/>
          </rPr>
          <t xml:space="preserve">Esta actividad no la tienen articulada a ningún ODS pero la meta podría estar asociada al indicador 144
</t>
        </r>
      </text>
    </comment>
    <comment ref="AS36" authorId="0" shapeId="0" xr:uid="{0328512F-101C-40DE-9F29-44F624BDECE9}">
      <text>
        <r>
          <rPr>
            <b/>
            <sz val="9"/>
            <color indexed="81"/>
            <rFont val="Tahoma"/>
            <family val="2"/>
          </rPr>
          <t>Usuario:</t>
        </r>
        <r>
          <rPr>
            <sz val="9"/>
            <color indexed="81"/>
            <rFont val="Tahoma"/>
            <family val="2"/>
          </rPr>
          <t xml:space="preserve">
En reporte 2020 se registra para este proyecto $829.142.980</t>
        </r>
      </text>
    </comment>
    <comment ref="BB36" authorId="0" shapeId="0" xr:uid="{D23CE890-42E5-41EF-9FF8-6916274BE0E7}">
      <text>
        <r>
          <rPr>
            <b/>
            <sz val="9"/>
            <color indexed="81"/>
            <rFont val="Tahoma"/>
            <family val="2"/>
          </rPr>
          <t>Usuario:</t>
        </r>
        <r>
          <rPr>
            <sz val="9"/>
            <color indexed="81"/>
            <rFont val="Tahoma"/>
            <family val="2"/>
          </rPr>
          <t xml:space="preserve">
Ajustado a formato porcentaje</t>
        </r>
      </text>
    </comment>
    <comment ref="AS37" authorId="0" shapeId="0" xr:uid="{0F263DB2-9440-4B13-9A34-8FDE8E190276}">
      <text>
        <r>
          <rPr>
            <b/>
            <sz val="9"/>
            <color indexed="81"/>
            <rFont val="Tahoma"/>
            <family val="2"/>
          </rPr>
          <t>Usuario:</t>
        </r>
        <r>
          <rPr>
            <sz val="9"/>
            <color indexed="81"/>
            <rFont val="Tahoma"/>
            <family val="2"/>
          </rPr>
          <t xml:space="preserve">
En informe 2020 tienen registrado 17.750.000</t>
        </r>
      </text>
    </comment>
    <comment ref="BH37" authorId="1" shapeId="0" xr:uid="{1DC8BA4C-160E-4856-9429-2F805AD8C3B7}">
      <text>
        <r>
          <rPr>
            <sz val="11"/>
            <color theme="1"/>
            <rFont val="Arial"/>
            <family val="2"/>
          </rPr>
          <t xml:space="preserve">Lo articulan con la meta: Aumentar considerablemente el uso eficiente de los recursos hídricos en todos los sectores al 2030
</t>
        </r>
      </text>
    </comment>
    <comment ref="AS38" authorId="0" shapeId="0" xr:uid="{9BE34F03-387A-4CA7-B8DF-0D1532E600D9}">
      <text>
        <r>
          <rPr>
            <b/>
            <sz val="9"/>
            <color indexed="81"/>
            <rFont val="Tahoma"/>
            <family val="2"/>
          </rPr>
          <t>Usuario:</t>
        </r>
        <r>
          <rPr>
            <sz val="9"/>
            <color indexed="81"/>
            <rFont val="Tahoma"/>
            <family val="2"/>
          </rPr>
          <t xml:space="preserve">
No corresponde con lo reportado en 2020</t>
        </r>
      </text>
    </comment>
    <comment ref="BH38" authorId="1" shapeId="0" xr:uid="{991CF11B-527C-43B8-B114-40BFF62746F6}">
      <text>
        <r>
          <rPr>
            <sz val="11"/>
            <color theme="1"/>
            <rFont val="Arial"/>
            <family val="2"/>
          </rPr>
          <t xml:space="preserve">Estas actividades no las encontre articuladas a ODS en el Anexo 19
</t>
        </r>
      </text>
    </comment>
    <comment ref="AQ44" authorId="0" shapeId="0" xr:uid="{6EE2B353-5734-4196-BCD6-77D4D20F73D6}">
      <text>
        <r>
          <rPr>
            <b/>
            <sz val="9"/>
            <color indexed="81"/>
            <rFont val="Tahoma"/>
            <family val="2"/>
          </rPr>
          <t>Usuario:</t>
        </r>
        <r>
          <rPr>
            <sz val="9"/>
            <color indexed="81"/>
            <rFont val="Tahoma"/>
            <family val="2"/>
          </rPr>
          <t xml:space="preserve">
se ajusto formato a %</t>
        </r>
      </text>
    </comment>
    <comment ref="AZ46" authorId="0" shapeId="0" xr:uid="{7314F03E-AFE3-4910-B435-E65B916067D1}">
      <text>
        <r>
          <rPr>
            <b/>
            <sz val="9"/>
            <color indexed="81"/>
            <rFont val="Tahoma"/>
            <family val="2"/>
          </rPr>
          <t>Usuario:</t>
        </r>
        <r>
          <rPr>
            <sz val="9"/>
            <color indexed="81"/>
            <rFont val="Tahoma"/>
            <family val="2"/>
          </rPr>
          <t xml:space="preserve">
revisar</t>
        </r>
      </text>
    </comment>
    <comment ref="BH50" authorId="1" shapeId="0" xr:uid="{68AB7436-1669-4C3E-B12D-38A20A6A67E0}">
      <text>
        <r>
          <rPr>
            <sz val="11"/>
            <color theme="1"/>
            <rFont val="Arial"/>
            <family val="2"/>
          </rPr>
          <t xml:space="preserve">Es el indicadores asociado a la meta del ODS con el que se articulo
</t>
        </r>
      </text>
    </comment>
    <comment ref="BH51" authorId="1" shapeId="0" xr:uid="{61955AEB-9C55-4783-8EB6-31769F07CCCC}">
      <text>
        <r>
          <rPr>
            <sz val="11"/>
            <color theme="1"/>
            <rFont val="Arial"/>
            <family val="2"/>
          </rPr>
          <t xml:space="preserve">Es el indicadores asociado a la meta del ODS con el que se articulo
</t>
        </r>
      </text>
    </comment>
    <comment ref="BH52" authorId="1" shapeId="0" xr:uid="{E4491593-61B1-4567-BC96-8491B3123376}">
      <text>
        <r>
          <rPr>
            <sz val="11"/>
            <color theme="1"/>
            <rFont val="Arial"/>
            <family val="2"/>
          </rPr>
          <t xml:space="preserve">Es el indicadores asociado a la meta del ODS con el que se articulo
</t>
        </r>
      </text>
    </comment>
    <comment ref="BH53" authorId="1" shapeId="0" xr:uid="{DDC124D2-F3AA-47D1-BC0C-46FD213F1268}">
      <text>
        <r>
          <rPr>
            <sz val="11"/>
            <color theme="1"/>
            <rFont val="Arial"/>
            <family val="2"/>
          </rPr>
          <t xml:space="preserve">Es el indicadores asociado a la meta del ODS con el que se articulo
</t>
        </r>
      </text>
    </comment>
    <comment ref="AS55" authorId="0" shapeId="0" xr:uid="{1133166E-358A-46AD-8B50-EB3ACEC4200B}">
      <text>
        <r>
          <rPr>
            <b/>
            <sz val="9"/>
            <color indexed="81"/>
            <rFont val="Tahoma"/>
            <family val="2"/>
          </rPr>
          <t>Usuario:</t>
        </r>
        <r>
          <rPr>
            <sz val="9"/>
            <color indexed="81"/>
            <rFont val="Tahoma"/>
            <family val="2"/>
          </rPr>
          <t xml:space="preserve">
Informe 2020: $1.574.061.216. Difiere por proyecto 2.1.1.</t>
        </r>
      </text>
    </comment>
    <comment ref="AS57" authorId="0" shapeId="0" xr:uid="{AD9DBA01-DECA-442A-AB15-7BE7490DB6CB}">
      <text>
        <r>
          <rPr>
            <b/>
            <sz val="9"/>
            <color indexed="81"/>
            <rFont val="Tahoma"/>
            <family val="2"/>
          </rPr>
          <t>Usuario:</t>
        </r>
        <r>
          <rPr>
            <sz val="9"/>
            <color indexed="81"/>
            <rFont val="Tahoma"/>
            <family val="2"/>
          </rPr>
          <t xml:space="preserve">
Informe 2020: 65.662.916</t>
        </r>
      </text>
    </comment>
    <comment ref="G58" authorId="3" shapeId="0" xr:uid="{E275DAA7-32FB-4B3C-AAE8-AC6D403BD1C4}">
      <text>
        <r>
          <rPr>
            <b/>
            <sz val="9"/>
            <color indexed="81"/>
            <rFont val="Tahoma"/>
            <family val="2"/>
          </rPr>
          <t>EMH:</t>
        </r>
        <r>
          <rPr>
            <sz val="9"/>
            <color indexed="81"/>
            <rFont val="Tahoma"/>
            <family val="2"/>
          </rPr>
          <t xml:space="preserve">
Acuerdo 008 de 2023</t>
        </r>
      </text>
    </comment>
    <comment ref="S58" authorId="0" shapeId="0" xr:uid="{D1290870-D233-4F97-A15D-436EB6419AD5}">
      <text>
        <r>
          <rPr>
            <b/>
            <sz val="9"/>
            <color indexed="81"/>
            <rFont val="Tahoma"/>
            <family val="2"/>
          </rPr>
          <t>Usuario:</t>
        </r>
        <r>
          <rPr>
            <sz val="9"/>
            <color indexed="81"/>
            <rFont val="Tahoma"/>
            <family val="2"/>
          </rPr>
          <t xml:space="preserve">
Revisar frente a lo que sse reporta</t>
        </r>
      </text>
    </comment>
    <comment ref="AQ59" authorId="0" shapeId="0" xr:uid="{538533D0-3020-4863-AEF1-5DEA636D6182}">
      <text>
        <r>
          <rPr>
            <b/>
            <sz val="9"/>
            <color indexed="81"/>
            <rFont val="Tahoma"/>
            <family val="2"/>
          </rPr>
          <t>Usuario:</t>
        </r>
        <r>
          <rPr>
            <sz val="9"/>
            <color indexed="81"/>
            <rFont val="Tahoma"/>
            <family val="2"/>
          </rPr>
          <t xml:space="preserve">
se ajusto formato a %</t>
        </r>
      </text>
    </comment>
    <comment ref="AH61" authorId="0" shapeId="0" xr:uid="{2AD1CD5B-10E5-4FF6-90D6-E9B4B2E9FD2E}">
      <text>
        <r>
          <rPr>
            <b/>
            <sz val="9"/>
            <color indexed="81"/>
            <rFont val="Tahoma"/>
            <family val="2"/>
          </rPr>
          <t>Usuario:</t>
        </r>
        <r>
          <rPr>
            <sz val="9"/>
            <color indexed="81"/>
            <rFont val="Tahoma"/>
            <family val="2"/>
          </rPr>
          <t xml:space="preserve">
No hay meta</t>
        </r>
      </text>
    </comment>
    <comment ref="AM61" authorId="0" shapeId="0" xr:uid="{B502C2BB-A94D-4A73-8FD8-A7D4D871D1FC}">
      <text>
        <r>
          <rPr>
            <b/>
            <sz val="9"/>
            <color indexed="81"/>
            <rFont val="Tahoma"/>
            <family val="2"/>
          </rPr>
          <t>Usuario:</t>
        </r>
        <r>
          <rPr>
            <sz val="9"/>
            <color indexed="81"/>
            <rFont val="Tahoma"/>
            <family val="2"/>
          </rPr>
          <t xml:space="preserve">
No hay meta</t>
        </r>
      </text>
    </comment>
    <comment ref="AQ61" authorId="0" shapeId="0" xr:uid="{D06AFD8D-7807-4818-94F9-573F42C42653}">
      <text>
        <r>
          <rPr>
            <b/>
            <sz val="9"/>
            <color indexed="81"/>
            <rFont val="Tahoma"/>
            <family val="2"/>
          </rPr>
          <t>Usuario:</t>
        </r>
        <r>
          <rPr>
            <sz val="9"/>
            <color indexed="81"/>
            <rFont val="Tahoma"/>
            <family val="2"/>
          </rPr>
          <t xml:space="preserve">
se ajusto formato a %</t>
        </r>
      </text>
    </comment>
    <comment ref="AS61" authorId="0" shapeId="0" xr:uid="{7DF0C1BD-56E8-4566-B4E1-E6283FA6F562}">
      <text>
        <r>
          <rPr>
            <b/>
            <sz val="9"/>
            <color indexed="81"/>
            <rFont val="Tahoma"/>
            <family val="2"/>
          </rPr>
          <t>Usuario:</t>
        </r>
        <r>
          <rPr>
            <sz val="9"/>
            <color indexed="81"/>
            <rFont val="Tahoma"/>
            <family val="2"/>
          </rPr>
          <t xml:space="preserve">
No hay meta y en informe 2020 registran: 65.662.916</t>
        </r>
      </text>
    </comment>
    <comment ref="BH64" authorId="1" shapeId="0" xr:uid="{16EADBEE-7F1E-41E5-9AA0-656F74D8EF3D}">
      <text>
        <r>
          <rPr>
            <sz val="11"/>
            <color theme="1"/>
            <rFont val="Arial"/>
            <family val="2"/>
          </rPr>
          <t xml:space="preserve">En PAI lo asocian a indicador 15 pero no un indicador especifico, este le aplica.
</t>
        </r>
      </text>
    </comment>
    <comment ref="BH65" authorId="1" shapeId="0" xr:uid="{FD80D405-9D25-4E2B-B522-BB8F85F3DBE3}">
      <text>
        <r>
          <rPr>
            <sz val="11"/>
            <color theme="1"/>
            <rFont val="Arial"/>
            <family val="2"/>
          </rPr>
          <t xml:space="preserve">En PAI lo asocian a indicador 15 pero no un indicador especifico, este le aplica.
</t>
        </r>
      </text>
    </comment>
    <comment ref="AS66" authorId="0" shapeId="0" xr:uid="{E145DCC7-6FFF-499D-A6D0-A6E43CDF3A4C}">
      <text>
        <r>
          <rPr>
            <b/>
            <sz val="9"/>
            <color indexed="81"/>
            <rFont val="Tahoma"/>
            <family val="2"/>
          </rPr>
          <t>Usuario:</t>
        </r>
        <r>
          <rPr>
            <sz val="9"/>
            <color indexed="81"/>
            <rFont val="Tahoma"/>
            <family val="2"/>
          </rPr>
          <t xml:space="preserve">
Difiere de lo reportado en 2020</t>
        </r>
      </text>
    </comment>
    <comment ref="AQ69" authorId="0" shapeId="0" xr:uid="{FEFDB66E-20F5-4BF0-9D19-C9CCD821DA69}">
      <text>
        <r>
          <rPr>
            <b/>
            <sz val="9"/>
            <color indexed="81"/>
            <rFont val="Tahoma"/>
            <family val="2"/>
          </rPr>
          <t>Usuario:</t>
        </r>
        <r>
          <rPr>
            <sz val="9"/>
            <color indexed="81"/>
            <rFont val="Tahoma"/>
            <family val="2"/>
          </rPr>
          <t xml:space="preserve">
se ajusto formato a %</t>
        </r>
      </text>
    </comment>
    <comment ref="AQ70" authorId="0" shapeId="0" xr:uid="{3E742801-C627-440B-A589-A889F1920695}">
      <text>
        <r>
          <rPr>
            <b/>
            <sz val="9"/>
            <color indexed="81"/>
            <rFont val="Tahoma"/>
            <family val="2"/>
          </rPr>
          <t>Usuario:</t>
        </r>
        <r>
          <rPr>
            <sz val="9"/>
            <color indexed="81"/>
            <rFont val="Tahoma"/>
            <family val="2"/>
          </rPr>
          <t xml:space="preserve">
se ajusto formato a %</t>
        </r>
      </text>
    </comment>
    <comment ref="AQ71" authorId="0" shapeId="0" xr:uid="{F84A01F5-04B4-4D51-BEF3-C9A99436125D}">
      <text>
        <r>
          <rPr>
            <b/>
            <sz val="9"/>
            <color indexed="81"/>
            <rFont val="Tahoma"/>
            <family val="2"/>
          </rPr>
          <t>Usuario:</t>
        </r>
        <r>
          <rPr>
            <sz val="9"/>
            <color indexed="81"/>
            <rFont val="Tahoma"/>
            <family val="2"/>
          </rPr>
          <t xml:space="preserve">
se ajusto formato a %</t>
        </r>
      </text>
    </comment>
    <comment ref="AH82" authorId="0" shapeId="0" xr:uid="{CF1CC184-1BEA-4F6F-8746-A30AFFAB9AF2}">
      <text>
        <r>
          <rPr>
            <b/>
            <sz val="9"/>
            <color indexed="81"/>
            <rFont val="Tahoma"/>
            <family val="2"/>
          </rPr>
          <t>Usuario:</t>
        </r>
        <r>
          <rPr>
            <sz val="9"/>
            <color indexed="81"/>
            <rFont val="Tahoma"/>
            <family val="2"/>
          </rPr>
          <t xml:space="preserve">
No hay meta</t>
        </r>
      </text>
    </comment>
    <comment ref="AI82" authorId="0" shapeId="0" xr:uid="{EAB36400-0020-4E20-8269-9046550AF5CC}">
      <text>
        <r>
          <rPr>
            <b/>
            <sz val="9"/>
            <color indexed="81"/>
            <rFont val="Tahoma"/>
            <family val="2"/>
          </rPr>
          <t>Usuario:</t>
        </r>
        <r>
          <rPr>
            <sz val="9"/>
            <color indexed="81"/>
            <rFont val="Tahoma"/>
            <family val="2"/>
          </rPr>
          <t xml:space="preserve">
No hay meta</t>
        </r>
      </text>
    </comment>
    <comment ref="G83" authorId="3" shapeId="0" xr:uid="{5EE080D2-F52C-423D-8F20-A75F4449DF85}">
      <text>
        <r>
          <rPr>
            <b/>
            <sz val="9"/>
            <color indexed="81"/>
            <rFont val="Tahoma"/>
            <family val="2"/>
          </rPr>
          <t>EMH:</t>
        </r>
        <r>
          <rPr>
            <sz val="9"/>
            <color indexed="81"/>
            <rFont val="Tahoma"/>
            <family val="2"/>
          </rPr>
          <t xml:space="preserve">
Acuerdo 008 de 2023</t>
        </r>
      </text>
    </comment>
    <comment ref="A85" authorId="3" shapeId="0" xr:uid="{E682D7FB-E750-4DA2-8862-659D3C632E74}">
      <text>
        <r>
          <rPr>
            <b/>
            <sz val="9"/>
            <color indexed="81"/>
            <rFont val="Tahoma"/>
            <family val="2"/>
          </rPr>
          <t>EMH:</t>
        </r>
        <r>
          <rPr>
            <sz val="9"/>
            <color indexed="81"/>
            <rFont val="Tahoma"/>
            <family val="2"/>
          </rPr>
          <t xml:space="preserve">
Acuerdo 008 de 2023</t>
        </r>
      </text>
    </comment>
    <comment ref="AQ90" authorId="0" shapeId="0" xr:uid="{0FC6261A-A63E-4253-9450-AF7EC3066D04}">
      <text>
        <r>
          <rPr>
            <b/>
            <sz val="9"/>
            <color indexed="81"/>
            <rFont val="Tahoma"/>
            <family val="2"/>
          </rPr>
          <t>Usuario:</t>
        </r>
        <r>
          <rPr>
            <sz val="9"/>
            <color indexed="81"/>
            <rFont val="Tahoma"/>
            <family val="2"/>
          </rPr>
          <t xml:space="preserve">
Se ajusto formato a %</t>
        </r>
      </text>
    </comment>
    <comment ref="B91" authorId="0" shapeId="0" xr:uid="{19C4A64C-1EDB-4FBD-98F0-63CE4B78E326}">
      <text>
        <r>
          <rPr>
            <b/>
            <sz val="9"/>
            <color indexed="81"/>
            <rFont val="Tahoma"/>
            <family val="2"/>
          </rPr>
          <t>Usuario:</t>
        </r>
        <r>
          <rPr>
            <sz val="9"/>
            <color indexed="81"/>
            <rFont val="Tahoma"/>
            <family val="2"/>
          </rPr>
          <t xml:space="preserve">
Especificar en la creación del indicador en CARdinal</t>
        </r>
      </text>
    </comment>
    <comment ref="AQ94" authorId="0" shapeId="0" xr:uid="{101EB5E4-9786-4D90-855E-E7324F4C0BE5}">
      <text>
        <r>
          <rPr>
            <b/>
            <sz val="9"/>
            <color indexed="81"/>
            <rFont val="Tahoma"/>
            <family val="2"/>
          </rPr>
          <t>Usuario:</t>
        </r>
        <r>
          <rPr>
            <sz val="9"/>
            <color indexed="81"/>
            <rFont val="Tahoma"/>
            <family val="2"/>
          </rPr>
          <t xml:space="preserve">
Se ajusto formato a %</t>
        </r>
      </text>
    </comment>
    <comment ref="AQ96" authorId="0" shapeId="0" xr:uid="{6B989638-500E-4FA9-83AF-5AA9C20EE2FF}">
      <text>
        <r>
          <rPr>
            <b/>
            <sz val="9"/>
            <color indexed="81"/>
            <rFont val="Tahoma"/>
            <family val="2"/>
          </rPr>
          <t>Usuario:</t>
        </r>
        <r>
          <rPr>
            <sz val="9"/>
            <color indexed="81"/>
            <rFont val="Tahoma"/>
            <family val="2"/>
          </rPr>
          <t xml:space="preserve">
Se ajusto formato a %</t>
        </r>
      </text>
    </comment>
    <comment ref="M103" authorId="3" shapeId="0" xr:uid="{70D9770F-9038-4D2B-B910-01ADD11E7B59}">
      <text>
        <r>
          <rPr>
            <b/>
            <sz val="9"/>
            <color indexed="81"/>
            <rFont val="Tahoma"/>
            <family val="2"/>
          </rPr>
          <t>EMH:</t>
        </r>
        <r>
          <rPr>
            <sz val="9"/>
            <color indexed="81"/>
            <rFont val="Tahoma"/>
            <family val="2"/>
          </rPr>
          <t xml:space="preserve">
Cumplido en 2023.</t>
        </r>
      </text>
    </comment>
    <comment ref="A106" authorId="1" shapeId="0" xr:uid="{793DA544-7F92-4E32-818B-1BA58C14ABD4}">
      <text>
        <r>
          <rPr>
            <sz val="11"/>
            <color theme="1"/>
            <rFont val="Arial"/>
            <family val="2"/>
          </rPr>
          <t>Se ajusto el termino resaltado en rojo de la forma como se encuentra en el Anexo 19 del PAI.</t>
        </r>
      </text>
    </comment>
    <comment ref="S107" authorId="0" shapeId="0" xr:uid="{0ACAB6C9-3E9C-40DA-ACC5-AF796F339FD8}">
      <text>
        <r>
          <rPr>
            <b/>
            <sz val="9"/>
            <color indexed="81"/>
            <rFont val="Tahoma"/>
            <family val="2"/>
          </rPr>
          <t>Usuario:</t>
        </r>
        <r>
          <rPr>
            <sz val="9"/>
            <color indexed="81"/>
            <rFont val="Tahoma"/>
            <family val="2"/>
          </rPr>
          <t xml:space="preserve">
Osea el convenio cubre 25 semilleros?</t>
        </r>
      </text>
    </comment>
    <comment ref="S119" authorId="0" shapeId="0" xr:uid="{2D418A21-C6DE-485A-AFC0-757A874C8A77}">
      <text>
        <r>
          <rPr>
            <b/>
            <sz val="9"/>
            <color indexed="81"/>
            <rFont val="Tahoma"/>
            <family val="2"/>
          </rPr>
          <t>Usuario:</t>
        </r>
        <r>
          <rPr>
            <sz val="9"/>
            <color indexed="81"/>
            <rFont val="Tahoma"/>
            <family val="2"/>
          </rPr>
          <t xml:space="preserve">
Cuantos talleres</t>
        </r>
      </text>
    </comment>
    <comment ref="BH122" authorId="1" shapeId="0" xr:uid="{4D2AA87F-0648-4373-BBC7-A5A14266E297}">
      <text>
        <r>
          <rPr>
            <sz val="11"/>
            <color theme="1"/>
            <rFont val="Arial"/>
            <family val="2"/>
          </rPr>
          <t xml:space="preserve">Lo articulan a varios indicadores ODS, se selecciona uno de ellos
</t>
        </r>
      </text>
    </comment>
    <comment ref="A126" authorId="1" shapeId="0" xr:uid="{F02EDBF7-3983-4F59-9DB0-DEF82D867BA3}">
      <text>
        <r>
          <rPr>
            <sz val="11"/>
            <color theme="1"/>
            <rFont val="Arial"/>
            <family val="2"/>
          </rPr>
          <t>Como solo se permite un solo indicador por actividad, se duplica incorporando una letra diferenciadora y de esta manera se conservan los dos indicadores asociados.</t>
        </r>
      </text>
    </comment>
    <comment ref="A127" authorId="1" shapeId="0" xr:uid="{8AE4210B-671A-45FD-817E-1D75381B22A8}">
      <text>
        <r>
          <rPr>
            <sz val="11"/>
            <color theme="1"/>
            <rFont val="Arial"/>
            <family val="2"/>
          </rPr>
          <t>Como solo se permite un solo indicador por actividad, se duplica incorporando una letra diferenciadora y de esta manera se conservan los dos indicadores asociados.</t>
        </r>
      </text>
    </comment>
    <comment ref="AQ128" authorId="0" shapeId="0" xr:uid="{5FE9A704-933C-4DC3-B20C-DC94A930050B}">
      <text>
        <r>
          <rPr>
            <b/>
            <sz val="9"/>
            <color indexed="81"/>
            <rFont val="Tahoma"/>
            <family val="2"/>
          </rPr>
          <t>Usuario:</t>
        </r>
        <r>
          <rPr>
            <sz val="9"/>
            <color indexed="81"/>
            <rFont val="Tahoma"/>
            <family val="2"/>
          </rPr>
          <t xml:space="preserve">
Se ajusto formato a %</t>
        </r>
      </text>
    </comment>
    <comment ref="A130" authorId="1" shapeId="0" xr:uid="{6EB03071-BD00-404B-AD55-CC2CE2F0E710}">
      <text>
        <r>
          <rPr>
            <sz val="11"/>
            <color theme="1"/>
            <rFont val="Arial"/>
            <family val="2"/>
          </rPr>
          <t>Como solo se permite un solo indicador por actividad, se duplica incorporando una letra diferenciadora y de esta manera se conservan los dos indicadores asociados.</t>
        </r>
      </text>
    </comment>
    <comment ref="A131" authorId="1" shapeId="0" xr:uid="{CE50C0DF-1C27-4B0F-960B-A64AB084B340}">
      <text>
        <r>
          <rPr>
            <sz val="11"/>
            <color theme="1"/>
            <rFont val="Arial"/>
            <family val="2"/>
          </rPr>
          <t>Como solo se permite un solo indicador por actividad, se duplica incorporando una letra diferenciadora y de esta manera se conservan los dos indicadores asociados.</t>
        </r>
      </text>
    </comment>
    <comment ref="AQ139" authorId="0" shapeId="0" xr:uid="{726503D6-D7FB-4040-9823-89D057D6A821}">
      <text>
        <r>
          <rPr>
            <b/>
            <sz val="9"/>
            <color indexed="81"/>
            <rFont val="Tahoma"/>
            <family val="2"/>
          </rPr>
          <t>Usuario:</t>
        </r>
        <r>
          <rPr>
            <sz val="9"/>
            <color indexed="81"/>
            <rFont val="Tahoma"/>
            <family val="2"/>
          </rPr>
          <t xml:space="preserve">
Se ajusto formato a %</t>
        </r>
      </text>
    </comment>
    <comment ref="BH149" authorId="1" shapeId="0" xr:uid="{2F55C073-EE91-4BC9-B3A0-A2CC71A2315E}">
      <text>
        <r>
          <rPr>
            <sz val="11"/>
            <color theme="1"/>
            <rFont val="Arial"/>
            <family val="2"/>
          </rPr>
          <t xml:space="preserve">Lo articulan con ODS 11 pero no se encontro un indicador afin al alcance de la actividad
</t>
        </r>
      </text>
    </comment>
    <comment ref="BH152" authorId="1" shapeId="0" xr:uid="{6BD5F307-585E-45BC-8BF1-FAD9C392FFC8}">
      <text>
        <r>
          <rPr>
            <sz val="11"/>
            <color theme="1"/>
            <rFont val="Arial"/>
            <family val="2"/>
          </rPr>
          <t xml:space="preserve">Asociado a metas de 2 ODS, se selecciono el más afin al alcance de del proyecto
</t>
        </r>
      </text>
    </comment>
    <comment ref="BH154" authorId="1" shapeId="0" xr:uid="{19BBB357-60C8-4748-AA88-C3D793273820}">
      <text>
        <r>
          <rPr>
            <sz val="11"/>
            <color theme="1"/>
            <rFont val="Arial"/>
            <family val="2"/>
          </rPr>
          <t xml:space="preserve">Asociado a metas de 2 ODS, se selecciono el más afin al alcance de del proyecto
</t>
        </r>
      </text>
    </comment>
    <comment ref="BH156" authorId="1" shapeId="0" xr:uid="{51500F61-4AD4-4D95-B0A0-8C824E61EE7E}">
      <text>
        <r>
          <rPr>
            <sz val="11"/>
            <color theme="1"/>
            <rFont val="Arial"/>
            <family val="2"/>
          </rPr>
          <t xml:space="preserve">Asociado a metas de 2 ODS
</t>
        </r>
      </text>
    </comment>
    <comment ref="BH160" authorId="1" shapeId="0" xr:uid="{EA495453-6E1E-4A5C-8D5A-684E6069B405}">
      <text>
        <r>
          <rPr>
            <sz val="11"/>
            <color theme="1"/>
            <rFont val="Arial"/>
            <family val="2"/>
          </rPr>
          <t xml:space="preserve">Lo articulan a ODS 11, sin embargo no se encontró un indicador acorde al alcance del producto
</t>
        </r>
      </text>
    </comment>
    <comment ref="BH162" authorId="1" shapeId="0" xr:uid="{D749D923-D0A6-4424-8D40-EAD70D6389B3}">
      <text>
        <r>
          <rPr>
            <sz val="11"/>
            <color theme="1"/>
            <rFont val="Arial"/>
            <family val="2"/>
          </rPr>
          <t xml:space="preserve">Lo articulan a ODS 11, sin embargo no se encontró un indicador acorde al alcance del producto
</t>
        </r>
      </text>
    </comment>
    <comment ref="BH164" authorId="1" shapeId="0" xr:uid="{D219C54D-5C6C-4BDE-8F27-8EFF41C4123F}">
      <text>
        <r>
          <rPr>
            <sz val="11"/>
            <color theme="1"/>
            <rFont val="Arial"/>
            <family val="2"/>
          </rPr>
          <t xml:space="preserve">Asociado al ODS 11, se selecciono el más afin al alcance de del proyecto
</t>
        </r>
      </text>
    </comment>
    <comment ref="BH166" authorId="1" shapeId="0" xr:uid="{87736118-A563-4852-A113-868B509FD9C9}">
      <text>
        <r>
          <rPr>
            <sz val="11"/>
            <color theme="1"/>
            <rFont val="Arial"/>
            <family val="2"/>
          </rPr>
          <t xml:space="preserve">Asociado a metas de 2 ODS, se selecciono uno de los indicadores sin embargo se recomienda revisar la pertinencia de este de acuerdo al alcance del proyecto.
</t>
        </r>
      </text>
    </comment>
    <comment ref="AQ167" authorId="0" shapeId="0" xr:uid="{2A71BB62-F692-47BC-9703-E9B23FA8A5D7}">
      <text>
        <r>
          <rPr>
            <b/>
            <sz val="9"/>
            <color indexed="81"/>
            <rFont val="Tahoma"/>
            <family val="2"/>
          </rPr>
          <t>Usuario:</t>
        </r>
        <r>
          <rPr>
            <sz val="9"/>
            <color indexed="81"/>
            <rFont val="Tahoma"/>
            <family val="2"/>
          </rPr>
          <t xml:space="preserve">
Se ajusto formato a %</t>
        </r>
      </text>
    </comment>
    <comment ref="AQ168" authorId="0" shapeId="0" xr:uid="{2994E922-B7F8-4567-A8BE-8E2F6DC1458F}">
      <text>
        <r>
          <rPr>
            <b/>
            <sz val="9"/>
            <color indexed="81"/>
            <rFont val="Tahoma"/>
            <family val="2"/>
          </rPr>
          <t>Usuario:</t>
        </r>
        <r>
          <rPr>
            <sz val="9"/>
            <color indexed="81"/>
            <rFont val="Tahoma"/>
            <family val="2"/>
          </rPr>
          <t xml:space="preserve">
Se ajusto formato a %</t>
        </r>
      </text>
    </comment>
    <comment ref="G169" authorId="3" shapeId="0" xr:uid="{74CE2FD3-07F2-419F-B422-C041B40BB9EA}">
      <text>
        <r>
          <rPr>
            <b/>
            <sz val="9"/>
            <color indexed="81"/>
            <rFont val="Tahoma"/>
            <family val="2"/>
          </rPr>
          <t>EMH:</t>
        </r>
        <r>
          <rPr>
            <sz val="9"/>
            <color indexed="81"/>
            <rFont val="Tahoma"/>
            <family val="2"/>
          </rPr>
          <t xml:space="preserve">
Acuerdo 008 de 2023</t>
        </r>
      </text>
    </comment>
    <comment ref="BH177" authorId="1" shapeId="0" xr:uid="{B5F87841-EB1D-4592-97C0-25160DDA156F}">
      <text>
        <r>
          <rPr>
            <sz val="11"/>
            <color theme="1"/>
            <rFont val="Arial"/>
            <family val="2"/>
          </rPr>
          <t xml:space="preserve">Lo articulan con ODS 11
</t>
        </r>
      </text>
    </comment>
    <comment ref="AQ178" authorId="0" shapeId="0" xr:uid="{5738AFBC-C718-41AC-966C-1C8B6A3C4403}">
      <text>
        <r>
          <rPr>
            <b/>
            <sz val="9"/>
            <color indexed="81"/>
            <rFont val="Tahoma"/>
            <family val="2"/>
          </rPr>
          <t>Usuario:</t>
        </r>
        <r>
          <rPr>
            <sz val="9"/>
            <color indexed="81"/>
            <rFont val="Tahoma"/>
            <family val="2"/>
          </rPr>
          <t xml:space="preserve">
Se ajusto formato a %</t>
        </r>
      </text>
    </comment>
    <comment ref="BH179" authorId="1" shapeId="0" xr:uid="{DDFDFDC2-1584-42F2-80ED-E096143F9BC6}">
      <text>
        <r>
          <rPr>
            <sz val="11"/>
            <color theme="1"/>
            <rFont val="Arial"/>
            <family val="2"/>
          </rPr>
          <t xml:space="preserve">Lo articulan con ODS 11
</t>
        </r>
      </text>
    </comment>
    <comment ref="BH180" authorId="1" shapeId="0" xr:uid="{2AA62ACF-691D-451A-9856-A7E4F82A094F}">
      <text>
        <r>
          <rPr>
            <sz val="11"/>
            <color theme="1"/>
            <rFont val="Arial"/>
            <family val="2"/>
          </rPr>
          <t xml:space="preserve">Lo articulan con ODS 11
</t>
        </r>
      </text>
    </comment>
    <comment ref="A181" authorId="1" shapeId="0" xr:uid="{270B37DE-3BB7-4A87-BA72-813F4068DDAC}">
      <text>
        <r>
          <rPr>
            <sz val="11"/>
            <color theme="1"/>
            <rFont val="Arial"/>
            <family val="2"/>
          </rPr>
          <t>Se duplica actividad para conservar los dos indicadores asociados</t>
        </r>
      </text>
    </comment>
    <comment ref="BH181" authorId="1" shapeId="0" xr:uid="{7D9BCB18-8389-486F-86E7-2AFADB0C0142}">
      <text>
        <r>
          <rPr>
            <sz val="11"/>
            <color theme="1"/>
            <rFont val="Arial"/>
            <family val="2"/>
          </rPr>
          <t xml:space="preserve">Lo articulan con ODS 11
</t>
        </r>
      </text>
    </comment>
    <comment ref="S182" authorId="0" shapeId="0" xr:uid="{436ADE64-0300-4303-BD72-9F73B4A56315}">
      <text>
        <r>
          <rPr>
            <b/>
            <sz val="9"/>
            <color indexed="81"/>
            <rFont val="Tahoma"/>
            <family val="2"/>
          </rPr>
          <t>Usuario:</t>
        </r>
        <r>
          <rPr>
            <sz val="9"/>
            <color indexed="81"/>
            <rFont val="Tahoma"/>
            <family val="2"/>
          </rPr>
          <t xml:space="preserve">
De acuerdo a esto, la meta debe replantearse</t>
        </r>
      </text>
    </comment>
    <comment ref="I184" authorId="3" shapeId="0" xr:uid="{838DEB60-4F48-4580-BB13-9AD888D5A924}">
      <text>
        <r>
          <rPr>
            <b/>
            <sz val="9"/>
            <color indexed="81"/>
            <rFont val="Tahoma"/>
            <family val="2"/>
          </rPr>
          <t>EMH:</t>
        </r>
        <r>
          <rPr>
            <sz val="9"/>
            <color indexed="81"/>
            <rFont val="Tahoma"/>
            <family val="2"/>
          </rPr>
          <t xml:space="preserve">
No coincide con reportes previos, el cumplimiento de meta lo registraron como rezago 2021
Se ajusta dato</t>
        </r>
      </text>
    </comment>
    <comment ref="AZ186" authorId="0" shapeId="0" xr:uid="{D67EF366-67ED-4A86-B38C-D155D6224AFA}">
      <text>
        <r>
          <rPr>
            <b/>
            <sz val="9"/>
            <color indexed="81"/>
            <rFont val="Tahoma"/>
            <family val="2"/>
          </rPr>
          <t>Usuario:</t>
        </r>
        <r>
          <rPr>
            <sz val="9"/>
            <color indexed="81"/>
            <rFont val="Tahoma"/>
            <family val="2"/>
          </rPr>
          <t xml:space="preserve">
Solucionado al actualizarlo con la info del sem I del 2021</t>
        </r>
      </text>
    </comment>
    <comment ref="AZ187" authorId="0" shapeId="0" xr:uid="{BD4A3F7C-4327-408A-B2E3-E7C4F2BE8CDF}">
      <text>
        <r>
          <rPr>
            <b/>
            <sz val="9"/>
            <color indexed="81"/>
            <rFont val="Tahoma"/>
            <family val="2"/>
          </rPr>
          <t>Usuario:</t>
        </r>
        <r>
          <rPr>
            <sz val="9"/>
            <color indexed="81"/>
            <rFont val="Tahoma"/>
            <family val="2"/>
          </rPr>
          <t xml:space="preserve">
Solucionado al actualizarlo con la info del sem I del 2021</t>
        </r>
      </text>
    </comment>
    <comment ref="BH187" authorId="1" shapeId="0" xr:uid="{3E9225D7-6E23-41B5-979F-99C62784E0F1}">
      <text>
        <r>
          <rPr>
            <sz val="11"/>
            <color theme="1"/>
            <rFont val="Arial"/>
            <family val="2"/>
          </rPr>
          <t xml:space="preserve">Lo articularon con ODS 15
</t>
        </r>
      </text>
    </comment>
    <comment ref="S192" authorId="0" shapeId="0" xr:uid="{CF2C6654-058E-45C5-9A69-341F08B19DAA}">
      <text>
        <r>
          <rPr>
            <b/>
            <sz val="9"/>
            <color indexed="81"/>
            <rFont val="Tahoma"/>
            <family val="2"/>
          </rPr>
          <t>Usuario:</t>
        </r>
        <r>
          <rPr>
            <sz val="9"/>
            <color indexed="81"/>
            <rFont val="Tahoma"/>
            <family val="2"/>
          </rPr>
          <t xml:space="preserve">
Revisar frente a lo consignado en el documento</t>
        </r>
      </text>
    </comment>
    <comment ref="BH192" authorId="1" shapeId="0" xr:uid="{E4DDB9AE-89C5-4DBA-8DE8-A3AF7E1133A4}">
      <text>
        <r>
          <rPr>
            <sz val="11"/>
            <color theme="1"/>
            <rFont val="Arial"/>
            <family val="2"/>
          </rPr>
          <t xml:space="preserve">Lo articulan con ODS15
</t>
        </r>
      </text>
    </comment>
    <comment ref="BH193" authorId="1" shapeId="0" xr:uid="{72136EDF-ADA1-4B92-BCFE-ADC004169540}">
      <text>
        <r>
          <rPr>
            <sz val="11"/>
            <color theme="1"/>
            <rFont val="Arial"/>
            <family val="2"/>
          </rPr>
          <t xml:space="preserve">Lo articulan con ODS15
</t>
        </r>
      </text>
    </comment>
    <comment ref="BH194" authorId="1" shapeId="0" xr:uid="{DE1850D8-C987-4E32-8430-D63A65532734}">
      <text>
        <r>
          <rPr>
            <sz val="11"/>
            <color theme="1"/>
            <rFont val="Arial"/>
            <family val="2"/>
          </rPr>
          <t xml:space="preserve">Lo articulan con ODS15
</t>
        </r>
      </text>
    </comment>
    <comment ref="BH195" authorId="1" shapeId="0" xr:uid="{D4B05C30-6647-4A63-BA8A-A17307274E0A}">
      <text>
        <r>
          <rPr>
            <sz val="11"/>
            <color theme="1"/>
            <rFont val="Arial"/>
            <family val="2"/>
          </rPr>
          <t xml:space="preserve">Lo articulan con ODS13
</t>
        </r>
      </text>
    </comment>
    <comment ref="A196" authorId="1" shapeId="0" xr:uid="{351D0966-5995-408B-BBBD-46F0C23A2F7B}">
      <text>
        <r>
          <rPr>
            <sz val="11"/>
            <color theme="1"/>
            <rFont val="Arial"/>
            <family val="2"/>
          </rPr>
          <t xml:space="preserve">la acción es más la formalización que el instrumento en si </t>
        </r>
      </text>
    </comment>
    <comment ref="BH196" authorId="1" shapeId="0" xr:uid="{47B1293B-67B2-47E0-80EE-F9D966276750}">
      <text>
        <r>
          <rPr>
            <sz val="11"/>
            <color theme="1"/>
            <rFont val="Arial"/>
            <family val="2"/>
          </rPr>
          <t xml:space="preserve">Lo articulan con ODS13
</t>
        </r>
      </text>
    </comment>
    <comment ref="BH197" authorId="1" shapeId="0" xr:uid="{3B1F6D5C-F656-4BFE-94B6-5EB14D273E7B}">
      <text>
        <r>
          <rPr>
            <sz val="11"/>
            <color theme="1"/>
            <rFont val="Arial"/>
            <family val="2"/>
          </rPr>
          <t xml:space="preserve">Lo articulan con ODS15
</t>
        </r>
      </text>
    </comment>
    <comment ref="A198" authorId="1" shapeId="0" xr:uid="{6C1A3A1C-A656-4BD2-854F-A9D3D6B55D88}">
      <text>
        <r>
          <rPr>
            <sz val="11"/>
            <color theme="1"/>
            <rFont val="Arial"/>
            <family val="2"/>
          </rPr>
          <t>relación actividad-indicador</t>
        </r>
      </text>
    </comment>
    <comment ref="A199" authorId="1" shapeId="0" xr:uid="{22F1E814-0BCD-49DD-9E88-99EFD7145BC4}">
      <text>
        <r>
          <rPr>
            <sz val="11"/>
            <color theme="1"/>
            <rFont val="Arial"/>
            <family val="2"/>
          </rPr>
          <t>Actividad triplicada y sin relación con el indicador…Esta actividad debería reformularse y asociarse directamente al CAVF</t>
        </r>
      </text>
    </comment>
    <comment ref="M199" authorId="3" shapeId="0" xr:uid="{69E3A3B9-A8DE-4067-AC32-F4CFE5FF12D2}">
      <text>
        <r>
          <rPr>
            <b/>
            <sz val="9"/>
            <color indexed="81"/>
            <rFont val="Tahoma"/>
            <family val="2"/>
          </rPr>
          <t>EMH:</t>
        </r>
        <r>
          <rPr>
            <sz val="9"/>
            <color indexed="81"/>
            <rFont val="Tahoma"/>
            <family val="2"/>
          </rPr>
          <t xml:space="preserve">
Se cumplió en 2023</t>
        </r>
      </text>
    </comment>
    <comment ref="BH201" authorId="1" shapeId="0" xr:uid="{B03419ED-101C-4921-89A0-540E29B3E1E9}">
      <text>
        <r>
          <rPr>
            <sz val="11"/>
            <color theme="1"/>
            <rFont val="Arial"/>
            <family val="2"/>
          </rPr>
          <t xml:space="preserve">Lo articulan con ODS15
</t>
        </r>
      </text>
    </comment>
    <comment ref="AQ215" authorId="0" shapeId="0" xr:uid="{EE3B5BD3-5DDF-4B53-A620-DB90AA08E067}">
      <text>
        <r>
          <rPr>
            <b/>
            <sz val="9"/>
            <color indexed="81"/>
            <rFont val="Tahoma"/>
            <family val="2"/>
          </rPr>
          <t>Usuario:</t>
        </r>
        <r>
          <rPr>
            <sz val="9"/>
            <color indexed="81"/>
            <rFont val="Tahoma"/>
            <family val="2"/>
          </rPr>
          <t xml:space="preserve">
Se ajusto formato a %</t>
        </r>
      </text>
    </comment>
    <comment ref="AQ218" authorId="0" shapeId="0" xr:uid="{8BEBC30D-8793-4B2A-A84F-5A01F931EBD1}">
      <text>
        <r>
          <rPr>
            <b/>
            <sz val="9"/>
            <color indexed="81"/>
            <rFont val="Tahoma"/>
            <family val="2"/>
          </rPr>
          <t>Usuario:</t>
        </r>
        <r>
          <rPr>
            <sz val="9"/>
            <color indexed="81"/>
            <rFont val="Tahoma"/>
            <family val="2"/>
          </rPr>
          <t xml:space="preserve">
Se ajusto formato a %</t>
        </r>
      </text>
    </comment>
    <comment ref="AQ219" authorId="0" shapeId="0" xr:uid="{41A418D1-0CC1-4FC3-867A-62045757A581}">
      <text>
        <r>
          <rPr>
            <b/>
            <sz val="9"/>
            <color indexed="81"/>
            <rFont val="Tahoma"/>
            <family val="2"/>
          </rPr>
          <t>Usuario:</t>
        </r>
        <r>
          <rPr>
            <sz val="9"/>
            <color indexed="81"/>
            <rFont val="Tahoma"/>
            <family val="2"/>
          </rPr>
          <t xml:space="preserve">
Se ajusto formato a %</t>
        </r>
      </text>
    </comment>
    <comment ref="BH220" authorId="1" shapeId="0" xr:uid="{C3CA74DD-E6B3-4A17-AE20-17AA5002A125}">
      <text>
        <r>
          <rPr>
            <sz val="11"/>
            <color theme="1"/>
            <rFont val="Arial"/>
            <family val="2"/>
          </rPr>
          <t xml:space="preserve">Este proyecto lo articulan con ODS 8 y 3. Solo se encontro un indicador afin correspondiente al ODS 8. Revisar
</t>
        </r>
      </text>
    </comment>
    <comment ref="AG221" authorId="0" shapeId="0" xr:uid="{EC6731E2-8988-4556-A20E-BC6F95C8845B}">
      <text>
        <r>
          <rPr>
            <b/>
            <sz val="9"/>
            <color indexed="81"/>
            <rFont val="Tahoma"/>
            <family val="2"/>
          </rPr>
          <t>Usuario:</t>
        </r>
        <r>
          <rPr>
            <sz val="9"/>
            <color indexed="81"/>
            <rFont val="Tahoma"/>
            <family val="2"/>
          </rPr>
          <t xml:space="preserve">
Revisar frente a meta</t>
        </r>
      </text>
    </comment>
    <comment ref="AQ221" authorId="0" shapeId="0" xr:uid="{9584CC49-64E0-4ECF-A44F-840900E302C7}">
      <text>
        <r>
          <rPr>
            <b/>
            <sz val="9"/>
            <color indexed="81"/>
            <rFont val="Tahoma"/>
            <family val="2"/>
          </rPr>
          <t>Usuario:</t>
        </r>
        <r>
          <rPr>
            <sz val="9"/>
            <color indexed="81"/>
            <rFont val="Tahoma"/>
            <family val="2"/>
          </rPr>
          <t xml:space="preserve">
Se ajusto formato a %</t>
        </r>
      </text>
    </comment>
    <comment ref="BH221" authorId="1" shapeId="0" xr:uid="{A0EC717C-6C4F-4EB0-888C-9701C25D8178}">
      <text>
        <r>
          <rPr>
            <sz val="11"/>
            <color theme="1"/>
            <rFont val="Arial"/>
            <family val="2"/>
          </rPr>
          <t xml:space="preserve">Este proyecto lo articulan con ODS 8 y 3. Solo se encontro un indicador afin correspondiente al ODS 8. Revisar
</t>
        </r>
      </text>
    </comment>
    <comment ref="AG222" authorId="0" shapeId="0" xr:uid="{E19D3E22-2912-4821-A4A6-1039665F6E9D}">
      <text>
        <r>
          <rPr>
            <b/>
            <sz val="9"/>
            <color indexed="81"/>
            <rFont val="Tahoma"/>
            <family val="2"/>
          </rPr>
          <t>Usuario:</t>
        </r>
        <r>
          <rPr>
            <sz val="9"/>
            <color indexed="81"/>
            <rFont val="Tahoma"/>
            <family val="2"/>
          </rPr>
          <t xml:space="preserve">
Revisar frente a meta</t>
        </r>
      </text>
    </comment>
    <comment ref="AQ222" authorId="0" shapeId="0" xr:uid="{5062D5CA-CA71-4A34-A352-4798BD3884ED}">
      <text>
        <r>
          <rPr>
            <b/>
            <sz val="9"/>
            <color indexed="81"/>
            <rFont val="Tahoma"/>
            <family val="2"/>
          </rPr>
          <t>Usuario:</t>
        </r>
        <r>
          <rPr>
            <sz val="9"/>
            <color indexed="81"/>
            <rFont val="Tahoma"/>
            <family val="2"/>
          </rPr>
          <t xml:space="preserve">
Se ajusto formato a %</t>
        </r>
      </text>
    </comment>
    <comment ref="AZ222" authorId="0" shapeId="0" xr:uid="{F8B2B8AB-90CE-4348-AFDB-95630287B96F}">
      <text>
        <r>
          <rPr>
            <b/>
            <sz val="9"/>
            <color indexed="81"/>
            <rFont val="Tahoma"/>
            <family val="2"/>
          </rPr>
          <t>Usuario:</t>
        </r>
        <r>
          <rPr>
            <sz val="9"/>
            <color indexed="81"/>
            <rFont val="Tahoma"/>
            <family val="2"/>
          </rPr>
          <t xml:space="preserve">
Solucionado al actualizarlo con la info del sem I del 2021</t>
        </r>
      </text>
    </comment>
    <comment ref="AG223" authorId="0" shapeId="0" xr:uid="{177CAC80-AA21-4D6F-9DAD-22D2DBDF4AD6}">
      <text>
        <r>
          <rPr>
            <b/>
            <sz val="9"/>
            <color indexed="81"/>
            <rFont val="Tahoma"/>
            <family val="2"/>
          </rPr>
          <t>Usuario:</t>
        </r>
        <r>
          <rPr>
            <sz val="9"/>
            <color indexed="81"/>
            <rFont val="Tahoma"/>
            <family val="2"/>
          </rPr>
          <t xml:space="preserve">
Revisar frente a meta</t>
        </r>
      </text>
    </comment>
    <comment ref="AZ223" authorId="0" shapeId="0" xr:uid="{DA03350D-6DBF-4F30-85F2-A5C7DA2CBE8B}">
      <text>
        <r>
          <rPr>
            <b/>
            <sz val="9"/>
            <color indexed="81"/>
            <rFont val="Tahoma"/>
            <family val="2"/>
          </rPr>
          <t>Usuario:</t>
        </r>
        <r>
          <rPr>
            <sz val="9"/>
            <color indexed="81"/>
            <rFont val="Tahoma"/>
            <family val="2"/>
          </rPr>
          <t xml:space="preserve">
Solucionado al actualizarlo con la info del sem I del 2021</t>
        </r>
      </text>
    </comment>
    <comment ref="AQ224" authorId="0" shapeId="0" xr:uid="{054567E5-163E-410F-8612-62291347D03C}">
      <text>
        <r>
          <rPr>
            <b/>
            <sz val="9"/>
            <color indexed="81"/>
            <rFont val="Tahoma"/>
            <family val="2"/>
          </rPr>
          <t>Usuario:</t>
        </r>
        <r>
          <rPr>
            <sz val="9"/>
            <color indexed="81"/>
            <rFont val="Tahoma"/>
            <family val="2"/>
          </rPr>
          <t xml:space="preserve">
Se ajusto formato a %</t>
        </r>
      </text>
    </comment>
    <comment ref="AQ225" authorId="0" shapeId="0" xr:uid="{B1CF2C81-7D3D-4BB2-9546-57FBED4C1ED1}">
      <text>
        <r>
          <rPr>
            <b/>
            <sz val="9"/>
            <color indexed="81"/>
            <rFont val="Tahoma"/>
            <family val="2"/>
          </rPr>
          <t>Usuario:</t>
        </r>
        <r>
          <rPr>
            <sz val="9"/>
            <color indexed="81"/>
            <rFont val="Tahoma"/>
            <family val="2"/>
          </rPr>
          <t xml:space="preserve">
Se ajusto formato a %</t>
        </r>
      </text>
    </comment>
    <comment ref="AQ226" authorId="0" shapeId="0" xr:uid="{3806D91F-9487-457B-B978-578225B6B681}">
      <text>
        <r>
          <rPr>
            <b/>
            <sz val="9"/>
            <color indexed="81"/>
            <rFont val="Tahoma"/>
            <family val="2"/>
          </rPr>
          <t>Usuario:</t>
        </r>
        <r>
          <rPr>
            <sz val="9"/>
            <color indexed="81"/>
            <rFont val="Tahoma"/>
            <family val="2"/>
          </rPr>
          <t xml:space="preserve">
Se ajusto formato a %</t>
        </r>
      </text>
    </comment>
    <comment ref="BH228" authorId="1" shapeId="0" xr:uid="{26709DB3-F1CE-48FF-B8EA-F7B2CF9601AE}">
      <text>
        <r>
          <rPr>
            <sz val="11"/>
            <color theme="1"/>
            <rFont val="Arial"/>
            <family val="2"/>
          </rPr>
          <t xml:space="preserve">Lo articularon con ODS 8 y 3
</t>
        </r>
      </text>
    </comment>
    <comment ref="AQ230" authorId="0" shapeId="0" xr:uid="{AA90CB37-84FA-4C0D-A304-C1AF02866AFE}">
      <text>
        <r>
          <rPr>
            <b/>
            <sz val="9"/>
            <color indexed="81"/>
            <rFont val="Tahoma"/>
            <family val="2"/>
          </rPr>
          <t>Usuario:</t>
        </r>
        <r>
          <rPr>
            <sz val="9"/>
            <color indexed="81"/>
            <rFont val="Tahoma"/>
            <family val="2"/>
          </rPr>
          <t xml:space="preserve">
Se ajusto formato a %</t>
        </r>
      </text>
    </comment>
    <comment ref="D231" authorId="0" shapeId="0" xr:uid="{0B020CF5-612E-41AD-B595-792EAA0C464A}">
      <text>
        <r>
          <rPr>
            <b/>
            <sz val="9"/>
            <color indexed="81"/>
            <rFont val="Tahoma"/>
            <family val="2"/>
          </rPr>
          <t>Usuario:</t>
        </r>
        <r>
          <rPr>
            <sz val="9"/>
            <color indexed="81"/>
            <rFont val="Tahoma"/>
            <family val="2"/>
          </rPr>
          <t xml:space="preserve">
En CARDINAL esta como 0,1 para poder asignar los recursos que le presupuestaron a esta actividad</t>
        </r>
      </text>
    </comment>
    <comment ref="AQ231" authorId="0" shapeId="0" xr:uid="{7A88A266-E2F2-4C5C-9A08-D840B37C40D9}">
      <text>
        <r>
          <rPr>
            <b/>
            <sz val="9"/>
            <color indexed="81"/>
            <rFont val="Tahoma"/>
            <family val="2"/>
          </rPr>
          <t>Usuario:</t>
        </r>
        <r>
          <rPr>
            <sz val="9"/>
            <color indexed="81"/>
            <rFont val="Tahoma"/>
            <family val="2"/>
          </rPr>
          <t xml:space="preserve">
Se ajusto formato a %</t>
        </r>
      </text>
    </comment>
    <comment ref="BH231" authorId="1" shapeId="0" xr:uid="{7EB46D9E-8002-4146-8075-3EBF88FB0E09}">
      <text>
        <r>
          <rPr>
            <sz val="11"/>
            <color theme="1"/>
            <rFont val="Arial"/>
            <family val="2"/>
          </rPr>
          <t xml:space="preserve">Lo articulan con ODS 9
</t>
        </r>
      </text>
    </comment>
    <comment ref="D232" authorId="0" shapeId="0" xr:uid="{B3287628-39AD-4F5F-94A2-A0C961DC619C}">
      <text>
        <r>
          <rPr>
            <b/>
            <sz val="9"/>
            <color indexed="81"/>
            <rFont val="Tahoma"/>
            <family val="2"/>
          </rPr>
          <t>Usuario:</t>
        </r>
        <r>
          <rPr>
            <sz val="9"/>
            <color indexed="81"/>
            <rFont val="Tahoma"/>
            <family val="2"/>
          </rPr>
          <t xml:space="preserve">
En CARDINAL esta como 0,1 para poder asignar los recursos que le presupuestaron a esta actividad</t>
        </r>
      </text>
    </comment>
    <comment ref="AQ232" authorId="0" shapeId="0" xr:uid="{A49E32A9-0655-4A77-B039-9AF77524284F}">
      <text>
        <r>
          <rPr>
            <b/>
            <sz val="9"/>
            <color indexed="81"/>
            <rFont val="Tahoma"/>
            <family val="2"/>
          </rPr>
          <t>Usuario:</t>
        </r>
        <r>
          <rPr>
            <sz val="9"/>
            <color indexed="81"/>
            <rFont val="Tahoma"/>
            <family val="2"/>
          </rPr>
          <t xml:space="preserve">
Se ajusto formato a %</t>
        </r>
      </text>
    </comment>
    <comment ref="BH232" authorId="1" shapeId="0" xr:uid="{301295D5-B3E6-4E2D-B8E8-BF410C647A64}">
      <text>
        <r>
          <rPr>
            <sz val="11"/>
            <color theme="1"/>
            <rFont val="Arial"/>
            <family val="2"/>
          </rPr>
          <t xml:space="preserve">Lo articulan con ODS 9
</t>
        </r>
      </text>
    </comment>
    <comment ref="D233" authorId="0" shapeId="0" xr:uid="{2219E52F-0199-4E9E-A188-15B1C565584F}">
      <text>
        <r>
          <rPr>
            <b/>
            <sz val="9"/>
            <color indexed="81"/>
            <rFont val="Tahoma"/>
            <family val="2"/>
          </rPr>
          <t>Usuario:</t>
        </r>
        <r>
          <rPr>
            <sz val="9"/>
            <color indexed="81"/>
            <rFont val="Tahoma"/>
            <family val="2"/>
          </rPr>
          <t xml:space="preserve">
En CARDINAL esta como 0,1 para poder asignar los recursos que le presupuestaron a esta actividad</t>
        </r>
      </text>
    </comment>
    <comment ref="AG233" authorId="0" shapeId="0" xr:uid="{BEA92398-DD21-45C9-9957-30B150C839D1}">
      <text>
        <r>
          <rPr>
            <b/>
            <sz val="9"/>
            <color indexed="81"/>
            <rFont val="Tahoma"/>
            <family val="2"/>
          </rPr>
          <t>Usuario:</t>
        </r>
        <r>
          <rPr>
            <sz val="9"/>
            <color indexed="81"/>
            <rFont val="Tahoma"/>
            <family val="2"/>
          </rPr>
          <t xml:space="preserve">
Revisar, no hay meta</t>
        </r>
      </text>
    </comment>
    <comment ref="AQ233" authorId="0" shapeId="0" xr:uid="{3E8CCBB5-97F4-43C5-96E6-0BB7B3D79098}">
      <text>
        <r>
          <rPr>
            <b/>
            <sz val="9"/>
            <color indexed="81"/>
            <rFont val="Tahoma"/>
            <family val="2"/>
          </rPr>
          <t>Usuario:</t>
        </r>
        <r>
          <rPr>
            <sz val="9"/>
            <color indexed="81"/>
            <rFont val="Tahoma"/>
            <family val="2"/>
          </rPr>
          <t xml:space="preserve">
Se ajusto formato a %</t>
        </r>
      </text>
    </comment>
    <comment ref="BH233" authorId="1" shapeId="0" xr:uid="{AB6C36AB-BD83-4B0E-8432-36EDE85320B4}">
      <text>
        <r>
          <rPr>
            <sz val="11"/>
            <color theme="1"/>
            <rFont val="Arial"/>
            <family val="2"/>
          </rPr>
          <t xml:space="preserve">Lo articulan con ODS 9
</t>
        </r>
      </text>
    </comment>
    <comment ref="BH235" authorId="1" shapeId="0" xr:uid="{CB58B830-0FFA-4201-A631-9932AD953792}">
      <text>
        <r>
          <rPr>
            <sz val="11"/>
            <color theme="1"/>
            <rFont val="Arial"/>
            <family val="2"/>
          </rPr>
          <t xml:space="preserve">Lo articulan con ODS 9
</t>
        </r>
      </text>
    </comment>
    <comment ref="AZ238" authorId="0" shapeId="0" xr:uid="{2A72F81D-01F8-49AD-A650-1AED4132560E}">
      <text>
        <r>
          <rPr>
            <b/>
            <sz val="9"/>
            <color indexed="81"/>
            <rFont val="Tahoma"/>
            <family val="2"/>
          </rPr>
          <t>Usuario:</t>
        </r>
        <r>
          <rPr>
            <sz val="9"/>
            <color indexed="81"/>
            <rFont val="Tahoma"/>
            <family val="2"/>
          </rPr>
          <t xml:space="preserve">
Solucionado al actualizarlo con la info del sem I del 2021</t>
        </r>
      </text>
    </comment>
    <comment ref="BH238" authorId="1" shapeId="0" xr:uid="{A861D167-5FBF-4E14-98A0-8DE348162F80}">
      <text>
        <r>
          <rPr>
            <sz val="11"/>
            <color theme="1"/>
            <rFont val="Arial"/>
            <family val="2"/>
          </rPr>
          <t xml:space="preserve">Lo articulan con ODS 9
</t>
        </r>
      </text>
    </comment>
    <comment ref="BH241" authorId="1" shapeId="0" xr:uid="{65CA7800-EA59-4A5B-BF9A-58D3F4F82C7C}">
      <text>
        <r>
          <rPr>
            <sz val="11"/>
            <color theme="1"/>
            <rFont val="Arial"/>
            <family val="2"/>
          </rPr>
          <t xml:space="preserve">Lo articulan con ODS 9
</t>
        </r>
      </text>
    </comment>
    <comment ref="BH244" authorId="1" shapeId="0" xr:uid="{6CB37251-0C03-4234-B5F6-EF8ED47ECB6F}">
      <text>
        <r>
          <rPr>
            <sz val="11"/>
            <color theme="1"/>
            <rFont val="Arial"/>
            <family val="2"/>
          </rPr>
          <t xml:space="preserve">Lo articulan con ODS 9
</t>
        </r>
      </text>
    </comment>
    <comment ref="BH247" authorId="1" shapeId="0" xr:uid="{94BA63FA-EAB4-4DB2-B9B1-B6142CA4630D}">
      <text>
        <r>
          <rPr>
            <sz val="11"/>
            <color theme="1"/>
            <rFont val="Arial"/>
            <family val="2"/>
          </rPr>
          <t xml:space="preserve">Lo articulan con ODS 6,7, 11 y 12
</t>
        </r>
      </text>
    </comment>
    <comment ref="S248" authorId="0" shapeId="0" xr:uid="{A58F3DDB-B715-4FA6-82DB-1410813D7333}">
      <text>
        <r>
          <rPr>
            <b/>
            <sz val="9"/>
            <color indexed="81"/>
            <rFont val="Tahoma"/>
            <family val="2"/>
          </rPr>
          <t>Usuario:</t>
        </r>
        <r>
          <rPr>
            <sz val="9"/>
            <color indexed="81"/>
            <rFont val="Tahoma"/>
            <family val="2"/>
          </rPr>
          <t xml:space="preserve">
Total?</t>
        </r>
      </text>
    </comment>
    <comment ref="BH248" authorId="1" shapeId="0" xr:uid="{8C981F98-43A6-4DDA-89FA-FD45E4DF1473}">
      <text>
        <r>
          <rPr>
            <sz val="11"/>
            <color theme="1"/>
            <rFont val="Arial"/>
            <family val="2"/>
          </rPr>
          <t xml:space="preserve">Lo articulan con ODS 6,7, 11 y 12
</t>
        </r>
      </text>
    </comment>
    <comment ref="BH249" authorId="1" shapeId="0" xr:uid="{FCAFF4A7-316F-4B04-BB1F-74E5158F5697}">
      <text>
        <r>
          <rPr>
            <sz val="11"/>
            <color theme="1"/>
            <rFont val="Arial"/>
            <family val="2"/>
          </rPr>
          <t xml:space="preserve">Lo articulan con ODS 6,7, 11 y 12
</t>
        </r>
      </text>
    </comment>
    <comment ref="BH252" authorId="1" shapeId="0" xr:uid="{EC4576D8-711E-4245-9632-4A0A15DB3215}">
      <text>
        <r>
          <rPr>
            <sz val="11"/>
            <color theme="1"/>
            <rFont val="Arial"/>
            <family val="2"/>
          </rPr>
          <t xml:space="preserve">Lo articulan con ODS 6,9, 11,12, 14 y 15
</t>
        </r>
      </text>
    </comment>
    <comment ref="AQ253" authorId="0" shapeId="0" xr:uid="{D1264FC6-AB35-4055-9CD4-8B825586CBEE}">
      <text>
        <r>
          <rPr>
            <b/>
            <sz val="9"/>
            <color indexed="81"/>
            <rFont val="Tahoma"/>
            <family val="2"/>
          </rPr>
          <t>Usuario:</t>
        </r>
        <r>
          <rPr>
            <sz val="9"/>
            <color indexed="81"/>
            <rFont val="Tahoma"/>
            <family val="2"/>
          </rPr>
          <t xml:space="preserve">
Se ajusto formato a %</t>
        </r>
      </text>
    </comment>
    <comment ref="BH253" authorId="1" shapeId="0" xr:uid="{8246E541-0DC4-41EF-9ED7-7CF60150015B}">
      <text>
        <r>
          <rPr>
            <sz val="11"/>
            <color theme="1"/>
            <rFont val="Arial"/>
            <family val="2"/>
          </rPr>
          <t xml:space="preserve">Lo articulan con ODS 6,9, 11,12, 14 y 15
</t>
        </r>
      </text>
    </comment>
    <comment ref="D254" authorId="0" shapeId="0" xr:uid="{48D6CE2E-9A3C-4BA1-883E-E9158498D7D5}">
      <text>
        <r>
          <rPr>
            <b/>
            <sz val="9"/>
            <color indexed="81"/>
            <rFont val="Tahoma"/>
            <family val="2"/>
          </rPr>
          <t>Usuario:</t>
        </r>
        <r>
          <rPr>
            <sz val="9"/>
            <color indexed="81"/>
            <rFont val="Tahoma"/>
            <family val="2"/>
          </rPr>
          <t xml:space="preserve">
En CARDINAL esta como 0,1 para poder asignar los recursos que le presupuestaron a esta actividad</t>
        </r>
      </text>
    </comment>
    <comment ref="AG254" authorId="0" shapeId="0" xr:uid="{BF3E6F16-6303-4193-AEE4-32DB0CC54B66}">
      <text>
        <r>
          <rPr>
            <b/>
            <sz val="9"/>
            <color indexed="81"/>
            <rFont val="Tahoma"/>
            <family val="2"/>
          </rPr>
          <t>Usuario:</t>
        </r>
        <r>
          <rPr>
            <sz val="9"/>
            <color indexed="81"/>
            <rFont val="Tahoma"/>
            <family val="2"/>
          </rPr>
          <t xml:space="preserve">
Revisar, no hay meta</t>
        </r>
      </text>
    </comment>
    <comment ref="BH254" authorId="1" shapeId="0" xr:uid="{62AB2EB6-B95C-4CF0-8520-67B956199548}">
      <text>
        <r>
          <rPr>
            <sz val="11"/>
            <color theme="1"/>
            <rFont val="Arial"/>
            <family val="2"/>
          </rPr>
          <t xml:space="preserve">Lo articulan con ODS 6,9, 11,12, 14 y 15
</t>
        </r>
      </text>
    </comment>
    <comment ref="D255" authorId="0" shapeId="0" xr:uid="{5B1DD0B4-2987-4ED6-A303-BD4A6159FBFD}">
      <text>
        <r>
          <rPr>
            <b/>
            <sz val="9"/>
            <color indexed="81"/>
            <rFont val="Tahoma"/>
            <family val="2"/>
          </rPr>
          <t>Usuario:</t>
        </r>
        <r>
          <rPr>
            <sz val="9"/>
            <color indexed="81"/>
            <rFont val="Tahoma"/>
            <family val="2"/>
          </rPr>
          <t xml:space="preserve">
En CARDINAL esta como 0,1 para poder asignar los recursos que le presupuestaron a esta actividad</t>
        </r>
      </text>
    </comment>
    <comment ref="BH256" authorId="1" shapeId="0" xr:uid="{529BBB81-2413-4C15-B9B6-C428ABC6EA6C}">
      <text>
        <r>
          <rPr>
            <sz val="11"/>
            <color theme="1"/>
            <rFont val="Arial"/>
            <family val="2"/>
          </rPr>
          <t xml:space="preserve">Lo articulan con ODS 6,9, 11,12, 14 y 15
</t>
        </r>
      </text>
    </comment>
    <comment ref="AQ258" authorId="0" shapeId="0" xr:uid="{F0CBFFD5-CEDB-4DE4-AE6E-A0AC3994594A}">
      <text>
        <r>
          <rPr>
            <b/>
            <sz val="9"/>
            <color indexed="81"/>
            <rFont val="Tahoma"/>
            <family val="2"/>
          </rPr>
          <t>Usuario:</t>
        </r>
        <r>
          <rPr>
            <sz val="9"/>
            <color indexed="81"/>
            <rFont val="Tahoma"/>
            <family val="2"/>
          </rPr>
          <t xml:space="preserve">
Se ajusto formato a %</t>
        </r>
      </text>
    </comment>
    <comment ref="BH258" authorId="1" shapeId="0" xr:uid="{0A4547EB-64F8-4CD7-BF37-498F63E29F07}">
      <text>
        <r>
          <rPr>
            <sz val="11"/>
            <color theme="1"/>
            <rFont val="Arial"/>
            <family val="2"/>
          </rPr>
          <t xml:space="preserve">Lo articulan con ODS 6,9, 11,12, 14 y 15
</t>
        </r>
      </text>
    </comment>
    <comment ref="BH259" authorId="1" shapeId="0" xr:uid="{67259928-25F4-406D-A36F-1626690D4D95}">
      <text>
        <r>
          <rPr>
            <sz val="11"/>
            <color theme="1"/>
            <rFont val="Arial"/>
            <family val="2"/>
          </rPr>
          <t xml:space="preserve">Lo articulan con ODS 6,9, 11,12, 14 y 15
</t>
        </r>
      </text>
    </comment>
    <comment ref="AB260" authorId="0" shapeId="0" xr:uid="{7DC05854-C9D7-4008-AE50-F139190BD508}">
      <text>
        <r>
          <rPr>
            <b/>
            <sz val="9"/>
            <color indexed="81"/>
            <rFont val="Tahoma"/>
            <family val="2"/>
          </rPr>
          <t>Usuario:</t>
        </r>
        <r>
          <rPr>
            <sz val="9"/>
            <color indexed="81"/>
            <rFont val="Tahoma"/>
            <family val="2"/>
          </rPr>
          <t xml:space="preserve">
Ajustado por incporporación programa deficit</t>
        </r>
      </text>
    </comment>
    <comment ref="AC260" authorId="0" shapeId="0" xr:uid="{059A29C8-1436-46CB-830E-FBA4D8761BEF}">
      <text>
        <r>
          <rPr>
            <b/>
            <sz val="9"/>
            <color indexed="81"/>
            <rFont val="Tahoma"/>
            <family val="2"/>
          </rPr>
          <t>Usuario:</t>
        </r>
        <r>
          <rPr>
            <sz val="9"/>
            <color indexed="81"/>
            <rFont val="Tahoma"/>
            <family val="2"/>
          </rPr>
          <t xml:space="preserve">
Ajustado por incporporación programa deficit</t>
        </r>
      </text>
    </comment>
    <comment ref="AQ260" authorId="0" shapeId="0" xr:uid="{F30CE502-B6DF-49CD-9581-7BB1DF5231D3}">
      <text>
        <r>
          <rPr>
            <b/>
            <sz val="9"/>
            <color indexed="81"/>
            <rFont val="Tahoma"/>
            <family val="2"/>
          </rPr>
          <t>Usuario:</t>
        </r>
        <r>
          <rPr>
            <sz val="9"/>
            <color indexed="81"/>
            <rFont val="Tahoma"/>
            <family val="2"/>
          </rPr>
          <t xml:space="preserve">
Se ajusto formato a %</t>
        </r>
      </text>
    </comment>
    <comment ref="BH262" authorId="1" shapeId="0" xr:uid="{F19AA7C5-DD06-4453-A947-75BBB11BFF86}">
      <text>
        <r>
          <rPr>
            <sz val="11"/>
            <color theme="1"/>
            <rFont val="Arial"/>
            <family val="2"/>
          </rPr>
          <t xml:space="preserve">Lo articulan con ODS 3, 8,9, 12, y 16
</t>
        </r>
      </text>
    </comment>
    <comment ref="AH264" authorId="0" shapeId="0" xr:uid="{B4E39273-8A94-45F2-B44A-188D3C84AA42}">
      <text>
        <r>
          <rPr>
            <b/>
            <sz val="9"/>
            <color indexed="81"/>
            <rFont val="Tahoma"/>
            <family val="2"/>
          </rPr>
          <t>Usuario:</t>
        </r>
        <r>
          <rPr>
            <sz val="9"/>
            <color indexed="81"/>
            <rFont val="Tahoma"/>
            <family val="2"/>
          </rPr>
          <t xml:space="preserve">
No tenian meta definida</t>
        </r>
      </text>
    </comment>
    <comment ref="AM264" authorId="0" shapeId="0" xr:uid="{D9931D40-5F51-457A-8474-3DA555A6C5C7}">
      <text>
        <r>
          <rPr>
            <b/>
            <sz val="9"/>
            <color indexed="81"/>
            <rFont val="Tahoma"/>
            <family val="2"/>
          </rPr>
          <t>Usuario:</t>
        </r>
        <r>
          <rPr>
            <sz val="9"/>
            <color indexed="81"/>
            <rFont val="Tahoma"/>
            <family val="2"/>
          </rPr>
          <t xml:space="preserve">
No tenian meta definida</t>
        </r>
      </text>
    </comment>
    <comment ref="AQ267" authorId="0" shapeId="0" xr:uid="{CD9DFC39-4A2B-4926-9C4B-E25798DEB534}">
      <text>
        <r>
          <rPr>
            <b/>
            <sz val="9"/>
            <color indexed="81"/>
            <rFont val="Tahoma"/>
            <family val="2"/>
          </rPr>
          <t>Usuario:</t>
        </r>
        <r>
          <rPr>
            <sz val="9"/>
            <color indexed="81"/>
            <rFont val="Tahoma"/>
            <family val="2"/>
          </rPr>
          <t xml:space="preserve">
Se ajusto formato a %</t>
        </r>
      </text>
    </comment>
    <comment ref="BH267" authorId="1" shapeId="0" xr:uid="{6D89B2A3-740A-45B5-A784-3DA0F9ED7602}">
      <text>
        <r>
          <rPr>
            <sz val="11"/>
            <color theme="1"/>
            <rFont val="Arial"/>
            <family val="2"/>
          </rPr>
          <t xml:space="preserve">Lo articulan con ODS 3, 8,9, 12, y 16
</t>
        </r>
      </text>
    </comment>
    <comment ref="AQ268" authorId="0" shapeId="0" xr:uid="{39F7C5D2-6BDD-46B4-86C0-D5E4D98D8FAA}">
      <text>
        <r>
          <rPr>
            <b/>
            <sz val="9"/>
            <color indexed="81"/>
            <rFont val="Tahoma"/>
            <family val="2"/>
          </rPr>
          <t>Usuario:</t>
        </r>
        <r>
          <rPr>
            <sz val="9"/>
            <color indexed="81"/>
            <rFont val="Tahoma"/>
            <family val="2"/>
          </rPr>
          <t xml:space="preserve">
Se ajusto formato a %</t>
        </r>
      </text>
    </comment>
    <comment ref="AG269" authorId="1" shapeId="0" xr:uid="{209D9396-67CF-4C7D-B3A5-D128A19E2179}">
      <text>
        <r>
          <rPr>
            <sz val="11"/>
            <color theme="1"/>
            <rFont val="Arial"/>
            <family val="2"/>
          </rPr>
          <t>Revisar, no hay meta definida para este año</t>
        </r>
      </text>
    </comment>
    <comment ref="AQ269" authorId="0" shapeId="0" xr:uid="{2F10A4F0-1C40-47BE-9BEA-AFD510427156}">
      <text>
        <r>
          <rPr>
            <b/>
            <sz val="9"/>
            <color indexed="81"/>
            <rFont val="Tahoma"/>
            <family val="2"/>
          </rPr>
          <t>Usuario:</t>
        </r>
        <r>
          <rPr>
            <sz val="9"/>
            <color indexed="81"/>
            <rFont val="Tahoma"/>
            <family val="2"/>
          </rPr>
          <t xml:space="preserve">
Se ajusto formato a %</t>
        </r>
      </text>
    </comment>
    <comment ref="BH269" authorId="1" shapeId="0" xr:uid="{7C405D55-6232-4D89-B7C7-1098F62CE534}">
      <text>
        <r>
          <rPr>
            <sz val="11"/>
            <color theme="1"/>
            <rFont val="Arial"/>
            <family val="2"/>
          </rPr>
          <t xml:space="preserve">Lo articulan con ODS 3, 8,9, 12, y 16
</t>
        </r>
      </text>
    </comment>
    <comment ref="AQ272" authorId="0" shapeId="0" xr:uid="{9C4F9A04-8E66-423D-B7D7-BA6942B0ED21}">
      <text>
        <r>
          <rPr>
            <b/>
            <sz val="9"/>
            <color indexed="81"/>
            <rFont val="Tahoma"/>
            <family val="2"/>
          </rPr>
          <t>Usuario:</t>
        </r>
        <r>
          <rPr>
            <sz val="9"/>
            <color indexed="81"/>
            <rFont val="Tahoma"/>
            <family val="2"/>
          </rPr>
          <t xml:space="preserve">
Se ajusto formato a %</t>
        </r>
      </text>
    </comment>
    <comment ref="BH272" authorId="1" shapeId="0" xr:uid="{DF8F68FE-D5F7-4E58-97D8-04D7E846AB75}">
      <text>
        <r>
          <rPr>
            <sz val="11"/>
            <color theme="1"/>
            <rFont val="Arial"/>
            <family val="2"/>
          </rPr>
          <t xml:space="preserve">Articulan con ODS 16
</t>
        </r>
      </text>
    </comment>
    <comment ref="AQ273" authorId="0" shapeId="0" xr:uid="{56204D02-232B-4A99-9E1E-194C3F8F333A}">
      <text>
        <r>
          <rPr>
            <b/>
            <sz val="9"/>
            <color indexed="81"/>
            <rFont val="Tahoma"/>
            <family val="2"/>
          </rPr>
          <t>Usuario:</t>
        </r>
        <r>
          <rPr>
            <sz val="9"/>
            <color indexed="81"/>
            <rFont val="Tahoma"/>
            <family val="2"/>
          </rPr>
          <t xml:space="preserve">
Se ajusto formato a %</t>
        </r>
      </text>
    </comment>
    <comment ref="BH273" authorId="1" shapeId="0" xr:uid="{AF6DDCD9-5E22-403D-8827-991124AF9455}">
      <text>
        <r>
          <rPr>
            <sz val="11"/>
            <color theme="1"/>
            <rFont val="Arial"/>
            <family val="2"/>
          </rPr>
          <t xml:space="preserve">Articulan con ODS 16
</t>
        </r>
      </text>
    </comment>
    <comment ref="D274" authorId="0" shapeId="0" xr:uid="{3F796C29-081E-47F1-9E74-A2D7F872397F}">
      <text>
        <r>
          <rPr>
            <b/>
            <sz val="9"/>
            <color indexed="81"/>
            <rFont val="Tahoma"/>
            <family val="2"/>
          </rPr>
          <t>Usuario:</t>
        </r>
        <r>
          <rPr>
            <sz val="9"/>
            <color indexed="81"/>
            <rFont val="Tahoma"/>
            <family val="2"/>
          </rPr>
          <t xml:space="preserve">
En CARDINAL esta como 0,1 para poder asignar los recursos que le presupuestaron a esta actividad</t>
        </r>
      </text>
    </comment>
    <comment ref="BH274" authorId="1" shapeId="0" xr:uid="{8862D3BA-DAC4-4804-A745-2CA0D0D43297}">
      <text>
        <r>
          <rPr>
            <sz val="11"/>
            <color theme="1"/>
            <rFont val="Arial"/>
            <family val="2"/>
          </rPr>
          <t xml:space="preserve">Articulan con ODS 16
</t>
        </r>
      </text>
    </comment>
    <comment ref="BH277" authorId="1" shapeId="0" xr:uid="{F74A10A1-B449-4B9C-BA07-6F19648AA434}">
      <text>
        <r>
          <rPr>
            <sz val="11"/>
            <color theme="1"/>
            <rFont val="Arial"/>
            <family val="2"/>
          </rPr>
          <t xml:space="preserve">Articulan con ODS 16
</t>
        </r>
      </text>
    </comment>
    <comment ref="BH280" authorId="1" shapeId="0" xr:uid="{E46CD8CD-3E7C-4D01-AE1D-E3F1FB2AE5DE}">
      <text>
        <r>
          <rPr>
            <sz val="11"/>
            <color theme="1"/>
            <rFont val="Arial"/>
            <family val="2"/>
          </rPr>
          <t xml:space="preserve">Articulan con ODS 16
</t>
        </r>
      </text>
    </comment>
    <comment ref="BH281" authorId="1" shapeId="0" xr:uid="{9539C1A5-7AE7-4C52-BCED-CC366D92194F}">
      <text>
        <r>
          <rPr>
            <sz val="11"/>
            <color theme="1"/>
            <rFont val="Arial"/>
            <family val="2"/>
          </rPr>
          <t xml:space="preserve">Articulan con ODS 16
</t>
        </r>
      </text>
    </comment>
    <comment ref="BH283" authorId="1" shapeId="0" xr:uid="{A786D091-B1F4-4058-80E2-65C64A3B3941}">
      <text>
        <r>
          <rPr>
            <sz val="11"/>
            <color theme="1"/>
            <rFont val="Arial"/>
            <family val="2"/>
          </rPr>
          <t xml:space="preserve">Articulan con ODS 16
</t>
        </r>
      </text>
    </comment>
    <comment ref="BH285" authorId="1" shapeId="0" xr:uid="{C10AB72B-83B3-42CC-8DBA-458ED4E24874}">
      <text>
        <r>
          <rPr>
            <sz val="11"/>
            <color theme="1"/>
            <rFont val="Arial"/>
            <family val="2"/>
          </rPr>
          <t xml:space="preserve">Articulan con ODS 16
</t>
        </r>
      </text>
    </comment>
    <comment ref="AQ286" authorId="0" shapeId="0" xr:uid="{499CE3BE-BABF-44AD-BC96-DA82829D9E86}">
      <text>
        <r>
          <rPr>
            <b/>
            <sz val="9"/>
            <color indexed="81"/>
            <rFont val="Tahoma"/>
            <family val="2"/>
          </rPr>
          <t>Usuario:</t>
        </r>
        <r>
          <rPr>
            <sz val="9"/>
            <color indexed="81"/>
            <rFont val="Tahoma"/>
            <family val="2"/>
          </rPr>
          <t xml:space="preserve">
Se ajusta formato a %</t>
        </r>
      </text>
    </comment>
    <comment ref="AQ287" authorId="0" shapeId="0" xr:uid="{25FE0315-A575-4BD7-9702-CD29F2CCCCDE}">
      <text>
        <r>
          <rPr>
            <b/>
            <sz val="9"/>
            <color indexed="81"/>
            <rFont val="Tahoma"/>
            <family val="2"/>
          </rPr>
          <t>Usuario:</t>
        </r>
        <r>
          <rPr>
            <sz val="9"/>
            <color indexed="81"/>
            <rFont val="Tahoma"/>
            <family val="2"/>
          </rPr>
          <t xml:space="preserve">
Se ajusta formato a %</t>
        </r>
      </text>
    </comment>
    <comment ref="AQ288" authorId="0" shapeId="0" xr:uid="{6DDC8580-3C64-48A9-8656-A65E27823916}">
      <text>
        <r>
          <rPr>
            <b/>
            <sz val="9"/>
            <color indexed="81"/>
            <rFont val="Tahoma"/>
            <family val="2"/>
          </rPr>
          <t>Usuario:</t>
        </r>
        <r>
          <rPr>
            <sz val="9"/>
            <color indexed="81"/>
            <rFont val="Tahoma"/>
            <family val="2"/>
          </rPr>
          <t xml:space="preserve">
Se ajusta formato a %</t>
        </r>
      </text>
    </comment>
    <comment ref="BH288" authorId="1" shapeId="0" xr:uid="{47A0D91F-B2D4-4D81-B61D-2201B3027473}">
      <text>
        <r>
          <rPr>
            <sz val="11"/>
            <color theme="1"/>
            <rFont val="Arial"/>
            <family val="2"/>
          </rPr>
          <t xml:space="preserve">articulado con ODS 7 y 11
</t>
        </r>
      </text>
    </comment>
    <comment ref="AQ289" authorId="0" shapeId="0" xr:uid="{D96A4767-7C33-4520-B796-B8B4546043BA}">
      <text>
        <r>
          <rPr>
            <b/>
            <sz val="9"/>
            <color indexed="81"/>
            <rFont val="Tahoma"/>
            <family val="2"/>
          </rPr>
          <t>Usuario:</t>
        </r>
        <r>
          <rPr>
            <sz val="9"/>
            <color indexed="81"/>
            <rFont val="Tahoma"/>
            <family val="2"/>
          </rPr>
          <t xml:space="preserve">
Se ajusta formato a %</t>
        </r>
      </text>
    </comment>
    <comment ref="BH290" authorId="1" shapeId="0" xr:uid="{10E75F90-B91D-4C0C-B44B-6519A600E199}">
      <text>
        <r>
          <rPr>
            <sz val="11"/>
            <color theme="1"/>
            <rFont val="Arial"/>
            <family val="2"/>
          </rPr>
          <t xml:space="preserve">articulado con ODS 3,8, 9 y 16
</t>
        </r>
      </text>
    </comment>
    <comment ref="H291" authorId="3" shapeId="0" xr:uid="{41EC949C-579D-4822-9AEC-1CD73CC6CEFA}">
      <text>
        <r>
          <rPr>
            <b/>
            <sz val="9"/>
            <color indexed="81"/>
            <rFont val="Tahoma"/>
            <family val="2"/>
          </rPr>
          <t>EMH:</t>
        </r>
        <r>
          <rPr>
            <sz val="9"/>
            <color indexed="81"/>
            <rFont val="Tahoma"/>
            <family val="2"/>
          </rPr>
          <t xml:space="preserve">
Revisar no coincide con reportes previos
Se realiza ajuste requerido</t>
        </r>
      </text>
    </comment>
    <comment ref="AQ291" authorId="0" shapeId="0" xr:uid="{58F867A5-FC61-44E2-849E-A0C81921C473}">
      <text>
        <r>
          <rPr>
            <b/>
            <sz val="9"/>
            <color indexed="81"/>
            <rFont val="Tahoma"/>
            <family val="2"/>
          </rPr>
          <t>Usuario:</t>
        </r>
        <r>
          <rPr>
            <sz val="9"/>
            <color indexed="81"/>
            <rFont val="Tahoma"/>
            <family val="2"/>
          </rPr>
          <t xml:space="preserve">
Se ajusta formato a %</t>
        </r>
      </text>
    </comment>
    <comment ref="BH291" authorId="1" shapeId="0" xr:uid="{B7557265-E7BF-48CA-A79A-55B23F7B0D71}">
      <text>
        <r>
          <rPr>
            <sz val="11"/>
            <color theme="1"/>
            <rFont val="Arial"/>
            <family val="2"/>
          </rPr>
          <t xml:space="preserve">articulado con ODS 3,8, 9 y 16
</t>
        </r>
      </text>
    </comment>
    <comment ref="BH292" authorId="1" shapeId="0" xr:uid="{823C353F-6D8C-4223-8BE8-B1F0C785281C}">
      <text>
        <r>
          <rPr>
            <sz val="11"/>
            <color theme="1"/>
            <rFont val="Arial"/>
            <family val="2"/>
          </rPr>
          <t xml:space="preserve">articulado con ODS 3,8, 9 y 16
</t>
        </r>
      </text>
    </comment>
    <comment ref="D295" authorId="3" shapeId="0" xr:uid="{9AB1E8C6-13E7-4B5D-8A25-F54519528162}">
      <text>
        <r>
          <rPr>
            <b/>
            <sz val="9"/>
            <color indexed="81"/>
            <rFont val="Tahoma"/>
            <family val="2"/>
          </rPr>
          <t>EMH:</t>
        </r>
        <r>
          <rPr>
            <sz val="9"/>
            <color indexed="81"/>
            <rFont val="Tahoma"/>
            <family val="2"/>
          </rPr>
          <t xml:space="preserve">
PAI 2020 pg 82</t>
        </r>
      </text>
    </comment>
    <comment ref="H295" authorId="3" shapeId="0" xr:uid="{09D3046A-C69E-4941-B981-BA94B3E5497D}">
      <text>
        <r>
          <rPr>
            <b/>
            <sz val="9"/>
            <color indexed="81"/>
            <rFont val="Tahoma"/>
            <family val="2"/>
          </rPr>
          <t>EMH:</t>
        </r>
        <r>
          <rPr>
            <sz val="9"/>
            <color indexed="81"/>
            <rFont val="Tahoma"/>
            <family val="2"/>
          </rPr>
          <t xml:space="preserve">
+AH295/47067000000</t>
        </r>
      </text>
    </comment>
    <comment ref="I295" authorId="3" shapeId="0" xr:uid="{F44BC060-BE98-4F61-9428-D21312374518}">
      <text>
        <r>
          <rPr>
            <b/>
            <sz val="9"/>
            <color indexed="81"/>
            <rFont val="Tahoma"/>
            <family val="2"/>
          </rPr>
          <t>EMH:</t>
        </r>
        <r>
          <rPr>
            <sz val="9"/>
            <color indexed="81"/>
            <rFont val="Tahoma"/>
            <family val="2"/>
          </rPr>
          <t xml:space="preserve">
+AI295/47067000000</t>
        </r>
      </text>
    </comment>
    <comment ref="J295" authorId="3" shapeId="0" xr:uid="{7D54D665-8E98-4828-A43B-715F173CB2D2}">
      <text>
        <r>
          <rPr>
            <b/>
            <sz val="9"/>
            <color indexed="81"/>
            <rFont val="Tahoma"/>
            <family val="2"/>
          </rPr>
          <t>EMH:</t>
        </r>
        <r>
          <rPr>
            <sz val="9"/>
            <color indexed="81"/>
            <rFont val="Tahoma"/>
            <family val="2"/>
          </rPr>
          <t xml:space="preserve">
=+AJ295/47067000000</t>
        </r>
      </text>
    </comment>
    <comment ref="K295" authorId="3" shapeId="0" xr:uid="{EDC56928-F5BF-4280-86FF-E5A5ECD0D27E}">
      <text>
        <r>
          <rPr>
            <b/>
            <sz val="9"/>
            <color indexed="81"/>
            <rFont val="Tahoma"/>
            <family val="2"/>
          </rPr>
          <t>EMH:</t>
        </r>
        <r>
          <rPr>
            <sz val="9"/>
            <color indexed="81"/>
            <rFont val="Tahoma"/>
            <family val="2"/>
          </rPr>
          <t xml:space="preserve">
+AK295/47067000000
</t>
        </r>
      </text>
    </comment>
    <comment ref="AG295" authorId="3" shapeId="0" xr:uid="{8F4D5E5F-9EAA-41FD-94D6-DFA30D101CBB}">
      <text>
        <r>
          <rPr>
            <b/>
            <sz val="9"/>
            <color indexed="81"/>
            <rFont val="Tahoma"/>
            <family val="2"/>
          </rPr>
          <t>EMH:</t>
        </r>
        <r>
          <rPr>
            <sz val="9"/>
            <color indexed="81"/>
            <rFont val="Tahoma"/>
            <family val="2"/>
          </rPr>
          <t xml:space="preserve">
Acuerdo 011 de 2023</t>
        </r>
      </text>
    </comment>
    <comment ref="AZ295" authorId="3" shapeId="0" xr:uid="{12DE64BE-4DA4-4F75-8BB5-0AB0312BA060}">
      <text>
        <r>
          <rPr>
            <b/>
            <sz val="9"/>
            <color indexed="81"/>
            <rFont val="Tahoma"/>
            <family val="2"/>
          </rPr>
          <t>EMH:</t>
        </r>
        <r>
          <rPr>
            <sz val="9"/>
            <color indexed="81"/>
            <rFont val="Tahoma"/>
            <family val="2"/>
          </rPr>
          <t xml:space="preserve">
$47.067.000.000</t>
        </r>
      </text>
    </comment>
    <comment ref="AH296" authorId="0" shapeId="0" xr:uid="{76E9DBBA-F412-4E9A-814D-07ECE8552154}">
      <text>
        <r>
          <rPr>
            <b/>
            <sz val="9"/>
            <color indexed="81"/>
            <rFont val="Tahoma"/>
            <family val="2"/>
          </rPr>
          <t>Usuario:</t>
        </r>
        <r>
          <rPr>
            <sz val="9"/>
            <color indexed="81"/>
            <rFont val="Tahoma"/>
            <family val="2"/>
          </rPr>
          <t xml:space="preserve">
No se habia sumado lo del deficit de vigencia</t>
        </r>
      </text>
    </comment>
    <comment ref="AK296" authorId="3" shapeId="0" xr:uid="{962F29AA-EB6F-4EDF-905D-DFD51994593A}">
      <text>
        <r>
          <rPr>
            <b/>
            <sz val="9"/>
            <color indexed="81"/>
            <rFont val="Tahoma"/>
            <family val="2"/>
          </rPr>
          <t>EMH:</t>
        </r>
        <r>
          <rPr>
            <sz val="9"/>
            <color indexed="81"/>
            <rFont val="Tahoma"/>
            <family val="2"/>
          </rPr>
          <t xml:space="preserve">
Revisar debe coincidir con Anexo 5.2 y Anexo 5.2.A. Ajustar donde corresponda</t>
        </r>
      </text>
    </comment>
    <comment ref="AP296" authorId="3" shapeId="0" xr:uid="{62F08F47-5803-4139-BBD5-0B3031AD8F43}">
      <text>
        <r>
          <rPr>
            <b/>
            <sz val="9"/>
            <color indexed="81"/>
            <rFont val="Tahoma"/>
            <family val="2"/>
          </rPr>
          <t>EMH:</t>
        </r>
        <r>
          <rPr>
            <sz val="9"/>
            <color indexed="81"/>
            <rFont val="Tahoma"/>
            <family val="2"/>
          </rPr>
          <t xml:space="preserve">
Revisar debe coincidir con Anexo 5.2 y Anexo 5.2.A. Ajustar donde corresponda</t>
        </r>
      </text>
    </comment>
    <comment ref="AS296" authorId="0" shapeId="0" xr:uid="{D6D19334-BB92-4B48-8279-F25B00282B7A}">
      <text>
        <r>
          <rPr>
            <b/>
            <sz val="9"/>
            <color indexed="81"/>
            <rFont val="Tahoma"/>
            <family val="2"/>
          </rPr>
          <t>Usuario:</t>
        </r>
        <r>
          <rPr>
            <sz val="9"/>
            <color indexed="81"/>
            <rFont val="Tahoma"/>
            <family val="2"/>
          </rPr>
          <t xml:space="preserve">
Informe 2020: 19.669.219.081,06</t>
        </r>
      </text>
    </comment>
    <comment ref="AZ296" authorId="3" shapeId="0" xr:uid="{ECBCC751-C2CF-47F3-92F7-D9A3B7401040}">
      <text>
        <r>
          <rPr>
            <b/>
            <sz val="9"/>
            <color indexed="81"/>
            <rFont val="Tahoma"/>
            <family val="2"/>
          </rPr>
          <t>EMH:</t>
        </r>
        <r>
          <rPr>
            <sz val="9"/>
            <color indexed="81"/>
            <rFont val="Tahoma"/>
            <family val="2"/>
          </rPr>
          <t xml:space="preserve">
Revisar no coincide con lo reportado en informes previos</t>
        </r>
      </text>
    </comment>
    <comment ref="AS299" authorId="0" shapeId="0" xr:uid="{E2B8995B-0D15-43F8-B76E-29B6019B5436}">
      <text>
        <r>
          <rPr>
            <b/>
            <sz val="9"/>
            <color indexed="81"/>
            <rFont val="Tahoma"/>
            <family val="2"/>
          </rPr>
          <t>Usuario:</t>
        </r>
        <r>
          <rPr>
            <sz val="9"/>
            <color indexed="81"/>
            <rFont val="Tahoma"/>
            <family val="2"/>
          </rPr>
          <t xml:space="preserve">
Informe 2020: 19.669.219.081,06</t>
        </r>
      </text>
    </comment>
    <comment ref="D300" authorId="0" shapeId="0" xr:uid="{C3481940-E871-4F87-B643-7E345E2A8D1A}">
      <text>
        <r>
          <rPr>
            <b/>
            <sz val="9"/>
            <color indexed="81"/>
            <rFont val="Tahoma"/>
            <family val="2"/>
          </rPr>
          <t>Usuario:</t>
        </r>
        <r>
          <rPr>
            <sz val="9"/>
            <color indexed="81"/>
            <rFont val="Tahoma"/>
            <family val="2"/>
          </rPr>
          <t>No coincide con metas que se han registrado en reportes previos</t>
        </r>
      </text>
    </comment>
    <comment ref="H300" authorId="0" shapeId="0" xr:uid="{090947CF-6CDC-4278-9341-AE9FD2B882EA}">
      <text>
        <r>
          <rPr>
            <b/>
            <sz val="9"/>
            <color indexed="81"/>
            <rFont val="Tahoma"/>
            <family val="2"/>
          </rPr>
          <t>Usuario:</t>
        </r>
        <r>
          <rPr>
            <sz val="9"/>
            <color indexed="81"/>
            <rFont val="Tahoma"/>
            <family val="2"/>
          </rPr>
          <t xml:space="preserve">
revisar no coincide con datos registrados en reportes previos.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F51" authorId="0" shapeId="0" xr:uid="{063263EF-9DB8-43AB-BF8C-51A8DCB1D4B7}">
      <text>
        <r>
          <rPr>
            <b/>
            <sz val="9"/>
            <color indexed="81"/>
            <rFont val="Tahoma"/>
            <family val="2"/>
          </rPr>
          <t>EMH:</t>
        </r>
        <r>
          <rPr>
            <sz val="9"/>
            <color indexed="81"/>
            <rFont val="Tahoma"/>
            <family val="2"/>
          </rPr>
          <t xml:space="preserve">
Tiempos establecidos en la norma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D52" authorId="0" shapeId="0" xr:uid="{8F4BD1D2-B3C3-410C-BD48-150CD8068824}">
      <text>
        <r>
          <rPr>
            <b/>
            <sz val="9"/>
            <color indexed="81"/>
            <rFont val="Tahoma"/>
            <family val="2"/>
          </rPr>
          <t>EMH:</t>
        </r>
        <r>
          <rPr>
            <sz val="9"/>
            <color indexed="81"/>
            <rFont val="Tahoma"/>
            <family val="2"/>
          </rPr>
          <t xml:space="preserve">
No se tiene el caudal al cual se le hace seguimiento?</t>
        </r>
      </text>
    </comment>
    <comment ref="D73" authorId="0" shapeId="0" xr:uid="{2886AC44-9DA2-4819-B8C0-A89709A56BCD}">
      <text>
        <r>
          <rPr>
            <b/>
            <sz val="9"/>
            <color indexed="81"/>
            <rFont val="Tahoma"/>
            <family val="2"/>
          </rPr>
          <t>EMH:</t>
        </r>
        <r>
          <rPr>
            <sz val="9"/>
            <color indexed="81"/>
            <rFont val="Tahoma"/>
            <family val="2"/>
          </rPr>
          <t xml:space="preserve">
No se tiene el caudal al cual se le hace seguimiento?</t>
        </r>
      </text>
    </comment>
    <comment ref="D91" authorId="0" shapeId="0" xr:uid="{5FA51B8C-62B8-4557-873A-11316AD70841}">
      <text>
        <r>
          <rPr>
            <b/>
            <sz val="9"/>
            <color indexed="81"/>
            <rFont val="Tahoma"/>
            <family val="2"/>
          </rPr>
          <t>EMH:</t>
        </r>
        <r>
          <rPr>
            <sz val="9"/>
            <color indexed="81"/>
            <rFont val="Tahoma"/>
            <family val="2"/>
          </rPr>
          <t xml:space="preserve">
No se tiene el volumen al que se le hace seguimiento?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D41" authorId="0" shapeId="0" xr:uid="{A16746A7-98D3-46FF-AEF7-552E408BE766}">
      <text>
        <r>
          <rPr>
            <b/>
            <sz val="9"/>
            <color indexed="81"/>
            <rFont val="Tahoma"/>
            <family val="2"/>
          </rPr>
          <t>EMH:</t>
        </r>
        <r>
          <rPr>
            <sz val="9"/>
            <color indexed="81"/>
            <rFont val="Tahoma"/>
            <family val="2"/>
          </rPr>
          <t xml:space="preserve">
Definir si hay o no, debido a que en la info de PM10 se dejaron vacias las celdas
</t>
        </r>
        <r>
          <rPr>
            <b/>
            <sz val="9"/>
            <color indexed="81"/>
            <rFont val="Tahoma"/>
            <family val="2"/>
          </rPr>
          <t>RM:</t>
        </r>
        <r>
          <rPr>
            <sz val="9"/>
            <color indexed="81"/>
            <rFont val="Tahoma"/>
            <family val="2"/>
          </rPr>
          <t xml:space="preserve">
Observaciones ajustadas.
</t>
        </r>
      </text>
    </comment>
    <comment ref="D63" authorId="0" shapeId="0" xr:uid="{E299A598-C5AC-4744-9471-D01521524DBB}">
      <text>
        <r>
          <rPr>
            <b/>
            <sz val="9"/>
            <color indexed="81"/>
            <rFont val="Tahoma"/>
            <family val="2"/>
          </rPr>
          <t>EMH:</t>
        </r>
        <r>
          <rPr>
            <sz val="9"/>
            <color indexed="81"/>
            <rFont val="Tahoma"/>
            <family val="2"/>
          </rPr>
          <t xml:space="preserve">
Idem</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E23" authorId="0" shapeId="0" xr:uid="{00000000-0006-0000-1F00-000001000000}">
      <text>
        <r>
          <rPr>
            <b/>
            <sz val="9"/>
            <color indexed="81"/>
            <rFont val="Tahoma"/>
            <family val="2"/>
          </rPr>
          <t>Usuario:</t>
        </r>
        <r>
          <rPr>
            <sz val="9"/>
            <color indexed="81"/>
            <rFont val="Tahoma"/>
            <family val="2"/>
          </rPr>
          <t xml:space="preserve">
Información que se encuentra en Anexo 1 Columna 12</t>
        </r>
      </text>
    </comment>
    <comment ref="F23" authorId="0" shapeId="0" xr:uid="{00000000-0006-0000-1F00-000002000000}">
      <text>
        <r>
          <rPr>
            <b/>
            <sz val="9"/>
            <color indexed="81"/>
            <rFont val="Tahoma"/>
            <family val="2"/>
          </rPr>
          <t>Usuario:</t>
        </r>
        <r>
          <rPr>
            <sz val="9"/>
            <color indexed="81"/>
            <rFont val="Tahoma"/>
            <family val="2"/>
          </rPr>
          <t xml:space="preserve">
Información que se encuentra en Anexo 1 Columna 5 para la vigencia 2021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5" authorId="0" shapeId="0" xr:uid="{00000000-0006-0000-0400-000001000000}">
      <text>
        <r>
          <rPr>
            <b/>
            <sz val="9"/>
            <color indexed="81"/>
            <rFont val="Tahoma"/>
            <family val="2"/>
          </rPr>
          <t>Usuario:</t>
        </r>
        <r>
          <rPr>
            <sz val="9"/>
            <color indexed="81"/>
            <rFont val="Tahoma"/>
            <family val="2"/>
          </rPr>
          <t xml:space="preserve">
Datos tomados de Informe 2020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Nubia Bello</author>
    <author>EMH</author>
    <author>Usuario</author>
  </authors>
  <commentList>
    <comment ref="F20" authorId="0" shapeId="0" xr:uid="{B3234CE7-0034-4E08-B00F-0227FD543D58}">
      <text>
        <r>
          <rPr>
            <b/>
            <sz val="9"/>
            <color indexed="81"/>
            <rFont val="Tahoma"/>
            <family val="2"/>
          </rPr>
          <t>Nubia Bello:</t>
        </r>
        <r>
          <rPr>
            <sz val="9"/>
            <color indexed="81"/>
            <rFont val="Tahoma"/>
            <family val="2"/>
          </rPr>
          <t xml:space="preserve">
(Meta ajustada en Consejo Directivo mediante Acuerdo 008 de 2023. - Documento Técnico)</t>
        </r>
      </text>
    </comment>
    <comment ref="H28" authorId="1" shapeId="0" xr:uid="{739CC673-50F5-480E-8159-046AD3B4B9C2}">
      <text>
        <r>
          <rPr>
            <b/>
            <sz val="9"/>
            <color indexed="81"/>
            <rFont val="Tahoma"/>
            <family val="2"/>
          </rPr>
          <t>EMH:</t>
        </r>
        <r>
          <rPr>
            <sz val="9"/>
            <color indexed="81"/>
            <rFont val="Tahoma"/>
            <family val="2"/>
          </rPr>
          <t xml:space="preserve">
Revisar la fase en la que se encuentra 
</t>
        </r>
        <r>
          <rPr>
            <b/>
            <sz val="9"/>
            <color indexed="81"/>
            <rFont val="Tahoma"/>
            <family val="2"/>
          </rPr>
          <t>RM:</t>
        </r>
        <r>
          <rPr>
            <sz val="9"/>
            <color indexed="81"/>
            <rFont val="Tahoma"/>
            <family val="2"/>
          </rPr>
          <t xml:space="preserve">
Revisado y ajustado Fase.</t>
        </r>
      </text>
    </comment>
    <comment ref="E56" authorId="2" shapeId="0" xr:uid="{00000000-0006-0000-0500-000001000000}">
      <text>
        <r>
          <rPr>
            <b/>
            <sz val="9"/>
            <color indexed="81"/>
            <rFont val="Tahoma"/>
            <family val="2"/>
          </rPr>
          <t>Usuario:</t>
        </r>
        <r>
          <rPr>
            <sz val="9"/>
            <color indexed="81"/>
            <rFont val="Tahoma"/>
            <family val="2"/>
          </rPr>
          <t xml:space="preserve">
Asigne un valor de ponderación para cada tipo de instrumento contemplado en la vigencia objeto de reporte. La suma debe ser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Nubia Bello</author>
  </authors>
  <commentList>
    <comment ref="E22" authorId="0" shapeId="0" xr:uid="{0420B1CD-55BE-4383-95CF-F8E379818282}">
      <text>
        <r>
          <rPr>
            <b/>
            <sz val="9"/>
            <color indexed="81"/>
            <rFont val="Tahoma"/>
            <family val="2"/>
          </rPr>
          <t>Nubia Bello:</t>
        </r>
        <r>
          <rPr>
            <sz val="9"/>
            <color indexed="81"/>
            <rFont val="Tahoma"/>
            <family val="2"/>
          </rPr>
          <t xml:space="preserve">
Se elaboraron los documentos técnicos para los PORH de: Sabanagrande - Santo Tomás - Palmar de Varela</t>
        </r>
      </text>
    </comment>
    <comment ref="F22" authorId="0" shapeId="0" xr:uid="{135651B7-E938-4C69-A159-44188FDA9C07}">
      <text>
        <r>
          <rPr>
            <b/>
            <sz val="9"/>
            <color indexed="81"/>
            <rFont val="Tahoma"/>
            <family val="2"/>
          </rPr>
          <t>Nubia Bello:</t>
        </r>
        <r>
          <rPr>
            <sz val="9"/>
            <color indexed="81"/>
            <rFont val="Tahoma"/>
            <family val="2"/>
          </rPr>
          <t xml:space="preserve">
Se cumplió en la vigencia 2022 - Malambo 
Contrato No.279 del 2022 cuyo objeto contractual es: “FORMULAR EL PLAN DE ORDENAMIENTO DEL RECURSO HÍDRICO Y EL ACOTAMIENTO DE LA RONDA HÍDRICA PARA LA CIÉNAGA DE MALAMBO EN EL DEPARTAMENTO DEL ATLÁNTICO.”, la corporación desarrolló las actividades necesarias para la elaboración de este documento mediante un plan operativo para el proceso del ordenamiento de la ciénaga de Malambo.</t>
        </r>
      </text>
    </comment>
    <comment ref="H22" authorId="0" shapeId="0" xr:uid="{A7205C1B-36D8-4C74-AFE1-5B12781720BA}">
      <text>
        <r>
          <rPr>
            <b/>
            <sz val="9"/>
            <color indexed="81"/>
            <rFont val="Tahoma"/>
            <family val="2"/>
          </rPr>
          <t>Nubia Bello:</t>
        </r>
        <r>
          <rPr>
            <sz val="9"/>
            <color indexed="81"/>
            <rFont val="Tahoma"/>
            <family val="2"/>
          </rPr>
          <t xml:space="preserve">
Se suscribió Contrato No. 257/ 2023.
IDL INGENIERIA DE DESARROLLO LIMPIO S.A.S OBJETO: FORMULAR EL PLAN DE ORDENAMIENTO DEL RECURSO HÍDRICO Y EL ACOTAMIENTO DE LA RONDA HIDRICA PARA LA CIENAGA LA BAHÍA EN EL DEPARTAMENTO DEL ATLÁNTICO.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I21" authorId="0" shapeId="0" xr:uid="{17805693-32D5-4A98-8E60-03B2C1FE3C57}">
      <text>
        <r>
          <rPr>
            <b/>
            <sz val="9"/>
            <color indexed="81"/>
            <rFont val="Tahoma"/>
            <family val="2"/>
          </rPr>
          <t>EMH:</t>
        </r>
        <r>
          <rPr>
            <sz val="9"/>
            <color indexed="81"/>
            <rFont val="Tahoma"/>
            <family val="2"/>
          </rPr>
          <t xml:space="preserve">
Revisar, de acuerdo al dato que registran no tendrian municipios sin PSMV aprobado.
</t>
        </r>
        <r>
          <rPr>
            <b/>
            <sz val="9"/>
            <color indexed="81"/>
            <rFont val="Tahoma"/>
            <family val="2"/>
          </rPr>
          <t>RM:</t>
        </r>
        <r>
          <rPr>
            <sz val="9"/>
            <color indexed="81"/>
            <rFont val="Tahoma"/>
            <family val="2"/>
          </rPr>
          <t xml:space="preserve">
Se aclara información de PSMV Aprobados y no aprobados.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Nubia Bello</author>
    <author>EMH</author>
  </authors>
  <commentList>
    <comment ref="D21" authorId="0" shapeId="0" xr:uid="{97906039-8311-4A59-BC55-60F372BFC5B4}">
      <text>
        <r>
          <rPr>
            <b/>
            <sz val="9"/>
            <color indexed="81"/>
            <rFont val="Tahoma"/>
            <family val="2"/>
          </rPr>
          <t>Nubia Bello:</t>
        </r>
        <r>
          <rPr>
            <sz val="9"/>
            <color indexed="81"/>
            <rFont val="Tahoma"/>
            <family val="2"/>
          </rPr>
          <t xml:space="preserve">
Meta ajustada en Consejo Directivo mediante Acuerdo No. 008 de 2023 - Documento Sintesis del Proceso de Declaratoria. </t>
        </r>
      </text>
    </comment>
    <comment ref="E21" authorId="1" shapeId="0" xr:uid="{2078AB85-E3F6-41DB-BD85-B60C8BBD9FE6}">
      <text>
        <r>
          <rPr>
            <b/>
            <sz val="9"/>
            <color indexed="81"/>
            <rFont val="Tahoma"/>
            <family val="2"/>
          </rPr>
          <t>EMH:</t>
        </r>
        <r>
          <rPr>
            <sz val="9"/>
            <color indexed="81"/>
            <rFont val="Tahoma"/>
            <family val="2"/>
          </rPr>
          <t xml:space="preserve">
Revisar el alcance respecto a la modificación efectuada en el PAC
</t>
        </r>
        <r>
          <rPr>
            <b/>
            <sz val="9"/>
            <color indexed="81"/>
            <rFont val="Tahoma"/>
            <family val="2"/>
          </rPr>
          <t>RM:</t>
        </r>
        <r>
          <rPr>
            <sz val="9"/>
            <color indexed="81"/>
            <rFont val="Tahoma"/>
            <family val="2"/>
          </rPr>
          <t xml:space="preserve">
No se declararon áreas protegidas, quedaron en fase de aprestamiento</t>
        </r>
      </text>
    </comment>
    <comment ref="H39" authorId="1" shapeId="0" xr:uid="{23B0A7B4-ADB5-4FB4-ADD5-33FD01FB8100}">
      <text>
        <r>
          <rPr>
            <b/>
            <sz val="9"/>
            <color indexed="81"/>
            <rFont val="Tahoma"/>
            <family val="2"/>
          </rPr>
          <t>EMH:</t>
        </r>
        <r>
          <rPr>
            <sz val="9"/>
            <color indexed="81"/>
            <rFont val="Tahoma"/>
            <family val="2"/>
          </rPr>
          <t xml:space="preserve">
Si la meta es de 550 porque tienen en total 1300?</t>
        </r>
      </text>
    </comment>
    <comment ref="G42" authorId="1" shapeId="0" xr:uid="{189870F8-3639-4E7A-8A2F-09E79992CFBC}">
      <text>
        <r>
          <rPr>
            <b/>
            <sz val="9"/>
            <color indexed="81"/>
            <rFont val="Tahoma"/>
            <family val="2"/>
          </rPr>
          <t>EMH:</t>
        </r>
        <r>
          <rPr>
            <sz val="9"/>
            <color indexed="81"/>
            <rFont val="Tahoma"/>
            <family val="2"/>
          </rPr>
          <t xml:space="preserve">
de estas que tenian en aprestamiento finalmente se delimitaron solo 550?</t>
        </r>
      </text>
    </comment>
    <comment ref="H44" authorId="1" shapeId="0" xr:uid="{7906398F-A602-4616-AFAD-250DAEE20F9F}">
      <text>
        <r>
          <rPr>
            <b/>
            <sz val="9"/>
            <color indexed="81"/>
            <rFont val="Tahoma"/>
            <family val="2"/>
          </rPr>
          <t>EMH:</t>
        </r>
        <r>
          <rPr>
            <sz val="9"/>
            <color indexed="81"/>
            <rFont val="Tahoma"/>
            <family val="2"/>
          </rPr>
          <t xml:space="preserve">
Cual es el Acto administrativo de declaratoria?
</t>
        </r>
        <r>
          <rPr>
            <b/>
            <sz val="9"/>
            <color indexed="81"/>
            <rFont val="Tahoma"/>
            <family val="2"/>
          </rPr>
          <t>RM:</t>
        </r>
        <r>
          <rPr>
            <sz val="9"/>
            <color indexed="81"/>
            <rFont val="Tahoma"/>
            <family val="2"/>
          </rPr>
          <t xml:space="preserve">
Se ajusta el valor teniendo en cuenta que el área protegida que se contempla declarar tiene 1300 ha; sin embargo, esta queda en fase de aprestamiento dado que se presentó el documento técnico a la Humbolt para su revisión. Se espra su declaratoria para la vigencia del siguiente PAI 2024-2027</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E13" authorId="0" shapeId="0" xr:uid="{3ADB587E-ADE1-48FA-B1B4-F9DC90187B7A}">
      <text>
        <r>
          <rPr>
            <b/>
            <sz val="9"/>
            <color indexed="81"/>
            <rFont val="Tahoma"/>
            <family val="2"/>
          </rPr>
          <t>EMH:</t>
        </r>
        <r>
          <rPr>
            <sz val="9"/>
            <color indexed="81"/>
            <rFont val="Tahoma"/>
            <family val="2"/>
          </rPr>
          <t xml:space="preserve">
Esto no fue lo que reportaron en esa vigencia, de ser asi deben completar el reporte.
</t>
        </r>
        <r>
          <rPr>
            <b/>
            <sz val="9"/>
            <color indexed="81"/>
            <rFont val="Tahoma"/>
            <family val="2"/>
          </rPr>
          <t>RM:</t>
        </r>
        <r>
          <rPr>
            <sz val="9"/>
            <color indexed="81"/>
            <rFont val="Tahoma"/>
            <family val="2"/>
          </rPr>
          <t xml:space="preserve">
El reporte no contiene información adicional, así mismo no tuvo versión actualizada a 2023.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D20" authorId="0" shapeId="0" xr:uid="{00000000-0006-0000-1100-000001000000}">
      <text>
        <r>
          <rPr>
            <b/>
            <sz val="9"/>
            <color indexed="81"/>
            <rFont val="Tahoma"/>
            <family val="2"/>
          </rPr>
          <t>Usuario:</t>
        </r>
        <r>
          <rPr>
            <sz val="9"/>
            <color indexed="81"/>
            <rFont val="Tahoma"/>
            <family val="2"/>
          </rPr>
          <t xml:space="preserve">
Revisar y ajustar de acuerdo a lo que tienen en la jurisdicción</t>
        </r>
      </text>
    </comment>
    <comment ref="D21" authorId="0" shapeId="0" xr:uid="{00000000-0006-0000-1100-000002000000}">
      <text>
        <r>
          <rPr>
            <b/>
            <sz val="9"/>
            <color indexed="81"/>
            <rFont val="Tahoma"/>
            <family val="2"/>
          </rPr>
          <t>Usuario:</t>
        </r>
        <r>
          <rPr>
            <sz val="9"/>
            <color indexed="81"/>
            <rFont val="Tahoma"/>
            <family val="2"/>
          </rPr>
          <t xml:space="preserve">
Revisar y ajustar de acuerdo a lo que tienen en la jurisdicción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F24" authorId="0" shapeId="0" xr:uid="{AE8D4C6F-AFE6-4E8C-9B83-F06FD75E97C5}">
      <text>
        <r>
          <rPr>
            <b/>
            <sz val="9"/>
            <color indexed="81"/>
            <rFont val="Tahoma"/>
            <family val="2"/>
          </rPr>
          <t>EMH:</t>
        </r>
        <r>
          <rPr>
            <sz val="9"/>
            <color indexed="81"/>
            <rFont val="Tahoma"/>
            <family val="2"/>
          </rPr>
          <t xml:space="preserve">
Indicar el sector
</t>
        </r>
        <r>
          <rPr>
            <b/>
            <sz val="9"/>
            <color indexed="81"/>
            <rFont val="Tahoma"/>
            <family val="2"/>
          </rPr>
          <t>RM:</t>
        </r>
        <r>
          <rPr>
            <sz val="9"/>
            <color indexed="81"/>
            <rFont val="Tahoma"/>
            <family val="2"/>
          </rPr>
          <t xml:space="preserve">
Se ajustan los sectores de acuerdo a informes de gestión.
</t>
        </r>
      </text>
    </comment>
  </commentList>
</comments>
</file>

<file path=xl/sharedStrings.xml><?xml version="1.0" encoding="utf-8"?>
<sst xmlns="http://schemas.openxmlformats.org/spreadsheetml/2006/main" count="8390" uniqueCount="2837">
  <si>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</si>
  <si>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</si>
  <si>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</si>
  <si>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</si>
  <si>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</si>
  <si>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</si>
  <si>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Datos generales de los POMCAS:</t>
  </si>
  <si>
    <t>Cuencas, acuíferos y microcuencas objeto de planes en la jurisdicción de la CAR</t>
  </si>
  <si>
    <t>Tipo de Plan (a)</t>
  </si>
  <si>
    <t>Código (b)</t>
  </si>
  <si>
    <t>Nombre de Cuenca, Microcuenca, Acuífero</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</si>
  <si>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</si>
  <si>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</si>
  <si>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</si>
  <si>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</si>
  <si>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</si>
  <si>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</si>
  <si>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</si>
  <si>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</si>
  <si>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</si>
  <si>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</si>
  <si>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</si>
  <si>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</si>
  <si>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</si>
  <si>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</si>
  <si>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</si>
  <si>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</si>
  <si>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</si>
  <si>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</si>
  <si>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</si>
  <si>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</si>
  <si>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</si>
  <si>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</si>
  <si>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</si>
  <si>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</si>
  <si>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</si>
  <si>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</si>
  <si>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</si>
  <si>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</si>
  <si>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Dependencia</t>
  </si>
  <si>
    <t>Nombre del funcionario</t>
  </si>
  <si>
    <t>Cargo</t>
  </si>
  <si>
    <t>Correo electrónico</t>
  </si>
  <si>
    <t>Teléfono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</si>
  <si>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</si>
  <si>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</si>
  <si>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</si>
  <si>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</si>
  <si>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</si>
  <si>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</si>
  <si>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</si>
  <si>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</si>
  <si>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</si>
  <si>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</si>
  <si>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Observaciones</t>
  </si>
  <si>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</si>
  <si>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</si>
  <si>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</si>
  <si>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</si>
  <si>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</si>
  <si>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</si>
  <si>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</si>
  <si>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</si>
  <si>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</si>
  <si>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</si>
  <si>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</si>
  <si>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</si>
  <si>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</si>
  <si>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</si>
  <si>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</si>
  <si>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</si>
  <si>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</si>
  <si>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</si>
  <si>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</si>
  <si>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</si>
  <si>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</si>
  <si>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</si>
  <si>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</si>
  <si>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</si>
  <si>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</si>
  <si>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</si>
  <si>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</si>
  <si>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</si>
  <si>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</si>
  <si>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</si>
  <si>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</si>
  <si>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</si>
  <si>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</si>
  <si>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</si>
  <si>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</si>
  <si>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</si>
  <si>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</si>
  <si>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</si>
  <si>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</si>
  <si>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</si>
  <si>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</si>
  <si>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</si>
  <si>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</si>
  <si>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</si>
  <si>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</si>
  <si>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</si>
  <si>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</si>
  <si>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</si>
  <si>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</si>
  <si>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</si>
  <si>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</si>
  <si>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</si>
  <si>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</si>
  <si>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</si>
  <si>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</si>
  <si>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</si>
  <si>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</si>
  <si>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</si>
  <si>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</si>
  <si>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</si>
  <si>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</si>
  <si>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</si>
  <si>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</si>
  <si>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</si>
  <si>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</si>
  <si>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</si>
  <si>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</si>
  <si>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</si>
  <si>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</si>
  <si>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</si>
  <si>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</si>
  <si>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</si>
  <si>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Datos reportados por la Corporación</t>
  </si>
  <si>
    <t>Datos establecidos por el MADS</t>
  </si>
  <si>
    <t>Datos calculados por el sistema</t>
  </si>
  <si>
    <t>Porcentaje de cuerpos de agua con planes de ordenamiento del recurso hídrico (PORH) adoptados</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</si>
  <si>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</si>
  <si>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</si>
  <si>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</si>
  <si>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</si>
  <si>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</si>
  <si>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</si>
  <si>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</si>
  <si>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</si>
  <si>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</si>
  <si>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</si>
  <si>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</si>
  <si>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</si>
  <si>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</si>
  <si>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</si>
  <si>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</si>
  <si>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</si>
  <si>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cuerpos de agua sujeto de reglamentación de planes de ordenamiento del recurso hídrico (PORH):</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</si>
  <si>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</si>
  <si>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</si>
  <si>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</si>
  <si>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</si>
  <si>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</si>
  <si>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</si>
  <si>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</si>
  <si>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</si>
  <si>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</si>
  <si>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</si>
  <si>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</si>
  <si>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</si>
  <si>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</si>
  <si>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Porcentaje de Planes de Saneamiento y Manejo de Vertimientos (PSMV) con seguimiento</t>
  </si>
  <si>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</si>
  <si>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</si>
  <si>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</si>
  <si>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</si>
  <si>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</si>
  <si>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</si>
  <si>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</si>
  <si>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</si>
  <si>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</si>
  <si>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</si>
  <si>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</si>
  <si>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</si>
  <si>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</si>
  <si>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</si>
  <si>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</si>
  <si>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</si>
  <si>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</si>
  <si>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</si>
  <si>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</si>
  <si>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</si>
  <si>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Porcentaje de cuerpos de agua con reglamentación del uso de las aguas</t>
  </si>
  <si>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</si>
  <si>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</si>
  <si>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</si>
  <si>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</si>
  <si>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</si>
  <si>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</si>
  <si>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</si>
  <si>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</si>
  <si>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</si>
  <si>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cuerpos de agua sujeto de reglamentación del uso de las aguas:</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</si>
  <si>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</si>
  <si>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</si>
  <si>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</si>
  <si>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</si>
  <si>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</si>
  <si>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</si>
  <si>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Porcentaje de Programas de Uso Eficiente y Ahorro del Agua (PUEAA) con seguimiento</t>
  </si>
  <si>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</si>
  <si>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</si>
  <si>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</si>
  <si>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</si>
  <si>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</si>
  <si>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</si>
  <si>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</si>
  <si>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</si>
  <si>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</si>
  <si>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</si>
  <si>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</si>
  <si>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</si>
  <si>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</si>
  <si>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</si>
  <si>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</si>
  <si>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</si>
  <si>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</si>
  <si>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</si>
  <si>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</si>
  <si>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Porcentaje de Planes de Ordenación y Manejo de Cuencas (POMCAS), Planes de Manejo de Acuíferos (PMA) y Planes de Manejo de Microcuencas (PMM) en ejecución</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</si>
  <si>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</si>
  <si>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</si>
  <si>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</si>
  <si>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</si>
  <si>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</si>
  <si>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</si>
  <si>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</si>
  <si>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</si>
  <si>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</si>
  <si>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</si>
  <si>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</si>
  <si>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</si>
  <si>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</si>
  <si>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</si>
  <si>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</si>
  <si>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</si>
  <si>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</si>
  <si>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</si>
  <si>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</si>
  <si>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</si>
  <si>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</si>
  <si>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</si>
  <si>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</si>
  <si>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</si>
  <si>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</si>
  <si>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Indicador complementario:</t>
  </si>
  <si>
    <t>Ejecución presupuestal de acciones relacionadas con la implementación de los POMCAS, PMA y PMM</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</si>
  <si>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</si>
  <si>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</si>
  <si>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</si>
  <si>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</si>
  <si>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Reporte de ejecución de POMCAS, PMA y PMM</t>
  </si>
  <si>
    <t>Número / Año</t>
  </si>
  <si>
    <t>Acumulado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</si>
  <si>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</si>
  <si>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</si>
  <si>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</si>
  <si>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</si>
  <si>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</si>
  <si>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</si>
  <si>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</si>
  <si>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</si>
  <si>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</si>
  <si>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</si>
  <si>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</si>
  <si>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</si>
  <si>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</si>
  <si>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</si>
  <si>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</si>
  <si>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</si>
  <si>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</si>
  <si>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</si>
  <si>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</si>
  <si>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</si>
  <si>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</si>
  <si>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</si>
  <si>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</si>
  <si>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</si>
  <si>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</si>
  <si>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Porcentaje de entes territoriales asesorados en la incorporación, planificación y ejecución de acciones relacionadas con cambio climático en el marco de los instrumentos de planificación territorial</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</si>
  <si>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</si>
  <si>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</si>
  <si>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</si>
  <si>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</si>
  <si>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</si>
  <si>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</si>
  <si>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</si>
  <si>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</si>
  <si>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</si>
  <si>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</si>
  <si>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</si>
  <si>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</si>
  <si>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</si>
  <si>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</si>
  <si>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</si>
  <si>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</si>
  <si>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</si>
  <si>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</si>
  <si>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</si>
  <si>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</si>
  <si>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</si>
  <si>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</si>
  <si>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</si>
  <si>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</si>
  <si>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</si>
  <si>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</si>
  <si>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</si>
  <si>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</si>
  <si>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</si>
  <si>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</si>
  <si>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</si>
  <si>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</si>
  <si>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 xml:space="preserve">Número de entes territoriales </t>
  </si>
  <si>
    <t>Porcentaje de suelos degradados en recuperación o rehabilitación</t>
  </si>
  <si>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</si>
  <si>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</si>
  <si>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</si>
  <si>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</si>
  <si>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</si>
  <si>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</si>
  <si>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</si>
  <si>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</si>
  <si>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</si>
  <si>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</si>
  <si>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</si>
  <si>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</si>
  <si>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</si>
  <si>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</si>
  <si>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</si>
  <si>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</si>
  <si>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</si>
  <si>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</si>
  <si>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t>Inversión asociada a recuperación o rehabilitación de suelos degradados (Millones de $)</t>
  </si>
  <si>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</si>
  <si>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</si>
  <si>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Para su cálculo, se reporta la siguiente información:</t>
  </si>
  <si>
    <t>Meta de suelos degradados en recuperación o rehabilitación (ha)</t>
  </si>
  <si>
    <t>Áreas de suelos degradados en recuperación o rehabilitación (ha)</t>
  </si>
  <si>
    <t>Porcentaje de suelos degradados en recuperación o rehabilitación (C = B / A)</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</si>
  <si>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</si>
  <si>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</si>
  <si>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</si>
  <si>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</si>
  <si>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</si>
  <si>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</si>
  <si>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</si>
  <si>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</si>
  <si>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Porcentaje de la superficie de áreas protegidas regionales declaradas, homologadas o recategorizadas, inscritas en el RUNAP</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</si>
  <si>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</si>
  <si>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</si>
  <si>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</si>
  <si>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</si>
  <si>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</si>
  <si>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</si>
  <si>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</si>
  <si>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</si>
  <si>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</si>
  <si>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</si>
  <si>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</si>
  <si>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</si>
  <si>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</si>
  <si>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</si>
  <si>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</si>
  <si>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Continentales</t>
  </si>
  <si>
    <t>Meta de áreas protegidas regionales a ser homologadas o recategorizadas, e inscritas en el RUNAP en el cuatrienio (ha)</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</si>
  <si>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</si>
  <si>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</si>
  <si>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</si>
  <si>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</si>
  <si>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</si>
  <si>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</si>
  <si>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</si>
  <si>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</si>
  <si>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</si>
  <si>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</si>
  <si>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</si>
  <si>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</si>
  <si>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</si>
  <si>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</si>
  <si>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</si>
  <si>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</si>
  <si>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</si>
  <si>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</si>
  <si>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</si>
  <si>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</si>
  <si>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</si>
  <si>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</si>
  <si>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</si>
  <si>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</si>
  <si>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</si>
  <si>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</si>
  <si>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</si>
  <si>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</si>
  <si>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</si>
  <si>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</si>
  <si>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Porcentaje de páramos delimitados por el MADS, con zonificación y régimen de usos adoptados por la CAR</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</si>
  <si>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</si>
  <si>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</si>
  <si>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</si>
  <si>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</si>
  <si>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</si>
  <si>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</si>
  <si>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</si>
  <si>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</si>
  <si>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</si>
  <si>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</si>
  <si>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</si>
  <si>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</si>
  <si>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</si>
  <si>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</si>
  <si>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Reporte de avance</t>
  </si>
  <si>
    <t>Etapa</t>
  </si>
  <si>
    <t>Páramos delimitados por el MADS (número) ubicados en la jurisdicción de la Corporación</t>
  </si>
  <si>
    <t>Actos Administrativos de la CAR que adoptan la Zonificación y régimen de usos de páramos (número)</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</si>
  <si>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</si>
  <si>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</si>
  <si>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</si>
  <si>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Porcentaje de avance en la formulación del Plan de Ordenación Forestal</t>
  </si>
  <si>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</si>
  <si>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</si>
  <si>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</si>
  <si>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</si>
  <si>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</si>
  <si>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</si>
  <si>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</si>
  <si>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</si>
  <si>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</si>
  <si>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</si>
  <si>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</si>
  <si>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Meta de nuevas hectáreas forestales a ser ordenadas en el Plan de Ordenación Forestal en el cuatrienio (ha)</t>
  </si>
  <si>
    <t>Meta de hectáreas forestales a ser actualizadas en el Plan de Ordenación Forestal en el cuatrienio (ha) -si aplica-</t>
  </si>
  <si>
    <t>Meta: hectáreas forestales sujeto de ordenación en el cuatrienio (ha) (B+C)</t>
  </si>
  <si>
    <t>Superficie a ser ordenada en el Plan de Ordenación Forestal (*)</t>
  </si>
  <si>
    <t>Meta: hectáreas forestales sujeto de ordenación (a)</t>
  </si>
  <si>
    <t>En formulación</t>
  </si>
  <si>
    <t>En actualización</t>
  </si>
  <si>
    <t>Plan forestal adoptado</t>
  </si>
  <si>
    <t>(*) Ubique cada superficie sólo en la última etapa que se encuentre</t>
  </si>
  <si>
    <t>La suma de la superficie de las áreas en proceso de ordenación debe ser igual a la meta de hectáreas forestales a ser ordenadas.</t>
  </si>
  <si>
    <t>Relación de áreas a ser ordenadas en el Plan de Ordenación Forestal</t>
  </si>
  <si>
    <t>Nombre del área a ser ordenada</t>
  </si>
  <si>
    <t>Municipios donde se ubica</t>
  </si>
  <si>
    <t>Superficie (ha)</t>
  </si>
  <si>
    <t>Estado de avance (a)</t>
  </si>
  <si>
    <t>Acto administrativo de adopción</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</si>
  <si>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</si>
  <si>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</si>
  <si>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</si>
  <si>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Porcentaje de áreas protegidas con planes de manejo en ejecución</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</si>
  <si>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</si>
  <si>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</si>
  <si>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</si>
  <si>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</si>
  <si>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</si>
  <si>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</si>
  <si>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</si>
  <si>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</si>
  <si>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</si>
  <si>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</si>
  <si>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</si>
  <si>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</si>
  <si>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</si>
  <si>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</si>
  <si>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</si>
  <si>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</si>
  <si>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</si>
  <si>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</si>
  <si>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</si>
  <si>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</si>
  <si>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Inversión asociada a la ejecución de los planes de manejo de áreas protegidas (Millones de $)</t>
  </si>
  <si>
    <t>Nombre de AP</t>
  </si>
  <si>
    <t>Categoría de AP</t>
  </si>
  <si>
    <t>Ppto.</t>
  </si>
  <si>
    <t>Inicial</t>
  </si>
  <si>
    <t>Presupuesto</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</si>
  <si>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</si>
  <si>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</si>
  <si>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</si>
  <si>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</si>
  <si>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Porcentaje de especies amenazadas con medidas de conservación y manejo en ejecución</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</si>
  <si>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</si>
  <si>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</si>
  <si>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</si>
  <si>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</si>
  <si>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</si>
  <si>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</si>
  <si>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</si>
  <si>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</si>
  <si>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</si>
  <si>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</si>
  <si>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</si>
  <si>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</si>
  <si>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</si>
  <si>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</si>
  <si>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</si>
  <si>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</si>
  <si>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</si>
  <si>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</si>
  <si>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</si>
  <si>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</si>
  <si>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</si>
  <si>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</si>
  <si>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</si>
  <si>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</si>
  <si>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</si>
  <si>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</si>
  <si>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</si>
  <si>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</si>
  <si>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</si>
  <si>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</si>
  <si>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</si>
  <si>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</si>
  <si>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</si>
  <si>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</si>
  <si>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</si>
  <si>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</si>
  <si>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</si>
  <si>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</si>
  <si>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</si>
  <si>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</si>
  <si>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</si>
  <si>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</si>
  <si>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</si>
  <si>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</si>
  <si>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</si>
  <si>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Porcentaje de especies invasoras con medidas de prevención, control y manejo en ejecución</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</si>
  <si>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</si>
  <si>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</si>
  <si>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</si>
  <si>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</si>
  <si>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</si>
  <si>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</si>
  <si>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</si>
  <si>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</si>
  <si>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</si>
  <si>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</si>
  <si>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</si>
  <si>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</si>
  <si>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</si>
  <si>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</si>
  <si>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</si>
  <si>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</si>
  <si>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</si>
  <si>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</si>
  <si>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</si>
  <si>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</si>
  <si>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</si>
  <si>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</si>
  <si>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</si>
  <si>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</si>
  <si>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</si>
  <si>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</si>
  <si>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</si>
  <si>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</si>
  <si>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</si>
  <si>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</si>
  <si>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Porcentaje de áreas de ecosistemas en restauración, rehabilitación y reforestación</t>
  </si>
  <si>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</si>
  <si>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</si>
  <si>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</si>
  <si>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</si>
  <si>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</si>
  <si>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</si>
  <si>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</si>
  <si>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</si>
  <si>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</si>
  <si>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</si>
  <si>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</si>
  <si>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</si>
  <si>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</si>
  <si>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</si>
  <si>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</si>
  <si>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</si>
  <si>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</si>
  <si>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</si>
  <si>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</si>
  <si>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</si>
  <si>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</si>
  <si>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</si>
  <si>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</si>
  <si>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</si>
  <si>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</si>
  <si>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</si>
  <si>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</si>
  <si>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Implementación de acciones en manejo integrado de zonas costeras</t>
  </si>
  <si>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</si>
  <si>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</si>
  <si>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</si>
  <si>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</si>
  <si>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</si>
  <si>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</si>
  <si>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</si>
  <si>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</si>
  <si>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</si>
  <si>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</si>
  <si>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</si>
  <si>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</si>
  <si>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</si>
  <si>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</si>
  <si>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</si>
  <si>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</si>
  <si>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</si>
  <si>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</si>
  <si>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</si>
  <si>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</si>
  <si>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</si>
  <si>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</si>
  <si>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</si>
  <si>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</si>
  <si>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</si>
  <si>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</si>
  <si>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</si>
  <si>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</si>
  <si>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</si>
  <si>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</si>
  <si>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Porcentaje de ejecución de acciones relacionadas con el manejo integrado de zonas costeras.</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</si>
  <si>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</si>
  <si>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</si>
  <si>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</si>
  <si>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</si>
  <si>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</si>
  <si>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</si>
  <si>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</si>
  <si>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</si>
  <si>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</si>
  <si>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</si>
  <si>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</si>
  <si>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</si>
  <si>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</si>
  <si>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Porcentaje de Planes de Gestión Integral de Residuos Sólidos (PGIRS) con seguimiento a metas de aprovechamiento</t>
  </si>
  <si>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</si>
  <si>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</si>
  <si>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</si>
  <si>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</si>
  <si>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</si>
  <si>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</si>
  <si>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</si>
  <si>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</si>
  <si>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</si>
  <si>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</si>
  <si>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</si>
  <si>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</si>
  <si>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</si>
  <si>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total de Planes de Gestión Integral de Residuos Sólidos (PGIRS) de la jurisdicción de la Corporación:</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</si>
  <si>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</si>
  <si>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</si>
  <si>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</si>
  <si>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</si>
  <si>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</si>
  <si>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Porcentaje de sectores con acompañamiento para la reconversión hacia sistemas sostenibles de producción</t>
  </si>
  <si>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</si>
  <si>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</si>
  <si>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</si>
  <si>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</si>
  <si>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</si>
  <si>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</si>
  <si>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</si>
  <si>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</si>
  <si>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</si>
  <si>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</si>
  <si>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</si>
  <si>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</si>
  <si>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</si>
  <si>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</si>
  <si>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</si>
  <si>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</si>
  <si>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</si>
  <si>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</si>
  <si>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</si>
  <si>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</si>
  <si>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</si>
  <si>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</si>
  <si>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</si>
  <si>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</si>
  <si>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</si>
  <si>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</si>
  <si>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</si>
  <si>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</si>
  <si>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</si>
  <si>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</si>
  <si>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t>Ejecución presupuestal de acciones relacionadas con el acompañamiento para la reconversión hacia sistemas sostenibles de producción</t>
  </si>
  <si>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</si>
  <si>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</si>
  <si>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</si>
  <si>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Número de sectores priorizados para acompañamiento en la reconversión hacia sistemas sostenibles de producción (SPA)</t>
  </si>
  <si>
    <t>Indicador Complementario:</t>
  </si>
  <si>
    <t>Sector(es)</t>
  </si>
  <si>
    <t>Ejecución Presupuestal (%)</t>
  </si>
  <si>
    <t>inicial</t>
  </si>
  <si>
    <t>Ppto. Definitivo</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</si>
  <si>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</si>
  <si>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</si>
  <si>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</si>
  <si>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</si>
  <si>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</si>
  <si>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</si>
  <si>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</si>
  <si>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Porcentaje de ejecución de acciones en Gestión Ambiental Urbana</t>
  </si>
  <si>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</si>
  <si>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</si>
  <si>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</si>
  <si>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</si>
  <si>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</si>
  <si>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</si>
  <si>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</si>
  <si>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</si>
  <si>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</si>
  <si>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</si>
  <si>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</si>
  <si>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</si>
  <si>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</si>
  <si>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</si>
  <si>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</si>
  <si>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</si>
  <si>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</si>
  <si>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</si>
  <si>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</si>
  <si>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</si>
  <si>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</si>
  <si>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</si>
  <si>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</si>
  <si>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</si>
  <si>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</si>
  <si>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</si>
  <si>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</si>
  <si>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</si>
  <si>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</si>
  <si>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</si>
  <si>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</si>
  <si>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</si>
  <si>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</si>
  <si>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</si>
  <si>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</si>
  <si>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</si>
  <si>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</si>
  <si>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</si>
  <si>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</si>
  <si>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</si>
  <si>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</si>
  <si>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</si>
  <si>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</si>
  <si>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</si>
  <si>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</si>
  <si>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</si>
  <si>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</si>
  <si>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</si>
  <si>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t>Porcentaje de ejecución de acciones relacionadas con la gestión ambiental urbana.</t>
  </si>
  <si>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</si>
  <si>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</si>
  <si>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</si>
  <si>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</si>
  <si>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</si>
  <si>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</si>
  <si>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</si>
  <si>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</si>
  <si>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</si>
  <si>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</si>
  <si>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</si>
  <si>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</si>
  <si>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gestión ambiental urbana</t>
  </si>
  <si>
    <t>Ejecución física de las acciones relacionadas con la gestión ambiental urbana</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</si>
  <si>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</si>
  <si>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</si>
  <si>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</si>
  <si>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</si>
  <si>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</si>
  <si>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</si>
  <si>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Implementación del Programa Regional de Negocios Verdes por la autoridad ambiental</t>
  </si>
  <si>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</si>
  <si>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</si>
  <si>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</si>
  <si>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</si>
  <si>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</si>
  <si>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</si>
  <si>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</si>
  <si>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</si>
  <si>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</si>
  <si>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</si>
  <si>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</si>
  <si>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</si>
  <si>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</si>
  <si>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</si>
  <si>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</si>
  <si>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</si>
  <si>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</si>
  <si>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</si>
  <si>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</si>
  <si>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</si>
  <si>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</si>
  <si>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</si>
  <si>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</si>
  <si>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</si>
  <si>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</si>
  <si>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</si>
  <si>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</si>
  <si>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</si>
  <si>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</si>
  <si>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</si>
  <si>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</si>
  <si>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</si>
  <si>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</si>
  <si>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</si>
  <si>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</si>
  <si>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</si>
  <si>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</si>
  <si>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</si>
  <si>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</si>
  <si>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</si>
  <si>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</si>
  <si>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</si>
  <si>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</si>
  <si>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</si>
  <si>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</si>
  <si>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</si>
  <si>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</si>
  <si>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</si>
  <si>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</si>
  <si>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</si>
  <si>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</si>
  <si>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</si>
  <si>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</si>
  <si>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Participación en ferias</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</si>
  <si>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</si>
  <si>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</si>
  <si>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</si>
  <si>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</si>
  <si>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</si>
  <si>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</si>
  <si>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Tiempo promedio de trámite para la resolución de autorizaciones ambientales otorgadas por la corporación</t>
  </si>
  <si>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</si>
  <si>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</si>
  <si>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</si>
  <si>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</si>
  <si>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</si>
  <si>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</si>
  <si>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</si>
  <si>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</si>
  <si>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</si>
  <si>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</si>
  <si>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</si>
  <si>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</si>
  <si>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</si>
  <si>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</si>
  <si>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</si>
  <si>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</si>
  <si>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</si>
  <si>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</si>
  <si>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</si>
  <si>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</si>
  <si>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</si>
  <si>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</si>
  <si>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</si>
  <si>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</si>
  <si>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</si>
  <si>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</si>
  <si>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Licencias ambientales</t>
  </si>
  <si>
    <t>TL.A. Tiempo efectivo de duración del trámite de otorgamiento de licencias ambientales (número de días)</t>
  </si>
  <si>
    <t xml:space="preserve">N L.A.: Número de solicitudes de licencia ambiental atendidos </t>
  </si>
  <si>
    <t>Tx L.A. Tiempo promedio efectivo de duración del trámite de licencias ambientales</t>
  </si>
  <si>
    <t>Concesiones de agua</t>
  </si>
  <si>
    <t xml:space="preserve">N C.A.S.: Número de solicitudes de concesión de agua recibidas en el periodo. </t>
  </si>
  <si>
    <t>Tx C.A.S. Tiempo promedio efectivo de duración del trámite de Concesiones de Agua.</t>
  </si>
  <si>
    <t>Permisos de vertimiento de agua</t>
  </si>
  <si>
    <t>TP.V. Tiempo efectivo de duración del trámite de otorgamiento de un permiso de vertimiento (número de días)</t>
  </si>
  <si>
    <t>N P.V.: Número de solicitudes de permisos de vertimiento recibidas en el periodo.</t>
  </si>
  <si>
    <t>Tx P.V. Tiempo promedio efectivo de duración del trámite de otorgamiento de un permiso de vertimiento.</t>
  </si>
  <si>
    <t>Permisos de aprovechamiento forestal</t>
  </si>
  <si>
    <t>N A.F. Número de solicitudes de permisos de aprovechamiento forestal recibidas en el periodo</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</si>
  <si>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</si>
  <si>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</si>
  <si>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</si>
  <si>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N P.E. Número de solicitudes de permisos de emisiones atmosféricas recibidas en el periodo</t>
  </si>
  <si>
    <t>Tx P.E. Tiempo promedio efectivo de duración del trámite de otorgamiento de un permiso de emisión</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</si>
  <si>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</si>
  <si>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</si>
  <si>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Porcentaje de autorizaciones ambientales con seguimiento</t>
  </si>
  <si>
    <t xml:space="preserve"> </t>
  </si>
  <si>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</si>
  <si>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</si>
  <si>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</si>
  <si>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</si>
  <si>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</si>
  <si>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</si>
  <si>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</si>
  <si>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</si>
  <si>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</si>
  <si>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</si>
  <si>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</si>
  <si>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</si>
  <si>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</si>
  <si>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</si>
  <si>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</si>
  <si>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</si>
  <si>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Seguimiento de licencias ambientales</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</si>
  <si>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</si>
  <si>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</si>
  <si>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</si>
  <si>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</si>
  <si>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</si>
  <si>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</si>
  <si>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</si>
  <si>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</si>
  <si>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</si>
  <si>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</si>
  <si>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</si>
  <si>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</si>
  <si>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</si>
  <si>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</si>
  <si>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</si>
  <si>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</si>
  <si>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</si>
  <si>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</si>
  <si>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</si>
  <si>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</si>
  <si>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</si>
  <si>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</si>
  <si>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</si>
  <si>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</si>
  <si>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</si>
  <si>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</si>
  <si>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</si>
  <si>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</si>
  <si>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</si>
  <si>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</si>
  <si>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</si>
  <si>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</si>
  <si>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</si>
  <si>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</si>
  <si>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</si>
  <si>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</si>
  <si>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</si>
  <si>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</si>
  <si>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</si>
  <si>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</si>
  <si>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</si>
  <si>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</si>
  <si>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</si>
  <si>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</si>
  <si>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</si>
  <si>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Porcentaje de Procesos Sancionatorios Resueltos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</si>
  <si>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</si>
  <si>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</si>
  <si>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</si>
  <si>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</si>
  <si>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</si>
  <si>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</si>
  <si>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</si>
  <si>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</si>
  <si>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</si>
  <si>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</si>
  <si>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</si>
  <si>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</si>
  <si>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</si>
  <si>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</si>
  <si>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</si>
  <si>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</si>
  <si>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</si>
  <si>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</si>
  <si>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</si>
  <si>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</si>
  <si>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Porcentaje de municipios asesorados o asistidos en la inclusión del componente ambiental en los procesos de planificación y ordenamiento territorial, con énfasis en la incorporación de las determinantes ambientales para la revisión y ajuste de los POT</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</si>
  <si>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</si>
  <si>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</si>
  <si>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</si>
  <si>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</si>
  <si>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</si>
  <si>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</si>
  <si>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</si>
  <si>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</si>
  <si>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</si>
  <si>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</si>
  <si>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</si>
  <si>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</si>
  <si>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</si>
  <si>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</si>
  <si>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</si>
  <si>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</si>
  <si>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</si>
  <si>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</si>
  <si>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</si>
  <si>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</si>
  <si>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</si>
  <si>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</si>
  <si>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</si>
  <si>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</si>
  <si>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</si>
  <si>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</si>
  <si>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</si>
  <si>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</si>
  <si>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Porcentaje de redes y estaciones de monitoreo en operación</t>
  </si>
  <si>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</si>
  <si>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</si>
  <si>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</si>
  <si>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</si>
  <si>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</si>
  <si>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</si>
  <si>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</si>
  <si>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</si>
  <si>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</si>
  <si>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</si>
  <si>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</si>
  <si>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</si>
  <si>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</si>
  <si>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</si>
  <si>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</si>
  <si>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</si>
  <si>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</si>
  <si>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</si>
  <si>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</si>
  <si>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</si>
  <si>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</si>
  <si>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</si>
  <si>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</si>
  <si>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</si>
  <si>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</si>
  <si>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</si>
  <si>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</si>
  <si>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</si>
  <si>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</si>
  <si>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</si>
  <si>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</si>
  <si>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</si>
  <si>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</si>
  <si>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</si>
  <si>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</si>
  <si>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</si>
  <si>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</si>
  <si>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</si>
  <si>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</si>
  <si>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</si>
  <si>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</si>
  <si>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</si>
  <si>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</si>
  <si>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</si>
  <si>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</si>
  <si>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Redes instaladas en la Corporación</t>
  </si>
  <si>
    <t>Red1</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</si>
  <si>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</si>
  <si>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</si>
  <si>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</si>
  <si>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</si>
  <si>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</si>
  <si>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</si>
  <si>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</si>
  <si>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</si>
  <si>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</si>
  <si>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</si>
  <si>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</si>
  <si>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</si>
  <si>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</si>
  <si>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</si>
  <si>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</si>
  <si>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</si>
  <si>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</si>
  <si>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</si>
  <si>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Ponderación</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</si>
  <si>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</si>
  <si>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</si>
  <si>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</si>
  <si>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</si>
  <si>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Porcentaje de actualización y reporte de la información en el SIAC</t>
  </si>
  <si>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</si>
  <si>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</si>
  <si>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</si>
  <si>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</si>
  <si>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</si>
  <si>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</si>
  <si>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</si>
  <si>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</si>
  <si>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</si>
  <si>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</si>
  <si>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</si>
  <si>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</si>
  <si>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</si>
  <si>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t>Porcentaje de actualización y reporte de la información al SIAC</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</si>
  <si>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</si>
  <si>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</si>
  <si>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</si>
  <si>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</si>
  <si>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</si>
  <si>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</si>
  <si>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</si>
  <si>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</si>
  <si>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</si>
  <si>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</si>
  <si>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</si>
  <si>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</si>
  <si>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t>Porcentaje de actualización y reporte de la información por cada subsistema (información validada)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</si>
  <si>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</si>
  <si>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</si>
  <si>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</si>
  <si>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</si>
  <si>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</si>
  <si>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</si>
  <si>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</si>
  <si>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</si>
  <si>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</si>
  <si>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</si>
  <si>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</si>
  <si>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</si>
  <si>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RESPEL</t>
  </si>
  <si>
    <t>SIUR (RUA)</t>
  </si>
  <si>
    <t>Número de registros validados al año (RVS)</t>
  </si>
  <si>
    <t>Número de registros totales a ser validados por la Corporación (RTVS)</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</si>
  <si>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</si>
  <si>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</si>
  <si>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</si>
  <si>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Ejecución de Acciones en Educación Ambiental</t>
  </si>
  <si>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</si>
  <si>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</si>
  <si>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</si>
  <si>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</si>
  <si>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</si>
  <si>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</si>
  <si>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</si>
  <si>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</si>
  <si>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</si>
  <si>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</si>
  <si>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</si>
  <si>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</si>
  <si>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</si>
  <si>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</si>
  <si>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</si>
  <si>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</si>
  <si>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</si>
  <si>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</si>
  <si>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</si>
  <si>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</si>
  <si>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</si>
  <si>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</si>
  <si>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</si>
  <si>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</si>
  <si>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</si>
  <si>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</si>
  <si>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</si>
  <si>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</si>
  <si>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</si>
  <si>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</si>
  <si>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</si>
  <si>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</si>
  <si>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</si>
  <si>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1.</t>
  </si>
  <si>
    <t>Porcentaje de avance en la formulación y/o ajuste de los Planes de Ordenación y Manejo de Cuencas (POMCAS), Planes de Manejo de Acuíferos (PMA) y Planes de Manejo de Microcuencas (PMM)</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</si>
  <si>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</si>
  <si>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</si>
  <si>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</si>
  <si>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</si>
  <si>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</si>
  <si>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</si>
  <si>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</si>
  <si>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</si>
  <si>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</si>
  <si>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</si>
  <si>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</si>
  <si>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</si>
  <si>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</si>
  <si>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</si>
  <si>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</si>
  <si>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</si>
  <si>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</si>
  <si>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</si>
  <si>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</si>
  <si>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</si>
  <si>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</si>
  <si>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</si>
  <si>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</si>
  <si>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</si>
  <si>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</si>
  <si>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</si>
  <si>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Marinas, costeras  e Insulares (*)</t>
  </si>
  <si>
    <t>Porcentaje de sectores con acompañamiento para la reconversión hacia sistemas sostenibles de producción (PSA = SA / SPA)</t>
  </si>
  <si>
    <t>Sectores acompañados en la reconversión hacia sistemas sostenibles de producción (SA)</t>
  </si>
  <si>
    <t>BORRE O AGREGUE REDES</t>
  </si>
  <si>
    <t>Porcentaje de información validada por la Corporación (PARSIV ) (C = B / A)</t>
  </si>
  <si>
    <t>Observación</t>
  </si>
  <si>
    <t>No. Hoja</t>
  </si>
  <si>
    <t>Indicador</t>
  </si>
  <si>
    <t>Observaciones para la mejora de la aplicación de los indicadores</t>
  </si>
  <si>
    <t xml:space="preserve">Año </t>
  </si>
  <si>
    <t>VOLVER AL INDICE</t>
  </si>
  <si>
    <t>Área (Has)</t>
  </si>
  <si>
    <t>Hoja de fórmulas</t>
  </si>
  <si>
    <t>Relación de páramos delimitados por el MADS, con zonificación y régimen de usos adoptados por la CAR</t>
  </si>
  <si>
    <t>Nombre del páramo</t>
  </si>
  <si>
    <t>Estado de avance</t>
  </si>
  <si>
    <t>* Valor Acumulado</t>
  </si>
  <si>
    <t>Variable  (*)</t>
  </si>
  <si>
    <t>*</t>
  </si>
  <si>
    <t>Gestión del recurso hídrico en áreas urbanas</t>
  </si>
  <si>
    <t>Promedio de Planes en ejecución</t>
  </si>
  <si>
    <t>Inscrita en el RUNAP</t>
  </si>
  <si>
    <t>Inscritas en el RUNAP</t>
  </si>
  <si>
    <t>Resumen del Indicador</t>
  </si>
  <si>
    <t>Meta de áreas inscritas en el RUNAP (ha)</t>
  </si>
  <si>
    <t>Superficie total de áreas protegidas regionales declaradas, homologadas o recategorizadas, inscritas en el RUNAP</t>
  </si>
  <si>
    <t xml:space="preserve">Meta total de nuevas áreas protegidas a ser inscritas en el RUNAP en el cuatrienio (ha) </t>
  </si>
  <si>
    <t>Superfice de avance anual (ha)</t>
  </si>
  <si>
    <t>Avance Cuatrienal (%)</t>
  </si>
  <si>
    <t>Ponderador acumulado esperado en cada fase</t>
  </si>
  <si>
    <t>Ponderaciones de referencia</t>
  </si>
  <si>
    <t>Formulación</t>
  </si>
  <si>
    <t>Aprestamiento</t>
  </si>
  <si>
    <t>Logística</t>
  </si>
  <si>
    <t>Oficina</t>
  </si>
  <si>
    <t>Preparación</t>
  </si>
  <si>
    <t>Avance (Ponderación acumulada)</t>
  </si>
  <si>
    <t>Meta de avance anual (%)</t>
  </si>
  <si>
    <t>Determinación de la Meta de Avance Anual</t>
  </si>
  <si>
    <t>Hectareas</t>
  </si>
  <si>
    <t>Avance esperado (Ponderación acumulada)</t>
  </si>
  <si>
    <t>Meta de avance anual (ha)</t>
  </si>
  <si>
    <t>Meta de avance anual ponderada (ha)</t>
  </si>
  <si>
    <t>Descripción</t>
  </si>
  <si>
    <t xml:space="preserve">Definición de la unidad objeto de ordenación forestal
Asignación de recursos
Inicio del proceso pre y contractual
Conformación del equipo de trabajo  </t>
  </si>
  <si>
    <t>Actividades de referencia  en el proceso de formulación, implementación y seguimiento del Plan de Ordenación Forestal</t>
  </si>
  <si>
    <t>Consulta, validación y digitalización de información secundaria
Procesamiento e interpretación de imágenes satelitales
Generación de información cartográfica preliminar
Definición de metodología para levantamiento de información primaria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</si>
  <si>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</si>
  <si>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 xml:space="preserve">Procesamiento y análisis de información primaria
Propuesta zonificación inicial de la UOF
Propuesta de zonificación de las áreas forestales que componen la UOF
 Formulación del POF para cada área forestal de la UOF
</t>
  </si>
  <si>
    <t>Socialización versión premiminar de los POF
Armonización de los POF con actores locales y regionales
Edición y ajustes de los POF</t>
  </si>
  <si>
    <t>Aprobación de los POF por el Consejo Directivo de la autoridad ambiental competente</t>
  </si>
  <si>
    <t>Aprobación</t>
  </si>
  <si>
    <t>Seguimiento de permisos de vertimiento de agua</t>
  </si>
  <si>
    <t>Porcentaje de autorizaciones ambientales con seguimiento (promedio simple)</t>
  </si>
  <si>
    <t>Cálculo del indicador global</t>
  </si>
  <si>
    <t>% Seguimiento</t>
  </si>
  <si>
    <t>Seguimiento ponderado</t>
  </si>
  <si>
    <t>Tiempo Promedio</t>
  </si>
  <si>
    <t>Meta anual</t>
  </si>
  <si>
    <t>% Meta alcanzada</t>
  </si>
  <si>
    <t>Porcentaje de actualización y reporte de la información al SIAC (Promedio)</t>
  </si>
  <si>
    <t>NO APLICA</t>
  </si>
  <si>
    <t>SI APLICA</t>
  </si>
  <si>
    <t>NO SE REPORTA</t>
  </si>
  <si>
    <t>SI SE REPORTA</t>
  </si>
  <si>
    <t xml:space="preserve"> ¿El Indicador aplica por las especificades ambientales regionales? </t>
  </si>
  <si>
    <t>Acuerdo Consejo Directivo</t>
  </si>
  <si>
    <t xml:space="preserve">Observaciones </t>
  </si>
  <si>
    <t>Acuerdo</t>
  </si>
  <si>
    <t>Programas</t>
  </si>
  <si>
    <t>Programa o Proyecto asociado</t>
  </si>
  <si>
    <t>PAFP t =</t>
  </si>
  <si>
    <t xml:space="preserve">MATRIZ DE SEGUIMIENTO A LA GESTIÓN Y DE AVANCE EN LAS METAS FÍSICAS Y FINANCIERAS DEL PLAN DE ACCIÓN </t>
  </si>
  <si>
    <t>DEFINICIONES</t>
  </si>
  <si>
    <t xml:space="preserve">RECURSOS VIGENCIA :  </t>
  </si>
  <si>
    <t>NIVEL RENTISTICO</t>
  </si>
  <si>
    <t>Convenios</t>
  </si>
  <si>
    <t>Multas y sanciones</t>
  </si>
  <si>
    <t>Donaciones</t>
  </si>
  <si>
    <t>CONCEPTO</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</si>
  <si>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</si>
  <si>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</si>
  <si>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</si>
  <si>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</si>
  <si>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</si>
  <si>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</si>
  <si>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</si>
  <si>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</si>
  <si>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</si>
  <si>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</si>
  <si>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</si>
  <si>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</si>
  <si>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</si>
  <si>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</si>
  <si>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</si>
  <si>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</si>
  <si>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</si>
  <si>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</si>
  <si>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</si>
  <si>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</si>
  <si>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</si>
  <si>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</si>
  <si>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</si>
  <si>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</si>
  <si>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</si>
  <si>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</si>
  <si>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</si>
  <si>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</si>
  <si>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</si>
  <si>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</si>
  <si>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</si>
  <si>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</si>
  <si>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</si>
  <si>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</si>
  <si>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</si>
  <si>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</si>
  <si>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</si>
  <si>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</si>
  <si>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</si>
  <si>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</si>
  <si>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</si>
  <si>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</si>
  <si>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</si>
  <si>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PERIODO REPORTADO:</t>
  </si>
  <si>
    <t xml:space="preserve">ANEXO NO. 3. MATRIZ DE REPORTE DE AVANCE DE INDICADORES MÍNIMOS DE GESTIÓN INCORPORADOS EN LA RESOLUCIÓN 667 DE 2016  </t>
  </si>
  <si>
    <t>CORPORACIÓN AUTÓMA REGIONAL DE XXXXX</t>
  </si>
  <si>
    <t>(1)
ESTRUCTURA RENTISTICA</t>
  </si>
  <si>
    <t>(2)
CONCEPTO</t>
  </si>
  <si>
    <t>(3)
PROYECTADO PLAN FINANCIERO</t>
  </si>
  <si>
    <t>MODIFICACIONES</t>
  </si>
  <si>
    <t xml:space="preserve">(6)
APROPIACIÓN FINAL
(3+4-5)
</t>
  </si>
  <si>
    <t>DISTRIBUCIÓN</t>
  </si>
  <si>
    <t>(11)
DERECHOS POR COBRAR</t>
  </si>
  <si>
    <t>(12)
RECAUDO
EFECTIVO</t>
  </si>
  <si>
    <t>(13)
% DE RECAUDO</t>
  </si>
  <si>
    <t>(14)
OBSERVACIONES</t>
  </si>
  <si>
    <t>DEFINICIÓN</t>
  </si>
  <si>
    <t>SOPORTE LEGAL</t>
  </si>
  <si>
    <t>NIVEL ESTRUCTURAL</t>
  </si>
  <si>
    <t>SUBNIVEL RENTISTICO</t>
  </si>
  <si>
    <t>NIVEL 1</t>
  </si>
  <si>
    <t>NIVEL 2</t>
  </si>
  <si>
    <t>NIVEL 3</t>
  </si>
  <si>
    <t>NIVEL 4</t>
  </si>
  <si>
    <t>NIVEL 5</t>
  </si>
  <si>
    <t>(4)
ADICIÓN</t>
  </si>
  <si>
    <t>(5)
REDUCCIÓN</t>
  </si>
  <si>
    <t>(7)
FUNCIONAMIENTO</t>
  </si>
  <si>
    <t>(8)
INVERSIÓN</t>
  </si>
  <si>
    <t>(9)
FCA</t>
  </si>
  <si>
    <t>(10)
SERVICIO A LA DEUDA</t>
  </si>
  <si>
    <t>1</t>
  </si>
  <si>
    <t>Ingresos</t>
  </si>
  <si>
    <t>-</t>
  </si>
  <si>
    <t>Los ingresos son recursos monetarios recaudados en una vigencia fiscal por quienes corresponda administrarlos según la ley.
Se consideran ingresos las entradas de caja efectivas, en moneda nacional, que incrementan las disponibilidades para el gasto. Así, se deben cumplir las siguientes condiciones para reconocer una transacción como ingreso:
1.	Afectación efectiva de caja. Los ingresos se reconocen bajo el principio de caja. Es decir, cuando hay desembolso de los recursos a favor de las entidades beneficiarias.
2.	La afectación de caja se produce en moneda nacional.
3.	Respaldo de un gasto. No se reconocen como ingresos aquellas entradas efectivas de caja que no están habilitadas para realizar gastos.</t>
  </si>
  <si>
    <t>01</t>
  </si>
  <si>
    <t>Ingresos Corrientes</t>
  </si>
  <si>
    <t>Se reconocen por su regularidad, además se caracterizan porque: i) su base de cálculo y su trayectoria histórica permiten estimar con cierto grado de certidumbre el volumen de ingresos; ii) si bien pueden constituir una base aproximada, esta sirve de referente para la elaboración del presupuesto anual.</t>
  </si>
  <si>
    <t>Ingresos tributarios</t>
  </si>
  <si>
    <t>Son aquellos establecidos como impuestos y estampillas por la ley. Estos representan la obligación de hacer un pago, sin que exista una retribución particular por parte del Estado.</t>
  </si>
  <si>
    <t>Corte Constitucional, Sentencia C-545/1994.</t>
  </si>
  <si>
    <t>Impuestos directos</t>
  </si>
  <si>
    <t>Son aquellos que gravan directamente los ingresos o el patrimonio de las personas naturales y jurídicas, es decir, recaen sobre la capacidad económica de los sujetos. En los impuestos directos se identifica al contribuyente respectivo, y se conoce su capacidad de pago,  mediante las informaciones relativas a sus rentas y patrimonio.</t>
  </si>
  <si>
    <t>Corte Constitucional, Sentencia C- 426/2005.</t>
  </si>
  <si>
    <t>Sobretasa ambiental - Peajes</t>
  </si>
  <si>
    <t xml:space="preserve">la Sobretasa Ambiental se creó como un mecanismo de compensación a la afectación y deterioro derivado de las vías del orden nacional actualmente construidas y que llegaren a construirse, próximas o situadas en Areas de Conservación y Protección Municipal, sitios de Ramsar o Humedales de Importancia Internacional definidos en la Ley 357 de 1997 y Reservas de Biosfera, así como sus respectivas Zonas de Amortiguación de conformidad con los criterios técnicos que para el efecto establezca el Ministerio de Ambiente, Vivienda y Desarrollo Territorial. </t>
  </si>
  <si>
    <t>Ley 981 de 2005 modificada por Ley 1718 de 2014 y Ley 1753 de 2015</t>
  </si>
  <si>
    <t>Sobretasa ambiental - Peajes (vigencia actual)</t>
  </si>
  <si>
    <t>02</t>
  </si>
  <si>
    <t>Sobretasa ambiental - Peajes (vigencia anterior)</t>
  </si>
  <si>
    <t>Participación de intereses de mora sobre la sobretasa ambiental-peajes</t>
  </si>
  <si>
    <t>Son las transferencias de recursos de los intereses recaudados por la mora en el pago de la sobretasa ambiental. Los intereses que se causen por mora en el pago del Impuesto Predial Unificado, también se causan para el pago y transferencia de la sobretasa ambiental.</t>
  </si>
  <si>
    <t>Decreto Reglamentario 1339 de 1994, artículo 2.</t>
  </si>
  <si>
    <t>Participación de intereses de mora sobre la sobretasa ambiental-peajes (vigencia actual)</t>
  </si>
  <si>
    <t>Participación de intereses de mora sobre la sobretasa ambiental-peajes (vigencia anterior)</t>
  </si>
  <si>
    <t>Ingresos no tributarios</t>
  </si>
  <si>
    <t>Son los ingresos corrientes que por ley no están definidos como impuestos y comprenderán las tasas y las multas. Los ingresos no tributarios se clasifican en: 
1) Contribuciones 
2) Tasas y derechos administrativos 
3) Multas, sanciones e intereses de mora 
4) Derechos económicos por uso de recursos naturales 
5) Venta de bienes y servicios 
6) Transferencias corrientes
7) Participación y derechos de monopolio</t>
  </si>
  <si>
    <t>Decreto 111 de 1996, art. 27</t>
  </si>
  <si>
    <t>Contribuciones</t>
  </si>
  <si>
    <t xml:space="preserve">Las contribuciones son “las cargas fiscales al patrimonio particular, sustentadas en la potestad tributaria del Estado”. Las contribuciones corresponden a “la recuperación de los costos de los servicios que les presten o participación en los beneficios que les proporcionen”. El principio de legalidad del tributo se extiende a las contribuciones, razón por cual y como establece la Constitución Política, el método de definición de costos y beneficios y su forma de reparto deben ser definidos por Ley. Asimismo, la ley, ordenanza o acuerdo, debe definir los sujetos pasivos y activos, y la base gravable aplicable a la contribución. Sin embargo, la ley puede dar potestad administrativa a las autoridades para que fijen la tarifa que cobren a los contribuyentes. La unica excepción al principio de legalidad del tributo son las contribuciones especiales, las cuales no están definidas como contribuciones, pero de acuerdo con sentencia emitida por la Corte Constitucional, se ajusta a su definición.
</t>
  </si>
  <si>
    <t xml:space="preserve">Corte Constitucional, Sentencia C-545/1994.
Constitución política Art. 338 </t>
  </si>
  <si>
    <t>Contribuciones diversas</t>
  </si>
  <si>
    <t>Las contribuciones diversas comprenden los ingresos por concepto de las demás contribuciones que no se clasifican dentro de las demás categorías de contribuciones descritas anteriormente, es decir, a las contribuciones sociales 1-01-02-01-001, contribuciones inherentes a la nómina 1-01-02-01-002, contribuciones especiales 1-01-02-01-003, contribuciones parafiscales, agropecuarias y pesqueras 1-01-02-01-004.</t>
  </si>
  <si>
    <t>Contribución sector eléctrico</t>
  </si>
  <si>
    <t>Son los recursos por contribución del sector eléctrico a las que se refiere el artículo 45 de la Ley 99 de 1993. De acuerdo con este artículo, las empresas generadoras de energía hidroeléctrica cuya potencia nominal supera los 10.000 kilovatios, deben transferir el 6% de las ventas brutas de energia por generación propia de acuerdo con las distribuciones establecidas por la ley. En el caso de centrales térmicas el porcentaje de los recursos a transferir es del 4%. Los destinatarios de estos recursos son: las Corporaciones Autonómas Regionales o los Parques Nacionales Naturales que tengan jurisdicción en el área donde se encuentra localizada la cuenca hidrográfica y del área de influencia del proyecto o el área donde este ubicada la central térmica; y los municipios y distritos localizados de la cuenca que surte el embalse de las generadoras de energía hidroeléctrica o el municipio donde este ubicada la central térmica. COMPLEMENTAR PLAN DE DESARROLLO ART.289 DE 2019</t>
  </si>
  <si>
    <t xml:space="preserve"> Ley 99 de 1993, art. 45</t>
  </si>
  <si>
    <t>Contribución sector eléctrico - Hidroeléctrica</t>
  </si>
  <si>
    <t>Contribución sector eléctrico - Hidroeléctrica (vigencia actual)</t>
  </si>
  <si>
    <t>Contribución sector eléctrico - Hidroeléctrica (vigencia anterior)</t>
  </si>
  <si>
    <t>Contribución sector eléctrico - Termoeléctrica</t>
  </si>
  <si>
    <t>Contribución sector eléctrico - Termoeléctrica (vigencia actual)</t>
  </si>
  <si>
    <t>Contribución sector eléctrico - Termoeléctrica (vigencia anterior)</t>
  </si>
  <si>
    <t>03</t>
  </si>
  <si>
    <t>Contribución sector eléctrico - Energia Alternativa</t>
  </si>
  <si>
    <t>Contribución sector eléctrico - Energia Alternativa (vigencia actual)</t>
  </si>
  <si>
    <t>Contribución sector eléctrico - Energia Alternativa (vigencia anterior)</t>
  </si>
  <si>
    <t>04</t>
  </si>
  <si>
    <t>Participación de intereses de mora sobre contribución sector eléctrico</t>
  </si>
  <si>
    <t>Participación de intereses de mora sobre contribución sector eléctrico (vigencia actual)</t>
  </si>
  <si>
    <t>Participación de intereses de mora sobre contribución sector eléctrico (vigencia anterior)</t>
  </si>
  <si>
    <t>Tasas y derechos administrativos</t>
  </si>
  <si>
    <t>Tasas</t>
  </si>
  <si>
    <t>Tasas retributivas y compensatorias</t>
  </si>
  <si>
    <t>Tasa retributiva</t>
  </si>
  <si>
    <t xml:space="preserve">Corresponden a las tasas retributivas por la utilización directa o indirecta de la atmósfera, del agua y del suelo, para introducir o arrojar desechos o desperdicios agrícolas, mineros o industriales, aguas negras o servidas de cualquier origen, humos, vapores y sustancias nocivas que sean resultado de actividades antrópicas o propiciadas por el hombre, o actividades económicas o de servicio, sean o no lucrativas. También a las tasas para compensar los gastos de mantenimiento de la renovabilidad de los recursos naturales renovables.  </t>
  </si>
  <si>
    <t>Ley 99 de 1993, art. 42. Decreto 1390 de 2018. Decreto 1272 de 2016</t>
  </si>
  <si>
    <t>Tasa retributiva (vigencia actual)</t>
  </si>
  <si>
    <t>Tasa retributiva (vigencia anterior)</t>
  </si>
  <si>
    <t>Tasa por el uso del agua</t>
  </si>
  <si>
    <t>Recursos recibidos por concepto del uso y aprovechamiento que hacen las personas naturales, jurídicas, públicas o privadas, de las aguas que componen los recursos naturales renovables asociados a cualquier área del Sistema de Parques Nacionales Naturales. Estos recursos, están destinados por Ley al pago de los gastos de protección y renovación de los recursos hídricos.</t>
  </si>
  <si>
    <t>Ley 99 de 1993, art. 43, reglamentada por el Decreto Ley 155 de 2004</t>
  </si>
  <si>
    <t>Tasa por el uso del agua (vigencia actual)</t>
  </si>
  <si>
    <t>Tasa por el uso del agua (vigencia anterior)</t>
  </si>
  <si>
    <t>Tasa de aprovechamiento Forestal</t>
  </si>
  <si>
    <t>Tasa de aprovechamiento Forestal (vigencia actual)</t>
  </si>
  <si>
    <t>Tasa de aprovechamiento Forestal (vigencia anterior)</t>
  </si>
  <si>
    <t>Tasa compensatoria por caza de Fauna Silvestre</t>
  </si>
  <si>
    <t>se dirige a las autoridades ambientales competentes a que se refiere el artículo 2.2.9.10.1 .3, y a
léls personas naturales o jurídicas que cacen la fauna silvestre nativa en el país, en adelante denominadas usuarios</t>
  </si>
  <si>
    <t>Decreto 1272 de 2016, adiciona un capítulo al Título 9 de la Parte 2 del Libro 2 del Decreto 1076 de 2015, destinarán a la protección y renovación del recurso fauna silvestre, lo cual comprende actividades tales como la formulación e implementación de planes y programas de conservación y de uso
sostenible de especies animales silvestres, la repoblación, el control poblacional, estrategias para el control al tráFico ilegal, la restauración de áreas de importancia faunística, entre otras, así como el monitoreo y la elaboración de estudios de investigación básica y aplicada, estas últimas prioritarias para efectos de la inversión de la tasa, teniendo en cuenta las directrices del Ministerio de Ambiente y Desarrollo Sostenible</t>
  </si>
  <si>
    <t>Tasa compensatoria por caza de Fauna Silvestre (vigencia actual)</t>
  </si>
  <si>
    <t>Tasa compensatoria por caza de Fauna Silvestre (vigencia anterior)</t>
  </si>
  <si>
    <t>05</t>
  </si>
  <si>
    <t>Otras tasas</t>
  </si>
  <si>
    <t>Otras tasas (vigencia actual)</t>
  </si>
  <si>
    <t>Otras tasas (vigencia anterior)</t>
  </si>
  <si>
    <t>Derechos Administrativos</t>
  </si>
  <si>
    <t xml:space="preserve">Corresponde a los ingresos por concepto de la venta de bienes y la prestación de servicios que realizan las entidades en desarrollo de sus funciones y competencias legales, independientemente de que las mismas estén o no relacionadas con actividades de producción, o si se venden o no a precios económicamente significativos. Las ventas de bienes y servicios se registran sin deducir los costos de su recaudo (Decreto 111 de 1996, art. 35). </t>
  </si>
  <si>
    <t>Decreto 111 de 1996, art. 35</t>
  </si>
  <si>
    <t>Evaluación de licencias, permisos, concesiones, autorizaciones y demás trámites ambientales</t>
  </si>
  <si>
    <t>Ley 633 de 2002</t>
  </si>
  <si>
    <t>Evaluación de licencias, permisos, concesiones, autorizaciones y demás trámites ambientales (vigencia actual)</t>
  </si>
  <si>
    <t>Evaluación de licencias, permisos, concesiones, autorizaciones y demás trámites ambientales (vigencia anterior)</t>
  </si>
  <si>
    <t>Seguimiento a licencias, permisos, concesiones, autorizaciones y demás trámites ambientales</t>
  </si>
  <si>
    <t>Seguimiento a licencias, permisos, concesiones, autorizaciones y demás trámites ambientales (vigencia actual)</t>
  </si>
  <si>
    <t>Seguimiento a licencias, permisos, concesiones, autorizaciones y demás trámites ambientales (vigencia anterior)</t>
  </si>
  <si>
    <t>Salvoconductos</t>
  </si>
  <si>
    <t>Salvoconductos (vigencia actual)</t>
  </si>
  <si>
    <t>Salvoconductos (vigencia anterior)</t>
  </si>
  <si>
    <t>Venta de productos forestales</t>
  </si>
  <si>
    <t>Venta de productos forestales (vigencia actual)</t>
  </si>
  <si>
    <t>Venta de productos forestales (vigencia anterior)</t>
  </si>
  <si>
    <t>Venta de Servicios de Laboratorio e Información</t>
  </si>
  <si>
    <t>Venta de Servicios de Laboratorio e Información (vigencia actual)</t>
  </si>
  <si>
    <t>Venta de Servicios de Laboratorio e Información (vigencia anterior)</t>
  </si>
  <si>
    <t>06</t>
  </si>
  <si>
    <t>Pruebas de Bombeo y Videos de Pozos</t>
  </si>
  <si>
    <t>Pruebas de Bombeo y Videos de Pozos (vigencia actual)</t>
  </si>
  <si>
    <t>Pruebas de Bombeo y Videos de Pozos (vigencia anterior)</t>
  </si>
  <si>
    <t>07</t>
  </si>
  <si>
    <t>Aprovechamientos por parques</t>
  </si>
  <si>
    <t>Aprovechamientos por parques (vigencia actual)</t>
  </si>
  <si>
    <t>Aprovechamientos por parques (vigencia anterior)</t>
  </si>
  <si>
    <t>08</t>
  </si>
  <si>
    <t>Otros servicios</t>
  </si>
  <si>
    <t>Otros servicios (vigencia actual)</t>
  </si>
  <si>
    <t>Otros servicios (vigencia anterior)</t>
  </si>
  <si>
    <t>Multas, sanciones e intereses de mora</t>
  </si>
  <si>
    <t>El recaudo por multas y sanciones es generado por penalidades pecuniarias que derivan del poder punitivo del Estado, y que se establecen por el incumplimiento de leyes o normas administrativas, con el fin de prevenir un comportamiento considerado indeseable.
Por su parte, los intereses de mora hacen referencia a aquellos que se recaudan por el resarcimiento tarifado o indemnización de los perjuicios que padece el acreedor por no tener consigo el dinero en la oportunidad debida. La mora genera que se hagan correr en contra del deudor los daños y perjuicios llamados moratorios que representan el perjuicio causado al acreedor por el retraso en la ejecución de la obligación.
Los intereses de mora se incluyen en esta cuenta debido al componente indemnizatorio reconocido en la Sentencia C-604/2012. En este sentido, al igual que las multas y sanciones, el cobro de intereses de mora se hace en parte con el fin de prevenir la reiteración de una conducta indeseable.
Las multas, sanciones e intereses moratorios se clasifican en:
1) Multas y sanciones 
2) Intereses de mora</t>
  </si>
  <si>
    <t>Ley 6 de 1992, art. 124; Decreto 410 de 1971, art. 10, 20 y 78; Decreto 393 de 2002, art. 25</t>
  </si>
  <si>
    <t>Recursos por concepto de penalidades pecuniarias que derivan del poder punitivo del Estado, y que se establecen con el fin de prevenir un comportamiento considerado indeseable. Vale la pena precisar que las multas y sanciones se distinguen nítidamente de las contribuciones fiscales y parafiscales, pues estas últimas son consecuencia del poder impositivo, y no punitivo, del Estado. Esta diferencia de naturaleza jurídica se articula a la diversidad de finalidades de las mismas.
Así, una multa se establece con el fin de prevenir un comportamiento considerado indeseable, mientras que una contribución es un medio para financiar los gastos del Estado.
Las multas y sanciones se desagregan de igual manera para la Nación, los establecimientos públicos, los fondos especiales y las contribuciones parafiscales.</t>
  </si>
  <si>
    <t>Sentencia C-134/2009
Decreto 1609 de 2015</t>
  </si>
  <si>
    <t>Multas ambientales</t>
  </si>
  <si>
    <t>Corresponde al pago de una suma de dinero que las autoridades ambientales imponen a quien con su acción u omisión infrinja las normas ambientales.
Las autoridades ambientales son: El Ministerio de Ambiente y Desarrollo Sostenible, la Unidad Administrativa Especial del Sistema de Parques Nacionales Naturales, las Corporaciones Autónomas Regionales y las de Desarrollo Sostenible, las Unidades Ambientales Urbanas, la Armada Nacional, así como los departamentos, municipios y distritos.  Estas autoridades están habilitadas para imponer y ejecutar las medidas preventivas y sancionatorias consagradas en la ley, sin perjuicio de las competencias legales de otras autoridades.</t>
  </si>
  <si>
    <t>Ley 1333 de 2009. Ley 99 de 1993</t>
  </si>
  <si>
    <t>Multas ambientales (vigencia actual)</t>
  </si>
  <si>
    <t>Multas ambientales (vigencia anterior)</t>
  </si>
  <si>
    <t>Recaudo por concepto del retraso en que ha incurrido un tercero dentro de los plazos establecidos para el pago de una obligación. Los intereses de mora representan el resarcimiento tarifado o indemnización de los perjuicios que padece el acreedor por no tener consigo el dinero en la oportunidad debida.</t>
  </si>
  <si>
    <t>Sentencia C-604/2012</t>
  </si>
  <si>
    <t>Venta de bienes y servicios</t>
  </si>
  <si>
    <t>Ventas de establecimientos de mercado</t>
  </si>
  <si>
    <t xml:space="preserve">Son los ingresos por ventas de bienes y servicios resultantes del desarrollo de funciones misionales de producción o comercialización. Es decir, aquellas funciones de producción o comercialización dispuestas legalmente como competencias principales de la entidad. Esta categoría se desagrega siguiendo la Clasificación Central de Productos (CPC) del DANE.
</t>
  </si>
  <si>
    <t>Agricultura, silvicultura y productos de la pesca</t>
  </si>
  <si>
    <t>Productos de la silvicultura y de la explotación forestal</t>
  </si>
  <si>
    <t>Madera en bruto</t>
  </si>
  <si>
    <t>Madera en bruto (vigencia actual)</t>
  </si>
  <si>
    <t>Madera en bruto  (vigencia anterior)</t>
  </si>
  <si>
    <t>Productos forestales diferentes a la madera</t>
  </si>
  <si>
    <t>Productos forestales diferentes a la madera (vigencia actual)</t>
  </si>
  <si>
    <t>Productos forestales diferentes a la madera  (vigencia anterior)</t>
  </si>
  <si>
    <t>Otras ventas incidentales de establecimiento de mercado</t>
  </si>
  <si>
    <t>Otras ventas incidentales de establecimiento de mercado (vigencia actual)</t>
  </si>
  <si>
    <t>Otras ventas incidentales de establecimiento de mercado (vigencia anterior)</t>
  </si>
  <si>
    <t>Ventas incidentales de establecimiento de no mercado</t>
  </si>
  <si>
    <t>Son los ingresos por ventas de bienes y servicios que no resultan del desarrollo de funciones misionales de producción o comercialización. Es decir, que la venta de dichos bienes y servicios no se relaciona con las competencias legales de la entidad. Generalmente, estas ventas de bienes y servicios tienen un carácter incidental en las entidades. Esta categoría se desagrega siguiendo la Clasificación Central de Productos (CPC) del DANE.</t>
  </si>
  <si>
    <t>Productos metálicos, maquinaria y equipo</t>
  </si>
  <si>
    <t xml:space="preserve">Son los ingresos asociados a la venta de metales básicos o productos metálicos elaborados; maquinaria  de  uso  general  o  especial;  máquinas  para  oficina  y  contabilidad;  aparatos  eléctricos; aparatos de radio, televisión y comunicaciones; aparatos médicos y equipo de transporte. </t>
  </si>
  <si>
    <t xml:space="preserve"> Clasificación Central de Productos (CPC Ver. 2.0)</t>
  </si>
  <si>
    <t>Productos metálicos, maquinaria y equipo (vigencia actual)</t>
  </si>
  <si>
    <t>Productos metálicos, maquinaria y equipo (vigencia anterior)</t>
  </si>
  <si>
    <t>Alquiler de Maquinaria y Equipos</t>
  </si>
  <si>
    <t>Alquiler de Maquinaria y Equipos (vigencia actual)</t>
  </si>
  <si>
    <t>Alquiler de Maquinaria y Equipos (vigencia anterior)</t>
  </si>
  <si>
    <t>Aprovechamiento por arriendos</t>
  </si>
  <si>
    <t>Aprovechamiento por arriendos (vigencia actual)</t>
  </si>
  <si>
    <t>Aprovechamiento por arriendos (vigencia anterior)</t>
  </si>
  <si>
    <t>Otras ventas incidentales de establecimiento no de mercado</t>
  </si>
  <si>
    <t>Otras ventas incidentales de establecimiento no de mercado (vigencia actual)</t>
  </si>
  <si>
    <t>Otras ventas incidentales de establecimiento no de mercado (vigencia anterior)</t>
  </si>
  <si>
    <t>Transferencias corrientes</t>
  </si>
  <si>
    <t>Transferencias del sector central Nacional - PGN</t>
  </si>
  <si>
    <t>Participación de la sobretasa ambiental -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</si>
  <si>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</si>
  <si>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Ley  99 de 1993, art. 44; Decreto 1339 de 1994, art.1</t>
  </si>
  <si>
    <t>Participación de la sobretasa ambiental - Corporaciones Autónomas Regionales (vigencia actual)</t>
  </si>
  <si>
    <t>Participación de la sobretasa ambiental - Corporaciones Autónomas Regionales (vigencia anterior)</t>
  </si>
  <si>
    <t>Participación del porcentaje ambiental - Corporaciones Autónomas Regionales</t>
  </si>
  <si>
    <t>Participación del porcentaje ambiental - Corporaciones Autónomas Regionales (vigencia actual)</t>
  </si>
  <si>
    <t>Participación del porcentaje ambiental - Corporaciones Autónomas Regionales (vigencia anterior)</t>
  </si>
  <si>
    <t>Participación de intereses de mora sobre la sobretasa ambiental</t>
  </si>
  <si>
    <t>Participación de intereses de mora sobre la sobretasa ambiental (vigencia actual)</t>
  </si>
  <si>
    <t>Participación de intereses de mora sobre la sobretasa ambiental (vigencia anterior)</t>
  </si>
  <si>
    <t>Participación de intereses de mora sobre el porcentaje ambiental</t>
  </si>
  <si>
    <t>Participación de intereses de mora sobre el porcentaje ambiental (vigencia actual)</t>
  </si>
  <si>
    <t>Participación de intereses de mora sobre el porcentaje ambiental (vigencia anterior)</t>
  </si>
  <si>
    <t>Aportes de la Nación para Gastos de personal</t>
  </si>
  <si>
    <t>Aportes de la Nación para Adquisición de bienes y servicios</t>
  </si>
  <si>
    <t>Aportes de la Nación para Transferencias corrientes</t>
  </si>
  <si>
    <t xml:space="preserve">Aportes Fondo de Compensación Ambiental -FCA, Funcionamiento </t>
  </si>
  <si>
    <t>Aportes del FCA para Gastos de personal</t>
  </si>
  <si>
    <t>Aportes del FCA para Adquisición de bienes y servicios</t>
  </si>
  <si>
    <t>Aportes del FCA para Transferencias corrientes</t>
  </si>
  <si>
    <t>Aportes inversión Fondo de Compensación Ambiental -FCA</t>
  </si>
  <si>
    <t>Aportes inversión Fondo Nacional Ambiental - FONAM</t>
  </si>
  <si>
    <t>Aportes del Sistema de Participación General de Regalias - SPGR</t>
  </si>
  <si>
    <t>Aportes del SPGR para Funcionamiento</t>
  </si>
  <si>
    <t>Aportes del SPGR para Servicio de la Deuda</t>
  </si>
  <si>
    <t>Aportes del SPGR para Inversión</t>
  </si>
  <si>
    <t>Recursos de capital</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</si>
  <si>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sino porque su cuantía es indeterminada, lo cual difícilmente asegura su continuidad durante amplios periodos presupuestales” (Corte Constitucional, Sentencia C-1072 de 2002).</t>
  </si>
  <si>
    <t>Disposición de activos</t>
  </si>
  <si>
    <t>Recursos que obtiene una entidad del presupuesto general del sector público provenientes del traslado de derecho y dominio parcial o total de activos con destino a la financiación del presupuesto (Ministerio de Hacienda y Crédito Público, 2011, p. 245). En el CONPES 3281 de 2004 el gobierno nacional estableció la estrategia de aprovechamiento y disposición de activos con el objetivo de “reducir la magnitud del pasivo mediante la liquidación o venta de activos del balance con los cuales se corrija de manera efectiva el déficit fiscal, con un efecto permanente en el mediano plazo” (CONPES 3281 de 2004).</t>
  </si>
  <si>
    <t>Disposición de activos no financieros</t>
  </si>
  <si>
    <t>Corresponde a los ingresos por concepto de transacciones de capital referentes a la venta de activos no financieros . Sobre estos activos se ejerce un derecho de propiedad, y generan beneficios económicos por mantenerlos o utilizarlos durante un período de tiempo. Los activos no financieros incluyen tanto activos producidos como no producidos y los productos de la propiedad intelectual.</t>
  </si>
  <si>
    <t>Disposición de activos fijos</t>
  </si>
  <si>
    <t xml:space="preserve">Ingresos por concepto de la venta de activos no financieros producidos que se utilizan de forma repetida o continua en procesos de producción por más de un año y cuyo precio es significativo para la entidad del PGSP.
En este rubro se deben registrar las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t>
  </si>
  <si>
    <t>Disposición de edificaciones y estructuras</t>
  </si>
  <si>
    <t>Ingresos por concepto de la venta de todo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(FMI, 2014, pág. 179), los cuales se clasifican en otras estructuras.</t>
  </si>
  <si>
    <t>Disposición de maquinaria y equipo</t>
  </si>
  <si>
    <t>Ingresos por la concepto de la venta de activos como equipo de transporte, maquinaria relacionada con tecnologías de la información y las comunicaciones y otras maquinarias y equipos no clasificados en otra partida.</t>
  </si>
  <si>
    <t>Disposición de otros activos fijos</t>
  </si>
  <si>
    <t xml:space="preserve">Ingresos por la disposición de activos no mencionados en los rubros anteriores, a saber, recursos biológicos cultivados y productos de propiedad intelectual. </t>
  </si>
  <si>
    <t>Disposición de productos de la propiedad intelectual</t>
  </si>
  <si>
    <t xml:space="preserve">Ingresos por la disposición de  productos de la propiedad intelectual, los cuales son el resultado de la investigación, el desarrollo o la innovación conducente a conocimientos que pueden venderse en el mercado.  </t>
  </si>
  <si>
    <t>Disposición de activos no producidos</t>
  </si>
  <si>
    <t>Ingresos por la disposición de activos no producidos, los cuales incluyen los activos de origen natural e intangible. Los activos de origen natural son recursos naturales sobre los que se ejercen derechos de propiedad (Fondo Monetario Internacional, 2014, pág. 207).</t>
  </si>
  <si>
    <t>Disposición de  tierras y terrenos</t>
  </si>
  <si>
    <t>Ingresos por la disposición de tierras y terrenos propiamente dichas, incluyendo la cubierta de suelo y las aguas superficiales asociadas, sobre los que se han establecido derechos de propiedad y de las cuales pueden derivarse beneficios económicos para los propietarios por su posesión o uso.</t>
  </si>
  <si>
    <t>Rendimientos financieros</t>
  </si>
  <si>
    <t>Son los ingresos que se reciben las unidades del PGSP en retorno por poner ciertos activos financieros a disposición de terceros, sin trasladar el derecho o dominio, total o parcial del activo. De acuerdo con el MEFP 2014, los activos financieros son aquellos que tienen un pasivo como contrapartida, es decir, el propietario de dicho activo (acreedor) tiene derecho a recibir recursos o fondos de otra unidad institucional (deudor), de acuerdo con las condiciones del pasivo.</t>
  </si>
  <si>
    <t>09</t>
  </si>
  <si>
    <t>10</t>
  </si>
  <si>
    <t>11</t>
  </si>
  <si>
    <t>12</t>
  </si>
  <si>
    <t>Recursos de crédito externo</t>
  </si>
  <si>
    <t xml:space="preserve">Comprende los recursos provenientes de operaciones de crédito público realizadas con agentes residentes fuera del país. Entiéndase por operaciones de crédito público todo acto o contrato que tienen por objeto dotar a la entidad del PGSP de recursos, bienes o servicios con plazo para su pago. </t>
  </si>
  <si>
    <t>Recursos de contratos de empréstitos externos</t>
  </si>
  <si>
    <t>Corresponde a los recursos provenientes de contratos de empréstitos externos realizados por las entidades del PGSP. Los contratos de empréstito tienen por objeto proveer a la entidad contratante (órgano del PGN, entidad territorial, órgano autónomo o particular) de recursos con plazo para su pago. Para el caso de las entidades estatales, el Decreto 1068 de 2015 reglamente los contratos de empréstitos externos.</t>
  </si>
  <si>
    <t>Decreto 1068 de 2015</t>
  </si>
  <si>
    <t>Bancos comerciales</t>
  </si>
  <si>
    <t>Comprende los recursos provenientes de los créditos adquiridos con bancos comerciales residentes fuera del país. Un banco comercial es un intermediario financiero que capta recursos de quienes tienen dinero disponible para colocarlos en manos de quienes lo necesitan</t>
  </si>
  <si>
    <t>Decreto 1068 de 2015, art. 2.2.1.2.1.2</t>
  </si>
  <si>
    <t>Entidades de fomento</t>
  </si>
  <si>
    <t>Comprende los recursos provenientes de los créditos adquiridos con entidades de fomento residentes fuera del país.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</si>
  <si>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Recursos de crédito de títulos de deuda pública externa</t>
  </si>
  <si>
    <t>Corresponde a los ingresos por emisión y colocación de bonos y demás valores de contenido crediticio y con plazo para su redención, emitidos por las entidades de gobierno en el exterior o empresas financieros y no financieras.</t>
  </si>
  <si>
    <t>Recursos de crédito de proveedores</t>
  </si>
  <si>
    <t xml:space="preserve">Comprende los créditos obtenidos con agentes residentes fuera del país,  mediante los cuales se contrata la adquisición de bienes o servicios con plazo para su pago. Esta cuenta es de uso exclusivo de la nación. No aplica para la entrega de bienes y/o servicios de manera directa por el proveedor. </t>
  </si>
  <si>
    <t>Decreto 1068 de 2015, art. 2.2.1.2.3.1</t>
  </si>
  <si>
    <t>Recursos de crédito interno</t>
  </si>
  <si>
    <t xml:space="preserve">Comprende los recursos provenientes de operaciones de crédito público que realizan las entidades del PGSP con agentes residentes en el país. Entiéndase por operaciones de crédito público todo acto o contrato que tienen por objeto dotar a la entidad (órgano del PGN, entidad territorial, órgano autónomo, empresa o particular) de recursos, bienes o servicios con plazo para su pago. </t>
  </si>
  <si>
    <t>Recursos de contratos de empréstitos internos</t>
  </si>
  <si>
    <t>Corresponde a los recursos provenientes de contratos de empréstitos internos de las entidades del PGSP. Para las entidades de gobierno, estas operaciones están reguladas por el Decreto 1068 de 2015 y el Decreto 2681 de 1993, art. 22.</t>
  </si>
  <si>
    <t>Decreto 1068 de 2015; Decreto 2681 de 1993, art. 22</t>
  </si>
  <si>
    <t>Recursos de contratos de empréstitos internos con bancos comerciales</t>
  </si>
  <si>
    <t>Corresponde a los ingresos por adquisición de deuda con aquellos bancos comerciales que ofrecen sus recursos a tasas y condiciones vigentes del mercado. Estos recursos pueden dirigirse a cualquier sector.</t>
  </si>
  <si>
    <t>Recursos de contratos de empréstitos internos con bancos comerciales públicos</t>
  </si>
  <si>
    <t>Corresponde a los ingresos por concepto de los desembolsos realizados por bancos comerciales públicos en razón de los créditos otorgados a la entidad del PGSP.</t>
  </si>
  <si>
    <t>Recursos de contratos de empréstitos internos con bancos comerciales privados</t>
  </si>
  <si>
    <t>Corresponde a los ingresos por concepto de los desembolsos realizados por bancos comerciales privados en razón de los créditos otorgados a la entidad del PGSP.</t>
  </si>
  <si>
    <t>Recursos de contratos de empréstitos internos con entidades del sector público</t>
  </si>
  <si>
    <t>Ingresos por contratación de créditos públicos con entidades del sector público, excluyendo a los bancos comerciales públicos que están en otra categoría.</t>
  </si>
  <si>
    <t>Recursos de contratos de empréstitos internos con la Nación</t>
  </si>
  <si>
    <t>Corresponde a los ingresos por desembolsos de créditos otorgados por la Nación a las entidades del gobierno (nivel nacional y subnacional). Estos créditos están sujetos a condonación según los términos pactados en los convenios de desempeño y/o en los documentos que hagan sus veces.</t>
  </si>
  <si>
    <t>Recursos de contratos de empréstitos internos con Findeter</t>
  </si>
  <si>
    <t>Corresponde a los ingresos por desembolsos de créditos realizados durante la vigencia por la Financiera de Desarrollo Territorial S.A. (FINDETER).</t>
  </si>
  <si>
    <t>Recursos de contratos de empréstitos internos con Fonade</t>
  </si>
  <si>
    <t>Corresponde a los ingresos por desembolsos de créditos realizados durante la vigencia por el Fondo Financiero de Proyectos de Desarrollo (FONADE).</t>
  </si>
  <si>
    <t>Recursos de contratos de empréstitos internos con Institutos de Desarrollo Departamental y/o Municipal</t>
  </si>
  <si>
    <t>Corresponde a los ingresos por desembolsos realizados durante la vigencia por concepto de los créditos concedidos a la entidad de gobierno por parte de los fondos o institutos de desarrollo.</t>
  </si>
  <si>
    <t>Banco de la República</t>
  </si>
  <si>
    <t>Comprende los recursos provenientes de los préstamos adquiridos con el Banco de la República, el cual tiene, entre sus funciones, ser prestamista de última instancia del Gobierno Nacional. Los créditos otorgados por el Banco de la República a la Nación sólo se permiten en casos de extrema necesidad, y deben ser aprobados por todos los miembros de la Junta directiva del Banco.</t>
  </si>
  <si>
    <t>Constitución de 1991,  art. 371</t>
  </si>
  <si>
    <t>Recursos de contratos de empréstitos internos con otras instituciones financieras y otros</t>
  </si>
  <si>
    <t xml:space="preserve">Corresponde a los ingresos por contratación de créditos con entidades financieras distintas a las mencionadas. También incluyre los montos de dinero transferidos al Tesoro Nacional por concepto de cuentas inactivas, por parte de las entidades financieras. </t>
  </si>
  <si>
    <t>Recursos de crédito de títulos de deuda pública interna</t>
  </si>
  <si>
    <t>Comprende los recursos provenientes de los títulos de deuda pública (bonos y demás valores de contenido crediticio) emitidos por las entidades de gobierno en el mercado local de capitales con plazo para su rendición</t>
  </si>
  <si>
    <t>Decreto 1068 de 2015, art. 2.2.1.3.1.</t>
  </si>
  <si>
    <t>Colocación y títulos TES clase B del Gobierno Nacional</t>
  </si>
  <si>
    <t xml:space="preserve">Comprende los recursos provenientes de la colocación de Títulos de Tesorería - TES Clase B que realiza el Gobierno Nacional mediante los mecanismos de subasta, operación convenida u operación forzosa, para financiar apropiaciones presupuestales. Los TES Clase B pueden ser administrados directamente por la Nación o ésta puede celebrar con el Banco de la República o con otras entidades nacionales o extranjeras, contratos de administración fiduciaria para la edición, emisión, colocación y garantía de los mismos.  </t>
  </si>
  <si>
    <t>Colocación y títulos TES clase B a corto plazo</t>
  </si>
  <si>
    <t xml:space="preserve">Comprende los recursos provenientes de la colocación de TES Clase B que hace el Gobierno Nacional con  el  fin de efectuar operaciones  de  tesorería,  cuando  el  vencimiento de  los mismos  excede  la respectiva vigencia fiscal. Los TES Clase B a corto plazo tienen un término no mayor a un (1) año y no menor a treinta (30) días. </t>
  </si>
  <si>
    <t>Colocación y títulos TES clase B a largo plazo</t>
  </si>
  <si>
    <t xml:space="preserve">Comprende los recursos provenientes de la colocación de TES Clase B que hace el Gobierno Nacional mediante subasta, operación forzosa u operación convenida, con el fin de financiar apropiaciones presupuestales. Los TES Clase B a largo plazo tienen un término de uno o más años calendario. </t>
  </si>
  <si>
    <t>Bonos y otros títulos emitidos por el Gobierno Nacional</t>
  </si>
  <si>
    <t xml:space="preserve">Comprende  los  recursos provenientes  de  la  colocación  de  bonos  definidos  por  ley,  y  de  títulos diferentes a los TES, que tienen un contenido crediticio con plazo para su redención. </t>
  </si>
  <si>
    <t>Bonos y otros títulos de deuda emitidos por las entidades territoriales</t>
  </si>
  <si>
    <t>Corresponde a los ingresos por emisión y colocación de bonos y demás valores de contenido crediticio y con plazo para su redención, emitidos por las entidades territoriales.</t>
  </si>
  <si>
    <t xml:space="preserve">Comprende los créditos obtenidos con agentes residentes en territorio colombiano,  mediante los cuales se contrata la adquisición de bienes o servicios con plazo para su pago. Esta cuenta es de uso exclusivo de la nación. No aplica para la entrega de bienes y/o servicios de manera directa por el proveedor. </t>
  </si>
  <si>
    <t xml:space="preserve">Transferencias de capital </t>
  </si>
  <si>
    <t>Son las transferencias de recursos que reciben las entidades del PGSP, sin ser regulares o predecibles, y sin dar ningún bien, servicio o activo como contraprestación directa. 
En oposición a las transferencias corrientes, las transferencias de capital se caracterizan por:
•	No permitir un cálculo predecible o una estimación de estos gastos
•	No son disponibilidades regulares 
•	Dependen de la discrecionalidad de la entidad que realiza la transferencia.
•	Tener un plazo limitado de vigencia</t>
  </si>
  <si>
    <t>Convenios con Departamentos</t>
  </si>
  <si>
    <t xml:space="preserve">Convenios con  Municipios </t>
  </si>
  <si>
    <t>Otros Convenios</t>
  </si>
  <si>
    <t>Transferencias a  órganos autónomos e independientes</t>
  </si>
  <si>
    <t>Transferencias del sector descentralizado - Estapublicos Nacionales</t>
  </si>
  <si>
    <t>Transferencias del sector descentralizado - Empresas Nacionales</t>
  </si>
  <si>
    <t>Transferencias del sector central Territorial</t>
  </si>
  <si>
    <t>Transferencias de Departamentos</t>
  </si>
  <si>
    <t xml:space="preserve">Transferencias de Municipios </t>
  </si>
  <si>
    <t>Transferencias del sector descentralizado - Estapublicos Territoriales</t>
  </si>
  <si>
    <t>Transferencias del sector descentralizado - Empresas Territoriales</t>
  </si>
  <si>
    <t>Transferencias de esquemas asociativos</t>
  </si>
  <si>
    <t>Transferencias de órganos autónomos e independientes</t>
  </si>
  <si>
    <t>Transferencias de  privados que administran recursos públicos</t>
  </si>
  <si>
    <t>Indemnizaciones relacionadas con seguros no de vida</t>
  </si>
  <si>
    <t>Son las transferencias de recursos que reciben las entidades del orden nacional y territorial por concepto de las indemnizaciones que se generan en el desarrollo de contratos de seguros no de vida, tras la ocurrencia de un siniestro.</t>
  </si>
  <si>
    <t>Son las transferencias que reciben las entidades o unidades por concepto de donaciones. De acuerdo con el MHCP, son donaciones los “ingresos sin contraprestación, pero con la destinación que establezca el donante, recibidos de otros gobiernos o instituciones públicas o privadas de carácter nacional o internacional” (Ministerio de Hacienda y Crédito Público, 2011, pág. 246).</t>
  </si>
  <si>
    <t>Donaciones de gobiernos extranjeros</t>
  </si>
  <si>
    <t>Son las transferencias por concepto de donaciones que realizan los gobiernos extranjeros a las entidades o unidades.  Se consideran gobiernos extranjeros aquellos que se encuentran fuera del territorio económico colombiano y ejercen soberanía sobre un área determinada del resto del mundo.</t>
  </si>
  <si>
    <t>Donaciones de organizaciones internacionales</t>
  </si>
  <si>
    <t>Son las transferencias por concepto de donaciones que realizan las organizaciones internacionales a las entidades o unidades.  Se entiende por organizaciones internacionales aquellas que cumplen con las siguientes características (FMI, 2009, p. 71):
*Sus miembros son Estados nacionales u otros organismos internacionales cuyos miembros son Estados nacionales.
*Se establecen mediante acuerdos políticos formales entre sus miembros, que tiene el rango de tratados internacionales; su existencia es reconocida por ley en sus países miembros.
*Se crean con una finalidad específica</t>
  </si>
  <si>
    <t>Donaciones del sector privado nacional y extranjero</t>
  </si>
  <si>
    <t>Son las transferencias de recursos por concepto de donaciones que realizan las personas naturales o personas jurídicas del sector privado nacional o extranjero a las entidades.</t>
  </si>
  <si>
    <t>13</t>
  </si>
  <si>
    <t>Compensaciones</t>
  </si>
  <si>
    <t>Son las transferencias de recursos por pagos de gran cuantía, no recurrentes, para compensar daños extensos o lesiones graves, como las que resultan de desastres naturales no cubiertos por pólizas de seguros.</t>
  </si>
  <si>
    <t xml:space="preserve">Compensación resguardos indígenas </t>
  </si>
  <si>
    <t>Corresponde al impuesto predial unificado de los resguardos indígenas de la jurisdicción del municipio con cargo al presupuesto general de la Nación</t>
  </si>
  <si>
    <t>Compensación resguardos indígenas (vigencia actual)</t>
  </si>
  <si>
    <t>Compensación resguardos indígenas (vigencia anterior)</t>
  </si>
  <si>
    <t>Intereses de mora Compensación resguardos indígenas</t>
  </si>
  <si>
    <t>14</t>
  </si>
  <si>
    <t xml:space="preserve">Cooperación </t>
  </si>
  <si>
    <t xml:space="preserve">Acuerdos </t>
  </si>
  <si>
    <t>Subacuerdos</t>
  </si>
  <si>
    <t>Recuperación de cartera</t>
  </si>
  <si>
    <t>Ingresos por concepto de la amortización de préstamos realizados por las unidades del PGSP Gobierno nacional, las entidades territoriales, las empresas financieras y no financieras, los órganos autónomos y particulares que administran recursos públicos</t>
  </si>
  <si>
    <t>Ley 1066 de 2006</t>
  </si>
  <si>
    <t>Recuperación de cartera Ingresos tributarios</t>
  </si>
  <si>
    <t>Recuperación de cartera Impuestos directos</t>
  </si>
  <si>
    <t>Recuperación de cartera Contribuciones</t>
  </si>
  <si>
    <t>Recuperación de cartera Tasas retributivas y compensatorias</t>
  </si>
  <si>
    <t>Recuperación de carteraTasa retributiva</t>
  </si>
  <si>
    <t>Recuperación de cartera Tasa por el uso del agua</t>
  </si>
  <si>
    <t>Recuperación de cartera Tasa de aprovechamiento Forestal</t>
  </si>
  <si>
    <t>Recuperación de cartera Tasa compensatoria por caza de Fauna Silvestre</t>
  </si>
  <si>
    <t>Recuperación de cartera Otras tasas</t>
  </si>
  <si>
    <t>Recuperación de cartera Multas, sanciones e intereses de mora</t>
  </si>
  <si>
    <t>Recuperación de cartera Venta de bienes y servicios</t>
  </si>
  <si>
    <t>Recuperación cuotas partes pensionales</t>
  </si>
  <si>
    <t>Recursos del balance</t>
  </si>
  <si>
    <t>Recursos provenientes del saldo del ejercicio fiscal de la vigencia inmediatamente anterior, que quedan disponibles para la vigencia siguiente.</t>
  </si>
  <si>
    <t>Cancelación de reservas</t>
  </si>
  <si>
    <t>Cancelación de reservas Ingresos tributarios</t>
  </si>
  <si>
    <t>Cancelación de reservas Impuestos directos</t>
  </si>
  <si>
    <t>Cancelación de reservas Contribuciones</t>
  </si>
  <si>
    <t>Cancelación de reservas Tasas retributivas y compensatorias</t>
  </si>
  <si>
    <t>Cancelación de reservas Tasa retributiva</t>
  </si>
  <si>
    <t>Cancelación de reservas Tasa por el uso del agua</t>
  </si>
  <si>
    <t>Cancelación de reservas Tasa de aprovechamiento Forestal</t>
  </si>
  <si>
    <t>Cancelación de reservas Tasa compensatoria por caza de Fauna Silvestre</t>
  </si>
  <si>
    <t>Cancelación de reservas Otras tasas</t>
  </si>
  <si>
    <t>Cancelación de reservas Multas, sanciones e intereses de mora</t>
  </si>
  <si>
    <t>Cancelación de reservas Venta de bienes y servicios</t>
  </si>
  <si>
    <t>Cancelación de reservas Recursos de crédito externo</t>
  </si>
  <si>
    <t>Cancelación de reservas Recursos de crédito interno</t>
  </si>
  <si>
    <t>Cancelación de reservas Transferencias de capital</t>
  </si>
  <si>
    <t>Cancelación de reservas Convenios</t>
  </si>
  <si>
    <t>Cancelación de reservas Convenios Departamentos</t>
  </si>
  <si>
    <t xml:space="preserve">Cancelación de reservas Convenios Municipios </t>
  </si>
  <si>
    <t>Cancelación de reservas Otros convenios</t>
  </si>
  <si>
    <t>Cancelación de reservas Compensaciones</t>
  </si>
  <si>
    <t>Cancelación de reservas Compensación resguardos indígenas</t>
  </si>
  <si>
    <t xml:space="preserve"> INFORME DE EJECUCION PRESUPUESTAL DE INGRESOS </t>
  </si>
  <si>
    <t>Meta de POMCAS aprobados para el cuatrienio 2020-2023 (número):</t>
  </si>
  <si>
    <t>Meta de PMA aprobados para el cuatrienio 2020-2023 (número):</t>
  </si>
  <si>
    <t>Meta de PMM aprobados para el cuatrienio 2020-2023 (número):</t>
  </si>
  <si>
    <t>Número de áreas protegidas inscritas en el RUNAP a 31/12/2019 (número)</t>
  </si>
  <si>
    <t>Superficie de áreas protegidas inscritas en el RUNAP a 31/12/2019 (ha)</t>
  </si>
  <si>
    <t>Número total de áreas protegidas regionales declaradas, homologadas o recategorizadas, e inscritas en el RUNAP a 31/12/2023 (número)</t>
  </si>
  <si>
    <t>Superficie total de áreas protegidas regionales declaradas, homologadas o recategorizadas, inscritas en el RUNAP a 31/12/2023 (ha) (C+D)</t>
  </si>
  <si>
    <t>Superficie total del Plan de Ordenación Forestal a 31/12/2023 (ha)</t>
  </si>
  <si>
    <t>ANEXOS INFORME DE SEGUIMIENTO AL PLAN DE ACCIÓN 2020-2023</t>
  </si>
  <si>
    <t>ANEXO No. 2. PROTOCOLO O GUÍA DE DILIGENCIAMIENTO</t>
  </si>
  <si>
    <t>ÍTEM</t>
  </si>
  <si>
    <t>(1) ESTRUCTURA RENTÍSTICA</t>
  </si>
  <si>
    <t>Es el conjunto de elementos que rigen la clasificación, el ordenamiento y la presentación del Presupuesto.</t>
  </si>
  <si>
    <t>(2) CONCEPTO</t>
  </si>
  <si>
    <t>Cuentas que conforma el presupuesto de ingresos.</t>
  </si>
  <si>
    <t>(3) PROYECTADO PLAN FINANCIERO</t>
  </si>
  <si>
    <t xml:space="preserve">Indique el valor proyectado en el Plan Financiero del Plan de Acción y el cual es la base para la formulación del presupuesto de la vigencia de reporte. </t>
  </si>
  <si>
    <t>(4) ADICIÓN</t>
  </si>
  <si>
    <t>Indique las modificaciones positivas que se realizan al presupuesto de la Corporación, que buscan adecuarlo a nuevas condiciones que se presentan en la ejecución y que no fueron contempladas en la etapa de programación (Plan Financiero); este debe reflejarse tanto en el presupuesto de ingresos como en el gasto con el fin que haya un equilibrio presupuestal.</t>
  </si>
  <si>
    <t>(5) REDUCCIÓN</t>
  </si>
  <si>
    <t>Indique las modificaciones negativas que se realizan al presupuesto de la Corporación, que buscan adecuarlo a nuevas condiciones que se presentan en la ejecución y que afecta la etapa de programación (Plan Financiero); este debe reflejarse tanto en el presupuesto de ingresos como en el gasto con el fin que haya un equilibrio presupuestal.</t>
  </si>
  <si>
    <t>(6) APROPIACIÓN FINAL</t>
  </si>
  <si>
    <t>Es el resultado de la suma de lo programado en el Plan Financiero (3) más las adiciones (4) y menos las reducciones (5).</t>
  </si>
  <si>
    <t>(7) FUNCIONAMIENTO</t>
  </si>
  <si>
    <t>Indique los recursos que se asignan a la cuenta de Funcionamiento por cada una de las fuentes de financiación.</t>
  </si>
  <si>
    <t>(8) INVERSIÓN</t>
  </si>
  <si>
    <t>Indique los recursos que se asignan a la cuenta de Inversión por cada una de las fuentes de financiación.</t>
  </si>
  <si>
    <t>(9) FCA</t>
  </si>
  <si>
    <t>Indique los recursos que se asignan a la cuenta del Fondo de Compensación Ambiental -FCA, por cada una de las fuentes de financiación, atendiendo el artículo 24 de la Ley 344 de 1996, es decir el veinte por ciento (20%) de los recursos percibidos por las Corporaciones Autónomas Regionales, con excepción de las de Desarrollo Sostenible, por concepto de transferencias del sector eléctrico y el diez por ciento (10%) de las restantes rentas propias, con excepción del porcentaje ambiental de los gravámenes a la propiedad inmueble percibidos por ellas y de aquéllas que tengan como origen relaciones contractuales interadministrativas.</t>
  </si>
  <si>
    <t>(10) SERVICIO A LA DEUDA</t>
  </si>
  <si>
    <t>Indique los recursos que, se destina en la vigencia para disminuir el capital adeudado, e intereses, que se calculan sobre el capital adeudado. El servicio de la deuda de un período incluye a todas las obligaciones de un período determinado, es decir, que puede incluir a varios acreedores.</t>
  </si>
  <si>
    <t>(11) DERECHOS POR COBRAR</t>
  </si>
  <si>
    <t>Indique los recursos de los créditos a favor de la corporación y a los cuales realizará el proceso de cobro, estos pueden ser generados por la facturación por la prestación de un servicio, así mismo, se incluyen los valores que se giraran de otras entidades por contratos interinstitucionales, asignación de recursos para ejecución de proyectos, recursos asignados por la nación, los certificados por los entes territoriales por concepto de sobretasa o porcentaje ambiental, las certificaciones de las generadores de energía, por concepto de TSE, etc.</t>
  </si>
  <si>
    <t>(12) RECAUDO EFECTIVO</t>
  </si>
  <si>
    <t>Indique los recursos percibidos por la Corporación durante la vigencia de reporte</t>
  </si>
  <si>
    <t>(13) % DE RECAUDO</t>
  </si>
  <si>
    <t>Es la efectividad de la ejecución de los derechos por cobrar, es la división entre el recaudo efectivo (12) y los derechos por cobrar (11)</t>
  </si>
  <si>
    <t>(14) OBSERVACIONES</t>
  </si>
  <si>
    <t>Si es el caso, relacione lo que considere importante para la respectiva revisión y análisis que realizará DOAT-SINA.</t>
  </si>
  <si>
    <t>3201 – Fortalecimiento del desempeño ambiental de los sectores productivos.</t>
  </si>
  <si>
    <t>3202 – Conservación de la biodiversidad y sus servicios ecosistémicos.</t>
  </si>
  <si>
    <t>3203 – Gestión integral del recurso hídrico.</t>
  </si>
  <si>
    <t>3204 – Gestión de la información y el conocimiento ambiental.</t>
  </si>
  <si>
    <t>3205 – Ordenamiento ambiental territorial.</t>
  </si>
  <si>
    <t>3206 – Gestión del cambio climático para un desarrollo bajo en carbono y resiliente al clima.</t>
  </si>
  <si>
    <t>3207 – Gestión integral de mares, costas y recursos acuáticos.</t>
  </si>
  <si>
    <t>3208 – Educación Ambiental.</t>
  </si>
  <si>
    <t>3299 – Fortalecimiento de la gestión y dirección del Sector Ambiente y Desarrollo Sostenible.</t>
  </si>
  <si>
    <t>No Aplica</t>
  </si>
  <si>
    <t>2020-I</t>
  </si>
  <si>
    <t>2020-II</t>
  </si>
  <si>
    <t>2021-I</t>
  </si>
  <si>
    <t>2021-II</t>
  </si>
  <si>
    <t>2022-I</t>
  </si>
  <si>
    <t>2022-II</t>
  </si>
  <si>
    <t>2023-I</t>
  </si>
  <si>
    <t>2023-II</t>
  </si>
  <si>
    <t>2024-I</t>
  </si>
  <si>
    <t>2024-II</t>
  </si>
  <si>
    <t>2025-I</t>
  </si>
  <si>
    <t>2025-II</t>
  </si>
  <si>
    <t>Corporación Autónoma Regional de Risaralda – CARDER</t>
  </si>
  <si>
    <t>Año 0 (2019) (*)</t>
  </si>
  <si>
    <t>Aportes Fondo de Compensación Ambiental -FCA,</t>
  </si>
  <si>
    <t>Tasa retributiva (Rendimientos Financieros)</t>
  </si>
  <si>
    <t>Tasa retributiva (Intereses por mora)</t>
  </si>
  <si>
    <t>Tasa retributiva (Recuperación de Cartera)</t>
  </si>
  <si>
    <t>Tasa retributiva (Superhavit - Mayor recaudo)</t>
  </si>
  <si>
    <t>Tasa retributiva (Superhavit -Recursos no ejecutados)</t>
  </si>
  <si>
    <t>Tasa por el uso del agua (Rendimientos Financieros)</t>
  </si>
  <si>
    <t>Tasa por el uso del agua (Intereses por mora)</t>
  </si>
  <si>
    <t>Tasa por el uso del agua (Recuperación de Cartera)</t>
  </si>
  <si>
    <t>Tasa por el uso del agua (Superhavit - Mayor recaudo)</t>
  </si>
  <si>
    <t>Tasa por el uso del agua (Superhavit -Recursos no ejecutados)</t>
  </si>
  <si>
    <t>Tasa de aprovechamiento forestal (Rendimientos Financieros)</t>
  </si>
  <si>
    <t>Tasa de aprovechamiento forestal (Intereses por mora)</t>
  </si>
  <si>
    <t>Tasa de aprovechamiento forestal (Recuperación de Cartera)</t>
  </si>
  <si>
    <t>Tasa de aprovechamiento forestal (Superhavit - Mayor recaudo)</t>
  </si>
  <si>
    <t>Tasa de aprovechamiento forestal (Superhavit -Recursos no ejecutados)</t>
  </si>
  <si>
    <t>Tasa compensatoria por caza de Fauna Silvestre (Rendimientos Financieros)</t>
  </si>
  <si>
    <t>Tasa compensatoria por caza de Fauna Silvestre (Intereses por mora)</t>
  </si>
  <si>
    <t>Tasa compensatoria por caza de Fauna Silvestre (Recuperación de Cartera)</t>
  </si>
  <si>
    <t>Tasa compensatoria por caza de Fauna Silvestre (Superhavit - Mayor recaudo)</t>
  </si>
  <si>
    <t>Tasa compensatoria por caza de Fauna Silvestre (Superhavit -Recursos no ejecutados)</t>
  </si>
  <si>
    <t>Evaluación de licencias, permisos, concesiones, autorizaciones y demás trámites ambientales (Rendimientos Financieros)</t>
  </si>
  <si>
    <t>Evaluación de licencias, permisos, concesiones, autorizaciones y demás trámites ambientales (Intereses por mora)</t>
  </si>
  <si>
    <t>Evaluación de licencias, permisos, concesiones, autorizaciones y demás trámites ambientales (Recuperación de Cartera)</t>
  </si>
  <si>
    <t>Evaluación de licencias, permisos, concesiones, autorizaciones y demás trámites ambientales (Superhavit - Mayor recaudo)</t>
  </si>
  <si>
    <t>Evaluación de licencias, permisos, concesiones, autorizaciones y demás trámites ambientales (Superhavit -Recursos no ejecutados)</t>
  </si>
  <si>
    <t>Otras Tasas (Rendimientos Financieros)</t>
  </si>
  <si>
    <t>Otras Tasas (Intereses por mora)</t>
  </si>
  <si>
    <t>Otras Tasas (Recuperación de Cartera)</t>
  </si>
  <si>
    <t>Otras Tasas (Superhavit - Mayor recaudo)</t>
  </si>
  <si>
    <t>Otras Tasas (Superhavit -Recursos no ejecutados)</t>
  </si>
  <si>
    <t>Seguimiento a licencias, permisos, concesiones, autorizaciones y demás trámites ambientales (Rendimientos Financieros)</t>
  </si>
  <si>
    <t>Seguimiento a licencias, permisos, concesiones, autorizaciones y demás trámites ambientales (Intereses por mora)</t>
  </si>
  <si>
    <t>Seguimiento a licencias, permisos, concesiones, autorizaciones y demás trámites ambientales (Recuperación de Cartera)</t>
  </si>
  <si>
    <t>Seguimiento a licencias, permisos, concesiones, autorizaciones y demás trámites ambientales (Superhavit - Mayor recaudo)</t>
  </si>
  <si>
    <t>Seguimiento a licencias, permisos, concesiones, autorizaciones y demás trámites ambientales (Superhavit -Recursos no ejecutados)</t>
  </si>
  <si>
    <t>Salvoconductos (Rendimientos Financieros)</t>
  </si>
  <si>
    <t>Salvoconductos (Intereses por mora)</t>
  </si>
  <si>
    <t>Salvoconductos (Recuperación de Cartera)</t>
  </si>
  <si>
    <t>Salvoconductos (Superhavit - Mayor recaudo)</t>
  </si>
  <si>
    <t>Salvoconductos (Superhavit -Recursos no ejecutados)</t>
  </si>
  <si>
    <t>Participación de la sobretasa ambiental - Corporaciones Autónomas Regionales (Rendimientos Financieros)</t>
  </si>
  <si>
    <t>Participación de la sobretasa ambiental - Corporaciones Autónomas Regionales (Intereses por mora)</t>
  </si>
  <si>
    <t>Participación de la sobretasa ambiental - Corporaciones Autónomas Regionales (Recuperación de Cartera)</t>
  </si>
  <si>
    <t>Participación de la sobretasa ambiental - Corporaciones Autónomas Regionales (Superhavit - Mayor recaudo)</t>
  </si>
  <si>
    <t>Participación de la sobretasa ambiental - Corporaciones Autónomas Regionales (Superhavit -Recursos no ejecutados)</t>
  </si>
  <si>
    <t>Participación del porcentaje ambiental - Corporaciones Autónomas Regionales  (Rendimientos Financieros)</t>
  </si>
  <si>
    <t>Participación del porcentaje ambiental - Corporaciones Autónomas Regionales  (Intereses por mora)</t>
  </si>
  <si>
    <t>Participación del porcentaje ambiental - Corporaciones Autónomas Regionales  (Recuperación de Cartera)</t>
  </si>
  <si>
    <t>Participación del porcentaje ambiental - Corporaciones Autónomas Regionales  (Superhavit - Mayor recaudo)</t>
  </si>
  <si>
    <t>Participación del porcentaje ambiental - Corporaciones Autónomas Regionales  (Superhavit -Recursos no ejecutados)</t>
  </si>
  <si>
    <t>Participación de intereses de mora sobre la sobretasa ambiental  (Rendimientos Financieros)</t>
  </si>
  <si>
    <t>Participación de intereses de mora sobre la sobretasa ambiental  (Intereses por mora)</t>
  </si>
  <si>
    <t>Participación de intereses de mora sobre la sobretasa ambiental  (Recuperación de Cartera)</t>
  </si>
  <si>
    <t>Participación de intereses de mora sobre la sobretasa ambiental  (Superhavit - Mayor recaudo)</t>
  </si>
  <si>
    <t>Participación de intereses de mora sobre la sobretasa ambiental  (Superhavit -Recursos no ejecutados)</t>
  </si>
  <si>
    <t>Participación de intereses de mora sobre el porcentaje ambiental  (Rendimientos Financieros)</t>
  </si>
  <si>
    <t>Participación de intereses de mora sobre el porcentaje ambiental  (Intereses por mora)</t>
  </si>
  <si>
    <t>Participación de intereses de mora sobre el porcentaje ambiental  (Recuperación de Cartera)</t>
  </si>
  <si>
    <t>Participación de intereses de mora sobre el porcentaje ambiental  (Superhavit - Mayor recaudo)</t>
  </si>
  <si>
    <t>Participación de intereses de mora sobre el porcentaje ambiental  (Superhavit -Recursos no ejecutados)</t>
  </si>
  <si>
    <t>Participación de intereses de mora sobre la sobretasa ambiental-peajes  (Rendimientos Financieros)</t>
  </si>
  <si>
    <t>Participación de intereses de mora sobre la sobretasa ambiental-peajes  (Intereses por mora)</t>
  </si>
  <si>
    <t>Participación de intereses de mora sobre la sobretasa ambiental-peajes  (Recuperación de Cartera)</t>
  </si>
  <si>
    <t>Participación de intereses de mora sobre la sobretasa ambiental-peajes  (Superhavit - Mayor recaudo)</t>
  </si>
  <si>
    <t>Participación de intereses de mora sobre la sobretasa ambiental-peajes  (Superhavit -Recursos no ejecutados)</t>
  </si>
  <si>
    <t>Sobretasa ambiental - Peajes (Rendimientos Financieros)</t>
  </si>
  <si>
    <t>Sobretasa ambiental - Peajes (Intereses por mora)</t>
  </si>
  <si>
    <t>Sobretasa ambiental - Peajes (Recuperación de Cartera)</t>
  </si>
  <si>
    <t>Sobretasa ambiental - Peajes (Superhavit - Mayor recaudo)</t>
  </si>
  <si>
    <t>Sobretasa ambiental - Peajes (Superhavit -Recursos no ejecutados)</t>
  </si>
  <si>
    <t>Ingresos Recursos Propios</t>
  </si>
  <si>
    <t>Intereses de mora Multas Am bientales</t>
  </si>
  <si>
    <t>Multas Ambientales (Rendimientos Financieros)</t>
  </si>
  <si>
    <t>Multas Ambientales (Intereses por mora)</t>
  </si>
  <si>
    <t>Multas Ambientales (Recuperación de Cartera)</t>
  </si>
  <si>
    <t>Multas Ambientales (Superhavit - Mayor recaudo)</t>
  </si>
  <si>
    <t>Multas Ambientales (Superhavit -Recursos no ejecutados)</t>
  </si>
  <si>
    <t xml:space="preserve">Aportes Presupuesto General de la Nación </t>
  </si>
  <si>
    <t>Aportes Presupuesto General de la Nación - Funcionamiento</t>
  </si>
  <si>
    <t>Aportes Presupuesto General de la Nación - Inversión</t>
  </si>
  <si>
    <t>Aportes del SPGR para Gastos de personal</t>
  </si>
  <si>
    <t>Aportes del SPGR para Adquisición de bienes y servicios</t>
  </si>
  <si>
    <t>Aportes del SPGR  para Transferencias corrientes</t>
  </si>
  <si>
    <t>Germán Escaf Payares -Tayro Pimienta</t>
  </si>
  <si>
    <t>(57-5) 3492482 - 3492686</t>
  </si>
  <si>
    <t>N.A.</t>
  </si>
  <si>
    <t>SIN INFORMACION</t>
  </si>
  <si>
    <t>Línea Estratégica no. 1. Sostenibilidad del recurso hídrico; Programa 1.1. Planificación, administración y gestión del recurso hídrico para la protección de los ecosistemas. Proyecto 1.1.1. Regulación y reglamentación del recurso hídrico. Actividades: 1.1.1.1; 1.1.1.2 y 1.1.1.7.</t>
  </si>
  <si>
    <t>No hay microcuencas permanentes, en jurisdicción de la C.R.A.</t>
  </si>
  <si>
    <t>Cuenca del complejo de humedades del Rio Magdalena</t>
  </si>
  <si>
    <t>Cuenca Hidrógrafica de la Ciénaga de Mallorquín</t>
  </si>
  <si>
    <t>Aprobado</t>
  </si>
  <si>
    <t>Cuencas Hidrográficas del Canal del Dique.</t>
  </si>
  <si>
    <t>Sistema de acuifero de Sabanalarga- Tubara</t>
  </si>
  <si>
    <t>C.R.A.</t>
  </si>
  <si>
    <t>Germán Escaf</t>
  </si>
  <si>
    <t>gescaf@crautonoma.gov.co</t>
  </si>
  <si>
    <t>Calle 66 # 54- 43, esquina</t>
  </si>
  <si>
    <t>Número de cuencas con POMCAS aprobados, bajo el nuevo marco normativo (Decreto 1076 de 2015) a 31 de diciembre de 2020:</t>
  </si>
  <si>
    <t>Línea Estratégica no. 1. Sostenibilidad del recurso hídrico; Programa 1.1. Planificación, administración y gestión del recurso hídrico para la protección de los ecosistemas. Proyecto 1.1.1. Regulación y reglamentación del recurso hídrico. Actividades: 1.1.1.11.</t>
  </si>
  <si>
    <t>Número total de cuerpos de agua sujeto de reglamentación de planes de ordenamiento del recurso hídrico (PORH) adoptados a 31/12/2020:</t>
  </si>
  <si>
    <t>Germán Escaf Payares</t>
  </si>
  <si>
    <t>Línea Estratégica N°. 1. Sostenibilidad del recurso hídrico; Programa N° 1.2. Caracterización, cuantificación y recuperación del recurso agua como articulador de los bienes y servicios ambientales. Proyecto 1.2.3. Reducción de la contaminación del recurso hídrico</t>
  </si>
  <si>
    <t>SUBDIRECCION DE GESTION AMBIENTAL</t>
  </si>
  <si>
    <t>jrestrepo@crautonoma.gov.co</t>
  </si>
  <si>
    <t>3686626 ext 111</t>
  </si>
  <si>
    <t xml:space="preserve"> El Departamento del Atlantico no tiene corrientes permanentes con excepción del Rio Magdalena.Se actualizará el índice del Uso de Agua para el Departamento del Atlántico, ya que éste fue construido en el año 2013.</t>
  </si>
  <si>
    <t>Acuerdo 004 de 2020. Por medio del cual se aprueba y adopta el PAI-Atlántico Sostenible y Resiliente 2020 -2023</t>
  </si>
  <si>
    <t>Línea Estratégica N°. 1. Sostenibilidad del recurso hídrico; Programa N° 1.2. Caracterización, cuantificación y recuperación del recurso agua como articulador de los bienes y servicios ambientales. Proyecto 1.2.1. Uso eficiente y sostenible del agua. Actividad 1.2.1.2</t>
  </si>
  <si>
    <t xml:space="preserve">SUBDIRECCIÓN DE GESTION AMBIENTAL </t>
  </si>
  <si>
    <t>1.1.2.2. Implementar los cuatro Consejos de Cuenca (Mallorquin, Canal del Dique, Rio Magdalena y Caribe) como mecanismo de participación efectiva de los usuarios en la Planeación, Administración, Vigilancia y Monitoreo del recurso Hídrico.</t>
  </si>
  <si>
    <t>Línea Estratégica N°. 1. Sostenibilidad del recurso hídrico; Programa N° 1.1. Planificación, administración y gestión del recurso hídrico para la protección de los ecosistemas. Proyecto 1.1.1 regulación y reglamentación del recurso hídrico. Actividad 1.1.1.3., 1.1.1.4., 1.1.1.5 y 1.1.2.2.</t>
  </si>
  <si>
    <t>Los 23 municipios del Dpto del Atlántico, incluído el distrito de Bquilla</t>
  </si>
  <si>
    <t>Subdirección Gestión Ambiental</t>
  </si>
  <si>
    <t>NO APLICA PARA LA JURISDICCIÓN DE LA CRA.</t>
  </si>
  <si>
    <t>Continental</t>
  </si>
  <si>
    <t>2.3.1.8. Desarrollar estrategias de participación efectiva dirigidas a los propietarios de predios privados y comunidades de las áreas protegidas enfocadas a la conservación y a la implementación de sistemas productivos sostenibles como medida de adaptación al cambio climático</t>
  </si>
  <si>
    <t>2.3.1.9. Formular e implementar proyectos Ecoturísticos de acuerdo con los lineamientos establecidos por la Unidad Administrativa de Parques Nacionales de Colombia (UASPNN), como alternativa sostenible en las áreas protegidas y sus zonas aledañas</t>
  </si>
  <si>
    <t>2.3.1.10. Desarrollar e implementar estudios técnicos que definan la capacidad de carga para el control de ingreso e impactos ambientales generados por los visitantes de las áreas protegidas en el Atlántico</t>
  </si>
  <si>
    <t>SUBDIRECCIÓN DE GESTION AMBIENTAL</t>
  </si>
  <si>
    <t>Subdirección Gestión ambiental</t>
  </si>
  <si>
    <t>2.1.2.5. Diseñar y ejecutar acciones de conservación y manejo para 6 especies amenazadas</t>
  </si>
  <si>
    <t>2.1.2.2. Implementar medidas de prevención, control y manejo de las principales especies invasoras del departamento</t>
  </si>
  <si>
    <t>2.3.1.3. Implementar proyectos de restauraciòn y conectividad del Bosque Seco enmarcadas en el SIRAP, SIDAP, SILAP, en el Atlántico.</t>
  </si>
  <si>
    <t>GERMÁN ESCAF PAYARES</t>
  </si>
  <si>
    <t>2.2.1.1. Adoptar e implementar el Plan de Ordenación y Manejo-POMIUAC  de la Unidad Ambiental Costera-UAC del Rio Magdalena</t>
  </si>
  <si>
    <t>2.2.3.2. Establecer un  Programa de  Control y Monitoreo de la Unidad Ambiental Costera</t>
  </si>
  <si>
    <t>Planificación y ordenamiento de la Unidad Ambiental Costera UAC</t>
  </si>
  <si>
    <t>Línea estratégica N°. 4. Sostenibilidad sectorial; Programa N° programa no 4.4. Prevención, control y monitoreo del aire y suelo. Proyecto No 4.4.4. Residuos y economía circular. Actividad 4.4.4.2.</t>
  </si>
  <si>
    <t>2.1.1.4. Ejecutar un programa comunitario de medidas de adaptación al cambio climático basadas en la conservación de los ecosistemas estrategicos (bosque seco y manglar) y enfocadas a la reconversión hacia sistemas sostenibles de producción</t>
  </si>
  <si>
    <t>4.2.1.1. Fomentar el conocimiento sobre el Potencial energético de la generación de biogás a partir de residuos pecuarios en el Departamento del Atlántico</t>
  </si>
  <si>
    <t>4.2.2.1. Impulsar proyectos de generación de Fuentes No convencionales de Energía Renovable-FNCER, cogeneración a partir de la misma generación distribuida y de gestión eficiente de la energía.</t>
  </si>
  <si>
    <t>4.1.1.1. Implementar Convenios de Producción más Limpia con los sectores de equipamiento urbano</t>
  </si>
  <si>
    <t>Convenios de Producción Más Limpia</t>
  </si>
  <si>
    <t>Pilotos con acciones de mitigación y adaptación al Cambio Climático</t>
  </si>
  <si>
    <t>Línea estratégica N°.2. Sostenibilidad del recurso natural; Programa N° 2.1. Biodiversidad y riqueza de los ecosistemas terrestres, Proyecto No 2.1.1. Desarrollo forestal sostenible, Actividad 2.1.1.4.
Línea estratégica N°. 4. Sostenibilidad sectorial; Programa N° 4.1. Equipamiento sostenibles. Proyecto No 4.1.1. Producción más limpia. Actividad 4.1.1.1.; Programa N° 4.2. Por un departamento con energías renovables, Proyecto N° 4.2.1. Energía de biogás-biomasa, Actividad 4.2.1.1; Proyecto N° 4.2.2. Energía solar, Actividad 4.2.2.1</t>
  </si>
  <si>
    <t>1.2.3.2. (B) Reducir los aportes de contaminación puntual a los cuerpos de agua a través de sistemas de tratamiento de agua residuales.</t>
  </si>
  <si>
    <t>Número de proyectos con apoyo en la implemenatción de PTARS</t>
  </si>
  <si>
    <t>1.3.1.3. Construir la Canalización para la Recuperación Paisajística y ambiental del Arroyo el Salao Ubicado en el Municipio de Soledad.</t>
  </si>
  <si>
    <t>Metros lineales construidos y canalizados para la recuperación paisajística y ambiental del arroyo</t>
  </si>
  <si>
    <t>1.3.1.4. Realizar seguimiento ambiental a la Canalización para la Recuperación Paisajística y ambiental del Arroyo el Salao Ubicado en el Municipio de Soledad.</t>
  </si>
  <si>
    <t>Documento Técnico de Seguimiento Anual de la recuperación paisajística y ambiental del arroyo</t>
  </si>
  <si>
    <t>1.3.1.5. Realizar seguimiento ambiental a las Obras de canalización de los arroyos del Distrito de Barranquilla.</t>
  </si>
  <si>
    <t>Informe Técnico con el seguimiento a las obras de canalización de los arroyos del Distrito de Barranquilla</t>
  </si>
  <si>
    <t>Gestión Ambiental del Riesgo en áreas urbanas</t>
  </si>
  <si>
    <t>3.1.3.2. Desarrollar un programa de capacitación para formar a jóvenes como gestores ambientales urbanos GAU en el departamento</t>
  </si>
  <si>
    <t>Número de jóvenes como gestores ambientales urbanos</t>
  </si>
  <si>
    <t>Participación Ambiental en gestión ambiental urbana</t>
  </si>
  <si>
    <t>3.1.4.2. Apoyar a las Instituciones Educativas para la formulación y/o actualización de los Planes Escolares de Gestión del Riesgo-PEGR.</t>
  </si>
  <si>
    <t>Número de instituciones educativas apoyadas</t>
  </si>
  <si>
    <t>4.4.3.1. Actualizar los mapas de ruido diurno y nocturno en los municipios con más de 100.000 habitantes del Departamento</t>
  </si>
  <si>
    <t>Número de mapas de ruido diurno y nocturno actualizados</t>
  </si>
  <si>
    <t>Prevención y control de la contaminación del aire en áreas urbanas (fenómento de acumulación o concentracióon de contaminantes en el aire generado por diferentes tipos entre ellos contaminandte criterio, ruido y olores ofensivos)-</t>
  </si>
  <si>
    <t>Línea Estratégica N°. 2. Sostenibilidad del recurso natural; Programa N° 2.3. Estrategias regionales de conservación. Proyecto No 2.3.2. Negocios verdes.</t>
  </si>
  <si>
    <t>2.3.2.2.  Diseñar la Asistencia técnica que permita la consolidación, fortalecimiento  de los Negocios Verdes en el Atlántico</t>
  </si>
  <si>
    <t>2.3.2.3. Desarrollar Ferias para la promoción, divulgaciòn y realización de Negocios Verdes en el departamento del Atlántico.</t>
  </si>
  <si>
    <t>Negocios verdes consolidados</t>
  </si>
  <si>
    <t>Subdirección de Gestión Ambiental</t>
  </si>
  <si>
    <t>SUBDIRECCION GESTION AMBIENTAL</t>
  </si>
  <si>
    <t>Los 23 municipios del Dpto del Atlántico, incluido el distrito de Barranquilla</t>
  </si>
  <si>
    <t>4.3.1.1. Asesorar a los municipios del Dpto. en la inclusión del componente ambiental en los procesos de planificación y ordenamiento territorial, con énfasis en la incorporación de las determinantes ambientales</t>
  </si>
  <si>
    <t xml:space="preserve">Línea Estratégica N°. 4. Sostenibilidad sectorial, Programa N° 4.3. Territorios con planificación ambiental, Proyecto N° 4.3.1. Instrumentos de planificación. Actividad 4.3.1.1 </t>
  </si>
  <si>
    <t>Línea Estratégica N°. 4. Sostenibilidad sectorial, Programa N° 4.4. Prevención, control y monitoreo del aire y suelo, Proyecto N° 4.4.1. Aire. Actividad 4.4.1.1</t>
  </si>
  <si>
    <t>Línea Estratégica N°. 1. Sostenibilidad hídrica; Programa N° 2.3. 1.2. Caracterización, cuantificación y recuperación del recurso agua como articulador de los bienes y servicios ambientales. Proyecto No 1.2.2. Control y prevención de la contaminación del recurso hídrico. Actividad 1.2.2.1.
Línea Estratégica N°. 4. Sostenibilidad sectorial, Programa N° 4.4. Prevención, control y monitoreo del aire y suelo, Proyecto N° 4.4.1. Aire. Actividad 4.4.1.3.; Proyecto N° 4.4.4. Residuos y economía circular, Actividad 4.4.4.4
Línea Estratégica N°. 5. Sostenibilidad institucional; Programa N° 5.6. Sistemas de información ambiental. Proyecto 5.6.2. Sistemas de información ambiental (SIAC). Actividad 5.6.2.2</t>
  </si>
  <si>
    <r>
      <rPr>
        <b/>
        <sz val="10"/>
        <color theme="1"/>
        <rFont val="Calibri"/>
        <family val="2"/>
        <scheme val="minor"/>
      </rPr>
      <t>* SISAIRE</t>
    </r>
    <r>
      <rPr>
        <sz val="10"/>
        <color theme="1"/>
        <rFont val="Calibri"/>
        <family val="2"/>
        <scheme val="minor"/>
      </rPr>
      <t>: El SVCA consta de ocho estaciones, pero debido a fallos del sistema eléctrico se retiró la estación Luruaco, y sólo están instaladas siete estaciones, y la estación FONDO02 Bomberos, se encuentra instalada pero sufrió una avería por daño en la tarjeta electrónica y no reporta datos para el caso de SISAIRE.</t>
    </r>
  </si>
  <si>
    <t>3.1.1.1. Brindar asistencia técnica a los CIDEA municipales para apoyar la formulación del Plan Municipal de Educación Ambiental PMEA</t>
  </si>
  <si>
    <t>3.1.1.2. Apoyar dos acciones contempladas en los PMEA del CIDEA en cada uno de los 22 municipios</t>
  </si>
  <si>
    <t>3.1.1.3. Apoyar la realización de acciones coordinadas y aprobadas por el comité técnico del CIDEA Departamental.</t>
  </si>
  <si>
    <t>3.1.2.2. Impulsar la conformación y/o operatividad de Semilleros de Investigación, Grupos Ecológicos o Clubes de Ciencia y dinamizadores ambientales de los municipios del departamento.</t>
  </si>
  <si>
    <t>3.1.2.3. Establecer alianzas estratégicas con Instituciones de Educación Superior para apoyar la realización de acciones que promuevan la dimensión ambiental.</t>
  </si>
  <si>
    <t>3.1.2.4. (A)Promover la investigación en educación ambiental en el departamento en el marco de la política nacional de educación ambiental (PNEA).</t>
  </si>
  <si>
    <t>3.1.3.1. Brindar apoyo y acompañamiento a los PROCEDA como motivadores de cultura ambiental ciudadana y promotores de la gestión y la resolución de los conflictos socioambientales a nivel local.</t>
  </si>
  <si>
    <t>3.2.1.1. Brindar el servicio de talleres de educación en temas ambientales relacionados a: Conservación de la biodiversidad, servicios ecosistémicos, manejo y uso sostenible de los ecosistemas marino-costeros, gestión del cambio climático, contaminación de suelo, agua y aire, gestión integral de residuos y Economía Circular, contaminación con metales pesados (mercurio), salud ambiental (COTSA), normatividad ambiental.</t>
  </si>
  <si>
    <t>3.2.1.2. Implementar jornadas pedagógicas a través de las Aulas Ambientales itinerantes para promover una conciencia y cultura ambiental en las comunidades del departamento.</t>
  </si>
  <si>
    <t>3.2.2.1. (A) Apoyar las iniciativas de las ONG´s ambientalistas que coadyuve a gestión ambiental de la Corporación CRA en los municipios del Departamento.</t>
  </si>
  <si>
    <t>3.2.2.1. (B) Apoyar las iniciativas de las ONG´s ambientalistas que coadyuve a gestión ambiental de la Corporación CRA en los municipios del Departamento.</t>
  </si>
  <si>
    <t>3.2.2.2. Apoyo a proyectos productivos para la seguridad alimentaria de las comunidades de pescadores y agricultores del departamento.</t>
  </si>
  <si>
    <t>3.2.3.1. (A) Optimizar el servicio de divulgación de la información que genera la Corporación sobre las iniciativas en las temáticas de educación ambiental y participación y los temas ambientales en general.</t>
  </si>
  <si>
    <t>3.2.3.1.(B) Optimizar el servicio de divulgación de la información que genera la Corporación sobre las iniciativas en las temáticas de educación ambiental y participación y los temas ambientales en general.</t>
  </si>
  <si>
    <t>3.2.3.2. Desarrollar jornadas anuales, a nivel departamental, de recolección de residuos posconsumo peligrosos, especiales y RAEE (envases y bolsas de agroquímicos, medicamentos vencidos, baterías usadas plomo ácido, bombillas, pilas, computadores y llantas usadas).</t>
  </si>
  <si>
    <t>3.2.3.3. Promover la utilización de las TICs, a través de la implementación de proyectos virtuales de educación ambiental en busca de innovación, agilidad y cobertura en el acceso a la información y la construcción de conocimiento ambiental.</t>
  </si>
  <si>
    <t>3.2.3.4. (A) Promocionar escenarios de divulgación e intercambio de conocimientos e iniciativas innovadoras en el marco de la educación ambiental, a nivel regional, nacional e internacional.</t>
  </si>
  <si>
    <t>3.2.3.4. (B) Promocionar escenarios de divulgación e intercambio de conocimientos e iniciativas innovadoras en el marco de la educación ambiental, a nivel regional, nacional e internacional.</t>
  </si>
  <si>
    <t>3.2.4.1. Apoyar iniciativas con enfoque diferencial que incorporen la perspectiva de género asociados a la gestión ambiental de la Corporación CRA.</t>
  </si>
  <si>
    <t>3.3.1.1. Apoyar con enfoque diferencial de las iniciativas integrales de emprendimientos produtivos (plantas medicinales, frutales, huertas caseras, y piscicultura entre otras) o iniciativas de protección de la biodiversidad (reforestación, siembra de manglares entre otras)</t>
  </si>
  <si>
    <t>3.3.1.2. Implementación de acciones con enfoque diferencial para fortalecer los conocimientos, usos, costumbres, saberes y prácticas tradicionales ambientales de las comunidades indígenas y Rom del departamento.</t>
  </si>
  <si>
    <t>3.3.1.3. Implementación de acciones con enfoque diferencial para fortalecer los conocimientos, usos, costumbres, saberes y prácticas tradicionales ambientales de las comunidades negras, afrocolombianas, raizales y palenqueras NARP del departamento.</t>
  </si>
  <si>
    <t>Meta anual de avance (%) en la formulación de cada plan.</t>
  </si>
  <si>
    <t>NA</t>
  </si>
  <si>
    <t>Línea estratégica N°. 2. Sostenibilidad del recurso natural; Programa N° 2 1. Gestión de especies. Proyecto 2.1.2. Gestión de especies. Actividad 2.1.2.2</t>
  </si>
  <si>
    <r>
      <t xml:space="preserve">Línea Estratégica N°. 3. Sostenibilidad democrática, </t>
    </r>
    <r>
      <rPr>
        <b/>
        <sz val="10"/>
        <color theme="1"/>
        <rFont val="Calibri"/>
        <family val="2"/>
        <scheme val="minor"/>
      </rPr>
      <t>Programa N° 3.1.</t>
    </r>
    <r>
      <rPr>
        <sz val="10"/>
        <color theme="1"/>
        <rFont val="Calibri"/>
        <family val="2"/>
        <scheme val="minor"/>
      </rPr>
      <t xml:space="preserve"> La educación ambiental como proceso de transformación cultural para la sostenibilidad;</t>
    </r>
    <r>
      <rPr>
        <b/>
        <sz val="10"/>
        <color theme="1"/>
        <rFont val="Calibri"/>
        <family val="2"/>
        <scheme val="minor"/>
      </rPr>
      <t xml:space="preserve"> Programa N° 3.2</t>
    </r>
    <r>
      <rPr>
        <sz val="10"/>
        <color theme="1"/>
        <rFont val="Calibri"/>
        <family val="2"/>
        <scheme val="minor"/>
      </rPr>
      <t xml:space="preserve">. La participación social como fundamento de la gestión ambiental territorial; </t>
    </r>
    <r>
      <rPr>
        <b/>
        <sz val="10"/>
        <color theme="1"/>
        <rFont val="Calibri"/>
        <family val="2"/>
        <scheme val="minor"/>
      </rPr>
      <t>Programa N° 3.3</t>
    </r>
    <r>
      <rPr>
        <sz val="10"/>
        <color theme="1"/>
        <rFont val="Calibri"/>
        <family val="2"/>
        <scheme val="minor"/>
      </rPr>
      <t xml:space="preserve">. La diversidad etnocultural del departamento del atlántico como potencial estratégico para la sostenibilidad ambiental; </t>
    </r>
    <r>
      <rPr>
        <b/>
        <sz val="10"/>
        <color theme="1"/>
        <rFont val="Calibri"/>
        <family val="2"/>
        <scheme val="minor"/>
      </rPr>
      <t>Programa N° 3.4.</t>
    </r>
    <r>
      <rPr>
        <sz val="10"/>
        <color theme="1"/>
        <rFont val="Calibri"/>
        <family val="2"/>
        <scheme val="minor"/>
      </rPr>
      <t xml:space="preserve"> Participación para el seguimientos ods municipales del compenente ambiental</t>
    </r>
  </si>
  <si>
    <t>4.6.1.3. Promover asesorías para el conocimiento y reducción del riesgo de desastres e incorporación de la gestión del riesgo en el ordenamiento territorial de los municipios</t>
  </si>
  <si>
    <r>
      <rPr>
        <b/>
        <sz val="10"/>
        <color theme="1"/>
        <rFont val="Calibri"/>
        <family val="2"/>
        <scheme val="minor"/>
      </rPr>
      <t>Programa 4.6 - COMUNIDADES Y TERRITORIOS CON CONOCIMIENTO Y ADAPTACIÓN A LA GESTIÓN DEL RIESGO</t>
    </r>
    <r>
      <rPr>
        <sz val="10"/>
        <color theme="1"/>
        <rFont val="Calibri"/>
        <family val="2"/>
        <scheme val="minor"/>
      </rPr>
      <t xml:space="preserve">
</t>
    </r>
    <r>
      <rPr>
        <b/>
        <sz val="10"/>
        <color theme="1"/>
        <rFont val="Calibri"/>
        <family val="2"/>
        <scheme val="minor"/>
      </rPr>
      <t>Proyecto: 4.6.1:</t>
    </r>
    <r>
      <rPr>
        <sz val="10"/>
        <color theme="1"/>
        <rFont val="Calibri"/>
        <family val="2"/>
        <scheme val="minor"/>
      </rPr>
      <t xml:space="preserve"> Conocimiento y adaptación a la Gestión del Riesgo
</t>
    </r>
    <r>
      <rPr>
        <b/>
        <sz val="10"/>
        <color theme="1"/>
        <rFont val="Calibri"/>
        <family val="2"/>
        <scheme val="minor"/>
      </rPr>
      <t>A.E- 4.6.1.3</t>
    </r>
    <r>
      <rPr>
        <sz val="10"/>
        <color theme="1"/>
        <rFont val="Calibri"/>
        <family val="2"/>
        <scheme val="minor"/>
      </rPr>
      <t>. Promover asesorías para el conocimiento y reducción del riesgo de desastres e incorporación de la gestión del riesgo en el ordenamiento territorial de los municipios</t>
    </r>
  </si>
  <si>
    <t>2.1.1.1 Implementar el Plan de Acción Regional de Lucha contra la Desertificación y la Sequia que contribuya a la restauración de ecosistemas en zonas secas</t>
  </si>
  <si>
    <t>2.1.1.5 Implementar un programa de conservación de suelos y promoción de sistemas sostenibles de producción</t>
  </si>
  <si>
    <t>Número total de cuerpos de agua con reglamentación del uso de las aguas a 31/12/2021:</t>
  </si>
  <si>
    <t>Línea estratégica N°. 2. Sostenibilidad del recurso natural; Programa N° 2.3. Estrategias regionales de conservación. Proyecto 2.3.1. Áreas protegidas
Acciones Estrategicas: 2.3.1.2 - 2.3.1.6 - 2.3.1.7 - 2.3.1.8- 2.3.1.9 - 2.3.1.10</t>
  </si>
  <si>
    <t>2.3.1.6. Formular y ejecutar Programas de asistencia técnica para la implementación de estrategias educativo ambientales y de participación encaminadas a la conservación de las áreas protegidas declaradas en el departamento del Atlántico.</t>
  </si>
  <si>
    <t>2.3.1.2. Establecer acciones para promover la conservación efectiva y el cumplimiento del plan de manejo de las áreas protegidas declaradas.</t>
  </si>
  <si>
    <t>Continental y Marina</t>
  </si>
  <si>
    <t>Flora y Fauna</t>
  </si>
  <si>
    <t>Se programó la meta para avance en la vigencia 2022 y cumplimiento en la vigencia 2023, mediante el Programa 2.3 - Proyecto 2.3.1 - Acción Estrategica 2.3.1.3</t>
  </si>
  <si>
    <r>
      <t xml:space="preserve">Línea estratégica N°. 2. Sostenibilidad del recurso natural
</t>
    </r>
    <r>
      <rPr>
        <b/>
        <sz val="10"/>
        <color theme="1"/>
        <rFont val="Calibri"/>
        <family val="2"/>
        <scheme val="minor"/>
      </rPr>
      <t xml:space="preserve">Programa N° 2 2.. Biodiversidad y Riqueza de los Ecosistemas Marino Costeros. </t>
    </r>
    <r>
      <rPr>
        <sz val="10"/>
        <color theme="1"/>
        <rFont val="Calibri"/>
        <family val="2"/>
        <scheme val="minor"/>
      </rPr>
      <t xml:space="preserve">
Proyecto 2.2.1 Ordenamiento Ambiental de la Unidad Costera
Proyecto 2.2.3. Conservación de ecosistemas Marinos y Costeros</t>
    </r>
  </si>
  <si>
    <r>
      <t xml:space="preserve">Seis (6) Acciones Estrategicas para el cuatrienio: </t>
    </r>
    <r>
      <rPr>
        <b/>
        <sz val="10"/>
        <color theme="1"/>
        <rFont val="Calibri"/>
        <family val="2"/>
        <scheme val="minor"/>
      </rPr>
      <t>2.2.1.1-2.2.1.2-2.2.2.1-2.2.3.1-.2.2.3.2</t>
    </r>
  </si>
  <si>
    <r>
      <t xml:space="preserve">Según la priorización de las 6 especies invasoras reportada de acuerdo  a Resolución No. 0346 del 24 de Marzo 2022, la corporación determinó realizar medidas de prevención, control y manejo a 2 de ellas, para lo cual se realizó en su totalidad a estas 2, cumpliendo 100% a la meta establecida en el PAI 2020-2023.
</t>
    </r>
    <r>
      <rPr>
        <sz val="8"/>
        <color theme="1"/>
        <rFont val="Calibri"/>
        <family val="2"/>
        <scheme val="minor"/>
      </rPr>
      <t xml:space="preserve">Estas 6 especies son: 
</t>
    </r>
    <r>
      <rPr>
        <b/>
        <sz val="8"/>
        <color rgb="FFC00000"/>
        <rFont val="Calibri"/>
        <family val="2"/>
        <scheme val="minor"/>
      </rPr>
      <t>Flora continental:</t>
    </r>
    <r>
      <rPr>
        <sz val="8"/>
        <color theme="1"/>
        <rFont val="Calibri"/>
        <family val="2"/>
        <scheme val="minor"/>
      </rPr>
      <t xml:space="preserve">
• Buchon (Eichornia crassipes)
</t>
    </r>
    <r>
      <rPr>
        <b/>
        <sz val="8"/>
        <color rgb="FFC00000"/>
        <rFont val="Calibri"/>
        <family val="2"/>
        <scheme val="minor"/>
      </rPr>
      <t>Fauna continental:</t>
    </r>
    <r>
      <rPr>
        <sz val="8"/>
        <color theme="1"/>
        <rFont val="Calibri"/>
        <family val="2"/>
        <scheme val="minor"/>
      </rPr>
      <t xml:space="preserve">
• Caracol Gigante Africano (Achatina áulica); 
• Rana Coqui (Eleutherodactylus coquí),
</t>
    </r>
    <r>
      <rPr>
        <b/>
        <sz val="8"/>
        <color rgb="FFC00000"/>
        <rFont val="Calibri"/>
        <family val="2"/>
        <scheme val="minor"/>
      </rPr>
      <t>Fauna Marina:</t>
    </r>
    <r>
      <rPr>
        <sz val="8"/>
        <color theme="1"/>
        <rFont val="Calibri"/>
        <family val="2"/>
        <scheme val="minor"/>
      </rPr>
      <t xml:space="preserve">
• Camarón de Asia (Penaeus monodon);
• Tilapia negra (Oreochromis mossaambicus);
• Pez Leon (Pterois volitans) </t>
    </r>
    <r>
      <rPr>
        <sz val="10"/>
        <color theme="1"/>
        <rFont val="Calibri"/>
        <family val="2"/>
        <scheme val="minor"/>
      </rPr>
      <t xml:space="preserve">
</t>
    </r>
  </si>
  <si>
    <r>
      <rPr>
        <sz val="8"/>
        <color theme="1"/>
        <rFont val="Calibri"/>
        <family val="2"/>
        <scheme val="minor"/>
      </rPr>
      <t xml:space="preserve"> Según la priorización de las especies amenazadas en la jurisdicción, reportada de acuerdo  a Resolución No. 0346 del 24 de Marzo 2022 se tiene: 
</t>
    </r>
    <r>
      <rPr>
        <b/>
        <sz val="8"/>
        <color rgb="FFC00000"/>
        <rFont val="Calibri"/>
        <family val="2"/>
        <scheme val="minor"/>
      </rPr>
      <t>Fauna Continental</t>
    </r>
    <r>
      <rPr>
        <sz val="8"/>
        <color theme="1"/>
        <rFont val="Calibri"/>
        <family val="2"/>
        <scheme val="minor"/>
      </rPr>
      <t xml:space="preserve">
• Oso hormiguero  (Myrmecophaga tridactyla)
• Mono nocturno (Aotus griseimembra)
• Chavarrí (Chauna chavaria)
• Colibrí ventrizafiro (Chrysuronia lilliae)
• Garza rojiza (Egretta rufescens)  
• Chamón caribeño (Molothrus aeneus)  
• Morrocoy (Chelonoidis carbonarius)
• Reinita celulea (Setophaga cerúlea)
</t>
    </r>
    <r>
      <rPr>
        <b/>
        <sz val="8"/>
        <color rgb="FFC00000"/>
        <rFont val="Calibri"/>
        <family val="2"/>
        <scheme val="minor"/>
      </rPr>
      <t xml:space="preserve"> Fauna Marina</t>
    </r>
    <r>
      <rPr>
        <sz val="8"/>
        <color theme="1"/>
        <rFont val="Calibri"/>
        <family val="2"/>
        <scheme val="minor"/>
      </rPr>
      <t xml:space="preserve">
• Cocodrilo americano (Crocodylus acutus)
• Tortuga del río Magdalena (Podocnemis lewyana)
</t>
    </r>
    <r>
      <rPr>
        <b/>
        <sz val="8"/>
        <color rgb="FFC00000"/>
        <rFont val="Calibri"/>
        <family val="2"/>
        <scheme val="minor"/>
      </rPr>
      <t>Flora Continental</t>
    </r>
    <r>
      <rPr>
        <sz val="8"/>
        <color theme="1"/>
        <rFont val="Calibri"/>
        <family val="2"/>
        <scheme val="minor"/>
      </rPr>
      <t xml:space="preserve">
• Carreto (Aspidosperma  polyneuron)  
• Ceiba roja (Pachira quinata) 
• Cedro (Cedrela odorata) 
• Guayacan (Bulnesia arborea)
• Guayacan de cartagena (Guaiacum officinale)</t>
    </r>
    <r>
      <rPr>
        <sz val="10"/>
        <color theme="1"/>
        <rFont val="Calibri"/>
        <family val="2"/>
        <scheme val="minor"/>
      </rPr>
      <t xml:space="preserve">
</t>
    </r>
  </si>
  <si>
    <t>Superficie cubierta en el Plan de Ordenación Forestal adoptado a Resolución No.859 del 2018 de la C.R.A</t>
  </si>
  <si>
    <t>1.3.1.1. Identificar y caracterizar la Vulnerabilidad de los ecosistemas claves para la regulación Hídrica e inventariar los riesgos sobre infraestructuras de abastecimiento de agua.</t>
  </si>
  <si>
    <t>1.3.1.2. Diseñar e Implementar medidas de adaptación a los efectos del cambio climático asociados al recurso Hídrico (Reconformación de taludes y/o diques de protección)</t>
  </si>
  <si>
    <t>No hay meta programada para la presente vigencia en estas acciones estrategicas</t>
  </si>
  <si>
    <t>3.1.2.4. (B) Promover la investigación en educación ambiental en el departamento en el marco de la política nacional de educación ambiental (PNEA).</t>
  </si>
  <si>
    <t>3.1.4.1. Posicionar el tema de la prevención y gestión del riesgo del desastre desde una visión educativa integradora en los Consejos Municipales de Gestión del Riesgo-CMGR de los municipios del Atlántico</t>
  </si>
  <si>
    <r>
      <t xml:space="preserve">3.1.2.1. Brindar </t>
    </r>
    <r>
      <rPr>
        <sz val="9"/>
        <rFont val="Calibri"/>
        <family val="2"/>
        <scheme val="minor"/>
      </rPr>
      <t>asistencia</t>
    </r>
    <r>
      <rPr>
        <sz val="9"/>
        <color rgb="FF000000"/>
        <rFont val="Calibri"/>
        <family val="2"/>
        <scheme val="minor"/>
      </rPr>
      <t xml:space="preserve"> técnica a los Proyectos Ambientales Escolares (PRAE) y apoyar acciones para su implementación.</t>
    </r>
  </si>
  <si>
    <t>No tiene meta definida para la vigencia, por lo tanto no se incluye en el cálculo</t>
  </si>
  <si>
    <t>Resolución 72 del 27 Enero de 2017</t>
  </si>
  <si>
    <t>Plan de Manejo de Acufiero de Sabanalarga - Tubará</t>
  </si>
  <si>
    <t>El POMCA aprobado corresponde a Cuenca Mallorquín el cual fue adoptado en el año 2017</t>
  </si>
  <si>
    <t>Línea Estratégica N°. 4. Sostenibilidad sectorial, Programa N° Instrumenos económicos y de control ambiental. ACCIÓN ESTRATÉGICA No. 4.5.1.1. Promover la eficiencia en la evaluación, seguimiento y control de trámites ambientales</t>
  </si>
  <si>
    <t>Línea Estratégica N°. 4. Sostenibilidad sectorial, Programa N° Instrumenos económicos y de control ambiental. ACCIÓN ESTRATÉGICA No. 4.5.1.2. Atender oportuna y eficazmente las quejas ambientales y procesos sancionatorios</t>
  </si>
  <si>
    <t>1.1.1.4. Hacer seguimiento al Plan de Ordenación y Manejo de Cuencas Hidrográficas del Complejo de Humedades del Río Magdalena.</t>
  </si>
  <si>
    <t>1.1.1.5. Hacer seguimiento al Plan de Ordenación y Manejo de Cuencas Hidrográficas del Canal del Dique</t>
  </si>
  <si>
    <t>1.1.1.3. Hacer seguimiento al Plan de Ordenación y Manejo de Cuencas Hidrográficas de la Ciénaga de Mallorquín y los Arroyos Grande y León.</t>
  </si>
  <si>
    <t>Mediante acuerdo de consejo directivo de agosto de 2022 (Acuerdo No. 11) se ajustaron las acciones estrategicas 1.1.1.3 - 1.1.1.4 - 1.1.1.5- 1.1.2.2</t>
  </si>
  <si>
    <t>Restauración</t>
  </si>
  <si>
    <t>Fauna</t>
  </si>
  <si>
    <t>2.2.1.2. Adelantar e implementar acciones encaminadas a impulsar el ecoturismo sostenible en zonas de la franja costera del departamento del Atlántico.</t>
  </si>
  <si>
    <t xml:space="preserve">2.2.2.1. Definir e implementar acciones para controlar y mitigar el estado de la Erosión Costera en el Departamento del Atlántico.       </t>
  </si>
  <si>
    <t>Estrategia de manejo sostenible</t>
  </si>
  <si>
    <t>Acciones para mitigar y controlar el estado de erosión costera</t>
  </si>
  <si>
    <t>Es importante mencionar que, la CRA tiene jurisdicción en el área rural del distrito de Barranquilla; sin embargo, el PGIRS del distrito en su mayoría va dirigido al área urbana del mismo, razón por la cual el seguimiento ambiental del instrumento es realizado por EPA Barranquilla Verde. En consecuencia, se aprobó en consejo directivo mediante el Acuerdo No.11 de 2022 la modificación de este indicador de 23 a 22.</t>
  </si>
  <si>
    <t>La cuenca se encuentra en jurisdicción de CRA, CARDIQUE Y CARSUCRE, la extensión total es de 441.010,7742 ha; la extension en jurisdicción de la CRA es de 113.756,6186 ha. Si bien, no se llego al proceso de adopción del POMCA,  se adelantaron reuniones con aquellas comunidades con las que no se ha realizado consulta previa para conocer sus propuestas frente a la zonificación proyectada.</t>
  </si>
  <si>
    <t xml:space="preserve">Canal del Dique
Rio Magdalena
Mallorquín
Mar Caribe </t>
  </si>
  <si>
    <t xml:space="preserve">Canal del Dique
Rio Magdalena
</t>
  </si>
  <si>
    <t xml:space="preserve">Mallorquín
</t>
  </si>
  <si>
    <t>Canal del Dique
Rio Magdalena</t>
  </si>
  <si>
    <t>PMA Sabanalarga - Tubará</t>
  </si>
  <si>
    <t xml:space="preserve">En el marco del contrato, se recopiló información a través de un trabajo en campo que permitió construir un documento que contiene los pasos y/o procesos para llevar a cabo el cumplimiento de la FASE I, teniendo en cuenta los procedimientos y criterios básicos que se plantean en la Resolución 1125 del 2015.  La finalidad de esta fase es que, a partir de las iniciativas y prioridades de conservación, se identifique el área para iniciar un proceso de declaratoria o ampliación. En esta fase, se realizan los primeros acercamientos con los actores estratégicos relacionados con el área (comunidades, instituciones, empresas, organizaciones sociales o entes territoriales, entre otros). para el caso particular, esta fase se aplicó para la zona potencial de conservación denominada CERRO LA VIEJA ubicada en el municipio Piojó Atlántico. </t>
  </si>
  <si>
    <t>Oficina Asesora de Planeación - Subdirección Financiera</t>
  </si>
  <si>
    <t>gescaf@crautonoma.gov.co -  tpimienta@crautonoma.gov.co</t>
  </si>
  <si>
    <t xml:space="preserve">Jefe Oficina Asesora de Planeación - Subdirector Financiero </t>
  </si>
  <si>
    <t>Estado de avance a 31 de diciembre de 2023(%)</t>
  </si>
  <si>
    <t>Estado de avance a 31 de diciembre de 2023(c)</t>
  </si>
  <si>
    <t xml:space="preserve">Oficina Asesora de Planeación </t>
  </si>
  <si>
    <t xml:space="preserve">Jefe Oficina Asesora de Planeación </t>
  </si>
  <si>
    <t>OFICINA ASESORA DE PLANEACION</t>
  </si>
  <si>
    <t xml:space="preserve">Si bien es cierto que el POMCA Río Magdalena no se encuentra adoptado bajo el marco normativo del Decreto 1076 de 2015, al respecto, es preciso mencionar que se ha avanzado en el proceso de adopción del POMCA Río Magdalena, de tal forma que durante el primer semestre se logró la concertación del documento de formulación del instrumento, con el Consejo de Cuenca en reunión celebrada el día 12 de abril de 2023. 
A la fecha del presente informe, el documento de formulación del POMCA se encuentra en edición, así mismo se encuentran adelantándose las gestiones para la publicación en el Diario Oficial del Aviso que informa a la comunidad la culminación del proceso de formulación del instrumento, por lo que se espera adoptar finalizando la vigencia 2023. 
</t>
  </si>
  <si>
    <t xml:space="preserve">Al cierre de la vigencia 2023,  se avanzó en la adopción de este instrumento bajo el marco normativo del Decreto 1076 de 2015, teniendo en cuenta, que no se han culmidado la totalidad de las consultas previas con las comunidades objeto de las mismas, asentadas en la respectiva cuenca; sin embargo, esta Corporación adelantó reunión el día 31 de marzo de 2023, en las instalaciones de la C.R.A., con el Fondo de Adaptación para conocer avances en la ejecución del Convenio 012 del 2014, suscrito para adelantar el proceso de formulación y adopción de los ajustes al POMCA CANAL DE DIQUE.  
No obsante, se ha dificultado avanzar en el proceso de adopción ya que no ha sido posible concertar reuniones con las comunidades pendientes de consulta previa pese a que se han intentado los acercamientos. 
</t>
  </si>
  <si>
    <t>Al cierre de la vigencia 2023, se da cumplimiento a la meta dado que se encuentran conformados  3 Consejos de Cuenca en actividad, representado en las acciones detalladas en adelante.
Como mecanismo de participación efectiva de los usuarios en la Planeación, Administración, Vigilancia y Monitoreo del recurso Hídrico se encuentran conformados tres (3) Consejos de Cuencas:
­	Ciénaga de Mallorquín y los arroyos Grande y León
­	Complejo de humedales de la vertiente occidental del Río Magdalena en el departamento del Atlántico. 
­	Canal del Dique</t>
  </si>
  <si>
    <t>Con las actividades desarrolladas para asesorar a los municipios del departamento del Atlántico en lo que corresponde a la incorporación del componente de gestión de riesgos a sus instrumentos de planificación, podemos indicar que al 31 de diciembre de 2023 la meta presenta se cumplió en el 100% de municipios asesorados.</t>
  </si>
  <si>
    <t xml:space="preserve">A corte 31 de Diciembre de 2023, fueron asesorados los 23 municipios de la jurisdicción de esta Corporación, incluyendo al Distrito de Barranquilla, en la inclusión del componente ambiental en los procesos de planificación y ordenamiento territorial, con énfasis en gestión del riesgo y adaptación al cambio climático. Estas asistencias se llevaron a cabo de manera presencial y organizando a los municipios teniendo en cuenta la cercanía entre ellos. Se contó con la participación de miembros de los concejos municipales de algunos entes territorial y de algunos miembros de los consejos de ordenamiento territorial municipales, quienes manifestaron su interés en hacer parte de estas jornadas.
</t>
  </si>
  <si>
    <t xml:space="preserve">Para garantizar el cumplimiento de la meta, la C.R.A suscribió el Convenio  No. 009 de 2023 con la Alianza Pública para el Desarrollo Integral – ALDESARROLLO cuyo Objeto es :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
En cumplimiento del programa de lucha contra la desertificación se seleccionó el Municipio de Sabanalarga como localización del proyecto para la restauración de 40 Ha, actividad que se encuentra en la ejecución de la construcción del método para la restauración ecológica de las hectáreas mencionadas.
</t>
  </si>
  <si>
    <t>La Corporación Autónoma Regional del Atlántico suscribió el Convenio No. 001 de 2023 con la Corporación Universidad Americana cuyo objeto es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t>
  </si>
  <si>
    <t xml:space="preserve">La Corporación Autónoma Regional del Atlántico suscribió el Convenio No. 001 de 2023 con la Corporación Universidad Americana, cuyo objeto es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Dentro de las actividades planteadas en el proyecto se encuentran la de establecer acciones para promover la conservación efectiva y el cumplimiento de las áreas protegidas declaradas, para ello, con el ánimo de promover la conservación de los recursos naturales se realizan acciones establecidas en los planes de manejo de las áreas de:
-Reserva Forestal Protectora El Palomar ubicada en el municipio de Piojó.
-Distrito Regional de Manejo Integrado DRMI Palmar del Titi, ubicada ente los municipios de Luruaco y Piojó.
</t>
  </si>
  <si>
    <t>Línea estratégica N°. 2. Sostenibilidad del recurso natural; Programa N° 2 1. Gestión de especies. Proyecto 2.1.2. Gestión de especies. Actividad 2.1.2.3 - 2.1.2.5.</t>
  </si>
  <si>
    <t xml:space="preserve">Las acciones desarrolladas se ejecutaron en el marco del Convenio No. 001 del 2023 con la Corporación Universidad Americana, cuyo Objeto es el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Se han realizado talleres dirigidos a la comunidad de los municipios de Santo Tomás, Ponedera y Palmar de Valera, en los cuales han participado 210 personas. A través de mesas de trabajo se escogieron las 6 especies, teniendo en cuenta su grado de amenaza y la manera como culturalmente son utilizadas por las comunidades atentando con la supervivencia de las mismas.
Selección de Especies Amenazadas para Cartilla
1. Caimán Aguja (Crododylus acutus)
2. Hicotea (Trachemys callirostris)
3. Titi Cabeciblanco (Saguinus oedipus)
4. Cedro (Cedrela odorata)
5.  Manatí ( Trichechus manatus)
6. Chavarrí (Chauna chavaria)
</t>
  </si>
  <si>
    <t>Flora</t>
  </si>
  <si>
    <t>La Corporación Autónoma Regional del Atlántico suscribió el Convenio No. 011 del 2023 con la Fundación para la Investigación y el Desarrollo de Colombia – FINDECO, cuyo Objeto es el “DESARROLLO CONJUNTO DE ESTRATEGIAS PEDAGÓGICAS, A TRAVÉS DE TALLERES PEDAGÓGICOS PRÁCTICOS, A FIN DE FORTALECER A LOS ACTORES DE LA UNIDAD AMBIENTAL COSTERA, SOBRE EL MANEJO SOSTENIBLE DE LA ZONA COSTERA, PROTECCIÓN DE LAS ZONAS ABASTECEDORAS DEL RECURSO HÍDRICO Y ECOTURISMO SOSTENIBLE”.</t>
  </si>
  <si>
    <t xml:space="preserve">La Corporación Autónoma Regional suscribió el Convenio No. 001 de 2023 con la Corporación Universidad Americana  cuyo objeto es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
Dentro de las actividades planteadas se encuentra la implementación proyectos de restauración y conectividad del Bosque Seco enmarcadas en el SIRAP, SIDAP, SILAP en el Atlántico.
Dando continuidad a los procesos de apoyo comunitario, en los procesos de conservación de bosques secos en ecosistemas estratégicos se realizó una reunión con la comunidad de Punta Polonia en el municipio de Manatí, con la cual fueron identificadas 56 hectáreas de bosque seco con el objetivo de iniciar un proceso de restauración. 
</t>
  </si>
  <si>
    <t xml:space="preserve">Se da cumplimiento a la meta de 2 Playas con estrategia de manejo sostenible a través del Convenio No. 011 del 2023, celebrado con la Fundación para la Investigación y el Desarrollo de Colombia – FINDECO cuyo Objeto es “DESARROLLO CONJUNTO DE ESTRATEGIAS PEDAGÓGICAS, A TRAVÉS DE TALLERES PEDAGÓGICOS PRÁCTICOS, A FIN DE FORTALECER A LOS ACTORES DE LA UNIDAD AMBIENTAL COSTERA, SOBRE EL MANEJO SOSTENIBLE DE LA ZONA COSTERA, PROTECCIÓN DE LAS ZONAS ABASTECEDORAS DEL RECURSO HÍDRICO Y ECOTURISMO SOSTENIBLE”.
Corredor de Playa No 1: Puerto Colombia (3 playas)
Corredor de Playa No 2: Tubará y Juan de Acosta
</t>
  </si>
  <si>
    <t xml:space="preserve">Para el cumplimiento de la meta, se desarrollaron acciones a través del Convenio No. 008 de 2023 con el Instituto de Investigaciones Marinas y Costeras Jose Benito Vives de Andreis – INVEMAR cuyo  Objeto es “AUNAR ESFUERZOS TÉCNICOS, ADMINISTRATIVOS Y FINANCIEROS PARA REALIZAR EL MONITOREO DE CALIDAD DE AGUAS MARINAS Y COSTERAS EN EL MARCO DE LA REDCAM, DIAGNÓSTICO DEL ECOSISTEMA DE PASTOS MARINOS EN PUERTO VELERO Y SEGUIMIENTO A LA EROSIÓN COSTERA EN LA CIÉNAGA DE MALLORQUÍN”.
En el marco del convenio, las actividades desarrolladas dentro del mismo enmarcan la generación del estado del arte que se encuentran orientadas a recopilar, analizar y sintetizar información de las investigaciones sobre la erosión costera en la Ciénaga de Mallorquín. 
</t>
  </si>
  <si>
    <t>No cuenta con meta programada para la vigencia 2023.</t>
  </si>
  <si>
    <t>Número total de Planes de Gestión Integral de Residuos Sólidos (PGIRS) priorizados por la Corporación para hacer seguimiento, exclusivamente en lo relacionado con las metas de aprovechamiento, en el cuatrienio.</t>
  </si>
  <si>
    <t>Se da cumplimiento a la meta programada para la presente vigencia con la ejecución el contrato No. 292 de 2023 cuyo objeto es: “REALIZAR LAS ACCIONES PARA GARANTIZAR LA SOSTENIBILIDAD HÍDRICA Y AMBIENTAL DE LA CIÉNAGA DE MALLORQUÍN Y LA RECUPERACIÓN DE LA HIDRODINÁMICA DEL ARROYO LEÓN EN EL DEPARTAMENTO DEL ATLÁNTICO”. Lo anterior, con la finalidad de realizar acciones que mitiguen la erosión costera en el departamento del Atlántico y recuperen la hidrodinámica del arroyo León garantizando la sostenibilidad ambiental de la ciénaga de Mallorquín, obras que permitirán fortalecer el ordenamiento territorial y la resiliencia ecosistémica encaminada a minimizar los efectos del cambio climático</t>
  </si>
  <si>
    <t>La Corporación Autónoma Regional del Atlántico a traves del Contrato No. 440 del 2019, se encuentra ejecutando dos proyectos de implmentación de PTARs para beneficiar a los Municipios de Sabanagrande y Palmar de Varela en el Departamento del Atlántico.
Con el adicional No. 3 al contrato No. 440 del 2019 cuyo objeto es: “CONSTRUCCIÓN PLANTA DE TRATAMIENTO DE AGUAS RESIDUALES PARA LOS MUNICIPIOS DE SANTOTOMÁS, SABANAGRANDE Y PALMAR DE VARELA, UBICADA E SANTO TOMÁS – DEPARTAMENTO DEL ATLÁNTICO” se da cumplimiento a la meta de municipios con apoyo en la implementación de las PTARS.</t>
  </si>
  <si>
    <t xml:space="preserve">
Durante esta vigencia se construyeron 350 Metros lineales .
Con la suscripción del Adicional No. 04 del Contrato de Obra No. 0367 de 2014, se materializó la construcción de 350 m del Afluente No. 02 (Arroyo Coolechera), el cual tributa sus aguas hacia el Arroyo El Salao, de igual manera se llevó a cabo la construcción de los 80 m finales del Arroyo Villegas, actividades que contribuyen a mejorar la calidad de vidad de las comunidades que colindan con estos canales de aguas pluviales, cumpliendo con la meta programada para la vigencia 2023.
</t>
  </si>
  <si>
    <t xml:space="preserve">De acuerdo con lo establecido en el Contrato de Obra No. 367 del 2014, se debe entregar un informe mensual de avance de ejecución física de la obra, por parte del contratista y de la interventoría. 
A corte de la vigencia 2023, las obras de canalización del Arroyo El Salao se encuentran finalizadas. Desde que se inició el proyecto en el año 2014, se han entregado 90 informes mensuales de avance de las obras de recuperación paisajística y ambiental del arroyo El Salao, los cuales han servido de insumo para la elaboración del respectivo de informe de supervisión. A la fecha se están adelantando actividades de monitoreo del proyecto.
Teniendo en cuenta lo anterior, se da cumplimiento a la meta programada para la vigencia 2023.
</t>
  </si>
  <si>
    <t>La Corporación solicitó informe técnico de seguimiento a las obras de canalización de los arroyos del Distrito de Barranquilla, establecidas en el marco del Convenio No. 031 de 2016 entre la Corporación Autónoma Regional del Atlántico y la Alcaldía Distrital de Barranquilla a través de oficio No. 4285 de 09 de agosto de 2023. De igual manera la Agencia Distrital de infraestructura – ADI presentó informe de ejecución de obras ante esta Corporación el día 11 de septiembre de 2023 a través de radicado No. 202314000088022.</t>
  </si>
  <si>
    <t xml:space="preserve">La Corporación Autónoma Regional del Atlántico – C.R.A, a través de la Escuela de Liderazgo Regional Ambiental, en alianza con la Corporación Univesidad Reformada – CUR, viene ejecutando el convenio de asociación No.004 del 2023 cuyo objeto es: “AUNAR ESFUERZOS PARA EL DESARROLLO CONJUNTO DE UN PROGRAMA DE FORMACIÓN CIUDADANA, A TRAVÉS DE ACTORES COMUNITARIOS A DOTAR CON CAPACIDAD TÉCNICA PARA ORIENTAR LOS PROCESOS PARTICIPATIVOS EN TERRITORIOS”, por medio del cual desarrollamos entre otras actividades, un proceso de capacitación teórico práctica con jóvenes de diferentes municipios del departamento del Atlántico, quienes se formaron como Gestores Ambientales Urbanos - GAU en el Departamento”. Con estas acciones se dio cumplimiento al 100% de la meta programada. </t>
  </si>
  <si>
    <t xml:space="preserve">Para la presente vigencia 2023,  a través del Convenio No. 009 del 2023 cuyo Objeto es: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
En ejecución de esta actividad se vinculó a la firma CONTROL DE LA CONTAMINACIÓN LTDA, para la elaboración del mapa de ruido Diurno y Nocturno actualizado en el Municipio de Baranoa. 
Se realizaron visita de campo con la finalidad de identificar los puntos de interés y mayor generación de ruido (Plaza principal, Bares, sector comercial). Se hizo entrega del informe preliminar “PLAN PARA LA ACTUALIZACIÓN DEL MAPA DE RUIDO DIURNO Y NOCTURNO EN EL MUNICIPIO DE BARANOA, PRIORIZADO DEL DEPARTAMENTO DEL ATLÁNTICO”. Se seleccionaron de cincuenta (50) a sesenta (60) puntos de interés para medición de ruido, que serán aforados para la generación del mapa de ruido del Municipio y posterior Plan de Descontaminación de Ruido.
</t>
  </si>
  <si>
    <t>A corte 31 de diciembre de 2023, fueron asesorados los 23 municipios de la jurisdicción de esta Corporación, incluyendo al Distrito de Barranquilla, en la inclusión del componente ambiental en los procesos de planificación y ordenamiento territorial, con énfasis en la incorporación de las determinantes ambientales. Estas asistencias se llevaron a cabo de manera presencial, organizando a los entes territoriales por la cercanía entre ellos y/o por cuenca. En estas jornadas también se contó con la participación de los consejos de ordenamiento territorial y miembros de concejos municipales.
En el desarrollo de las jornadas, se contó con la activa participación de los representantes de los municipios, quienes manifestaron el estado de los procesos de actualización y/o ajuste de sus instrumentos de planificación territorial, las dificultades que presentaron durante el proceso, así como sus inquietudes relacionadas con la inclusión del componente ambiental en los mismos.</t>
  </si>
  <si>
    <t>Oficina Asesora de Planeación</t>
  </si>
  <si>
    <t>Jefe Oficina Asesora de Planeación</t>
  </si>
  <si>
    <t>No cuenta con meta para la vigencia 2023</t>
  </si>
  <si>
    <t>Con las acciones apoyadas y ejecutadas propuestas en los PMEA de los CIDEA municipales, se da cumplimiento a la meta programada para la vigencia 2023 con la ejecución del contrato No.183 del 2023. cuyo objeto es: PRESTAR LOS SERVICIOS DE UN PROFESIONAL EN LA OFICINA ASESORA DE PLANEACION PARA LA ASESORÍA Y APOYO EN LOS PROCESOS DE EDUCACIÓN AMBIENTAL, ESPECIALMENTE EN LOS COMITÉS TÉCNICOS INTERINSTITUCIONALES DE EDUCACIÓN AMBIENTAL DEPARTAMENTAL Y MUNICIPALES.</t>
  </si>
  <si>
    <t xml:space="preserve">
Con el desarrollo de las acciones ejecutadas en el marco del convenio de asociación No. 0006 del 2023, cuyo objeto es: AUNAR ESFUERZOS PARA FORTALECER LA GESTIÓN AMBIENTAL MEDIANTE EL APOYO AL PROGRAMA DE EDUCACIÓN AMBIENTAL, DENTRO DE LA EDUCACIÓN FORMAL DEL DEPARTAMENTO DEL ATLÁNTICO Y EL APOYO AL CIDEA DEPARTAMENTAL, se da cumplimiento a la meta programada en la presente vigencia.
En el marco del Apoyo a las acciones realizadas por el CIDEA departamental para la construcción de la política departamental de Educación Ambiental, el CIDEA, asesorado por Minambiente, sostuvo reuniones técnicas en las que participaron, la Secretaría de Educación Departamental y la UniAtlántico, finalizando con la construcción de la Política Departamental de Educación Ambiental, la cual será presentada ante la Asamblea departamental del Atlántico en el mes de noviembre del 2023; una vez aprobada dicha política, la C.R.A., apoyará con la impresión de la publicación que apruebe el comité, relacionada con la gestión de la educación ambiental a nivel departamental. 
</t>
  </si>
  <si>
    <t>A través del convenio de asociación No. 0006 del 2023, cuyo objeto es: AUNAR ESFUERZOS PARA FORTALECER LA GESTIÓN AMBIENTAL MEDIANTE EL APOYO AL PROGRAMA DE EDUCACIÓN AMBIENTAL, DENTRO DE LA EDUCACIÓN FORMAL DEL DEPARTAMENTO DEL ATLÁNTICO Y EL APOYO AL CIDEA DEPARTAMENTAL, la Corporación Autónoma Regional del Atlántico dio cumplimiento al 100% de la meta de asistir técnicamente a 18 PRAE durante la presente vigencia. 
El proceso de selección de los PRAE se llevó a cabo de manera rigurosa y transparente, evaluando los programas presentados por las instituciones educativas oficiales en base a criterios predefinidos y de acuerdo con las actividades desarrolladas en cada una de ellas. 
Los PRAE apoyados corresponden a las instituciones educativas oficiales .</t>
  </si>
  <si>
    <t>En el marco del convenio de asociación No. 0006 del 2023, cuyo objeto es: AUNAR ESFUERZOS PARA FORTALECER LA GESTIÓN AMBIENTAL MEDIANTE EL APOYO AL PROGRAMA DE EDUCACIÓN AMBIENTAL, DENTRO DE LA EDUCACIÓN FORMAL DEL DEPARTAMENTO DEL ATLÁNTICO Y EL APOYO AL CIDEA DEPARTAMENTAL, la Corporación Autónoma Regional del Atlántico fortaleció dieciocho (18) Semilleros de Investigación, Grupos Ecológicos o Clubes de Ciencia y dinamizadores ambientales en los municipios del Departamento dando cumplimiento a la meta de la vigencia 2023.</t>
  </si>
  <si>
    <t xml:space="preserve">Para promover la dimensión ambiental, se estableció alianza con la Fundacion Alianza Tecnologica y Desarrollo Educativo - ALITIC a través del convenio de asociación No. 0006 del 2023, que tiene por objeto: “AUNAR ESFUERZOS PARA FORTALECER LA GESTIÓN AMBIENTAL MEDIANTE EL APOYO AL PROGRAMA DE EDUCACIÓN AMBIENTAL, DENTRO DE LA EDUCACIÓN FORMAL DEL DEPARTAMENTO DEL ATLÁNTICO Y EL APOYO AL CIDEA DEPARTAMENTAL”, dando cumplimiento al 100% de la meta programada.
En el marco del convenio, la C.R.A viene desarrollando actividades para llevar a cabo el diplomado, “Resignificación de los Proyectos Ambientales Escolares", elaborado por la
Subdirección de Educación y Participación del MINAMBIENTE, el cual se desarrolla por la necesidad de continuar fortalecimiento nuestro compromiso y promover la sostenibilidad y la educación ambiental en las instituciones educativas.
</t>
  </si>
  <si>
    <t xml:space="preserve">
Con el apoyo de ocho (8) Proyectos Ciudadanos de Educación Ambiental en el Departamento del Atlántico, en el marco del convenio No. 007 del 2023 cuyo objeto es: “DESARROLLO CONJUNTO DE ESTRATEGIAS PARA PROMOVER LA TRANSFORMACIÓN CULTURAL Y LA PARTICIPACIÓN CIUDADANA EN EL DEPARTAMENTO DEL ATLÁNTICO, A TRAVÉS DE LA DIFUSIÓN DE CONOCIMIENTOS AMBIENTALES EN LA POBLACIÓN Y EL FORTALECIMIENTO DEL TEMA AMBIENTAL EN LOS PROCESOS DE EDUCACIÓN NO FORMAL” se dio cumplimiento a la meta programada para la vigencia 2023.
Los PROCEDA apoyados en la vigencia corresponden a los municipios relacionados a continuación:
 Municipio de Manatí
 Municipio de Santa Lucía
 Municipio de Campo de la Cruz
 Municipio de Malambo
 Municipio de Galapa
 Municipio de Piojó
 Municipio de Puerto Colombia
 Municipio de Sabanagrande
</t>
  </si>
  <si>
    <t>Con el apoyo de los Contratos de Prestación de Servicios Profesionales No. 0138 de 2023, cuyo objeto es “PRESTAR LOS SERVICIOS PROFESIONALES COMO INGENIERO AMBIENTAL EN LA OFICINA ASESORA DE PLANEACIÓN, EN TEMAS DE EDUCACIÓN AMBIENTAL PARA GENERAR ESPACIOS DE PARTICIPACIÓN PARA EL FORTALECIMIENTO DE LA CULTURA AMBIENTAL CIUDADANA” y No.183 del 2022 cuyo objeto es: “PRESTAR LOS SERVICIOS DE UN PROFESIONAL EN LA OFICINA ASESORA DE PLANEACION PARA LA ASESORIA Y APOYO EN LOS PROCESOS DE EDUCACIÓN AMBIENTAL, ESPECIALMENTE EN LOS COMITÉS TÉCNICOS INTERINSTITUCIONALES DE EDUCACIÓN AMBIENTAL DEPARTAMENTAL Y MUNICIPALES”, se ha dado cumplimiento al 100% de la meta.
Por otra parte, en el marco del convenio No. 005 del 2023 cuyo objeto es: “AUNAR ESFUERZOS PARA DESARROLLAR ACCIONES QUE PROMUEVAN LA CONSERVACIÓN DE LOS RECURSOS NATURALES EN EL DEPARTAMENTO DEL ATLÁNTICO, A TRAVÉS DE LA IDENTIFICACIÓN, CONSOLIDACIÓN Y FORTALECIMIENTO DE NEGOCIOS VERDES COMO ENFOQUE A LA ACTIVACIÓN DE LA ECONOMÍA LOCAL CIRCULAR, LA AUTOGESTIÓN AMBIENTAL Y EL DESARROLLO DE PRÁCTICAS LIMPIAS PARA EL MEJORAMIENTO DEL SECTOR PRODUCTIVO”, celebrado con la Corporación Universitaria Americana, la C.R.A., viene desarrollando un programa de educación ambiental en los municipios de Puerto Colombia y Juan de Acosta, con la participación de sesenta (60) Personas, 30 miembros por cada municipio.</t>
  </si>
  <si>
    <t>La Corporación Autónoma Regional del Atlántico – C.R.A, a través de la Escuela de Liderazgo Regional Ambiental, en alianza con la Corporación Univesidad Reformada – CUR, en el marco del convenio de asociación No.004 del 2023 cuyo objeto es: “AUNAR ESFUERZOS PARA EL DESARROLLO CONJUNTO DE UN PROGRAMA DE FORMACIÓN CIUDADANA, A TRAVÉS DE ACTORES COMUNITARIOS A DOTAR CON CAPACIDAD TÉCNICA PARA ORIENTAR LOS PROCESOS PARTICIPATIVOS EN TERRITORIOS”, desarrolló procesos de capacitación teórico prácticos con jóvenes miembros de ONG para el seguimiento y evaluación de los ODS”, a través de los cuales se implementaron 4 proyectos educativos ambientales implementados, dando cumplimiento al 100% de la meta correspondiente a la vigencia 2023. 
El programa formativo estuvo dirigido a 30 miembros de ONG para el seguimiento y evaluación de los ODS</t>
  </si>
  <si>
    <t xml:space="preserve">Con la realización de la feria ambiental en la que participaron ONG ambientalistas del departamento del Atlántico se dio cumplimiento al 100% de la meta. 
Las actividades desarrolladas se realizaron en el marco del convenio de asociación No.004 del 2023 cuyo objeto es: “AUNAR ESFUERZOS PARA EL DESARROLLO CONJUNTO DE UN PROGRAMA DE FORMACIÓN CIUDADANA, A TRAVÉS DE ACTORES COMUNITARIOS A DOTAR CON CAPACIDAD TÉCNICA PARA ORIENTAR LOS PROCESOS PARTICIPATIVOS EN TERRITORIOS”.
</t>
  </si>
  <si>
    <t xml:space="preserve">En el marco del convenio de asociación No. 0010 del 2023 que tiene por Objeto “DESARROLLO CONJUNTO DE UN PROGRAMA DE CAPACITACIÓN DIRIGIDO A ORGANIZACIONES COMUNITARIAS PARA APOYAR LA GESTIÓN AMBIENTAL EN LA CONSERVACIÓN DE ECOSISTEMAS, GESTIÓN DEL RIESGO, ECOTURISMO Y SEGURIDAD ALIMENTARIA EN LOS MUNICIPIOS DE LURUACO, SABANALARGA Y PIOJÓ” se implementó un (1) proyecto productivo para la sostenibilidad alimentaria de las comunidades de pescadores y agricultores del municipio de Sabanalarga, cumpliendo de esta manera con el 100% de la meta programada.
Para lograr el cumplimiento de la meta, se desarrolló un programa de capacitación, a través de seis (6) talleres teórico-prácticos, con una intensidad de 24 horas presenciales y 24 horas prácticas. </t>
  </si>
  <si>
    <t xml:space="preserve">Con la ejecución de actividades desarrolladas en el marco  del convenio  No. 007 del 2023 suscrito con la Fundacion Alianza Tecnologica y Desarrollo Educativo - ALITIC  cuyo objeto es: “DESARROLLO CONJUNTO DE ESTRATEGIAS PARA PROMOVER LA TRANSFORMACIÓN CULTURAL Y LA PARTICIPACIÓN CIUDADANA EN EL DEPARTAMENTO DEL ATLÁNTICO, A TRAVÉS DE LA DIFUSIÓN DE CONOCIMIENTOS AMBIENTALES EN LA POBLACIÓN Y EL FORTALECIMIENTO DEL TEMA AMBIENTAL EN LOS PROCESOS DE EDUCACIÓN NO FORMAL” la meta tiene un cumplimiento del 100% de acuerdo con lo programado en la presente vigencia.
 A través del convenio se lleva a cabo el Concurso de videoclips ambientales para redes, orientados a presentar las acciones de adaptación y/o mitigación al Cambio Climático, o a la Gestión Integral de Residuos Sólidos -GIRS en el Atlántico.
</t>
  </si>
  <si>
    <t xml:space="preserve">En el marco del convenio No. 007 del 2023 celebrado con la Fundacion Alianza Tecnologica y Desarrollo Educativo - ALITIC  cuyo objeto es: “DESARROLLO CONJUNTO DE ESTRATEGIAS PARA PROMOVER LA TRANSFORMACIÓN CULTURAL Y LA PARTICIPACIÓN CIUDADANA EN EL DEPARTAMENTO DEL ATLÁNTICO, A TRAVÉS DE LA DIFUSIÓN DE CONOCIMIENTOS AMBIENTALES EN LA POBLACIÓN Y EL FORTALECIMIENTO DEL TEMA AMBIENTAL EN LOS PROCESOS DE EDUCACIÓN NO FORMAL” se dio cumplimiento al 100% de la meta programada para la presente vigencia.
En el desarrollo de las actividades del convenio, se realizó un concurso de fotografía digital y video de tipo ambiental, abierto, denominado Atlántico Respira Ambiente versión 2023. El concurso invita a visibilizar los entornos que evidencian las relaciones que se dan entre los elementos de los ecosistemas en el departamento del Atlántico, incluyendo los seres humanos, a través de la fotografía digital paisajística y ambiental. Estas fotografías pueden incluir visiones tanto positivas como críticas de la vida natural en el departamento del Atlántico. Cabe el testimonio gráfico, pero también cabe la imagen poética de la región. Queremos mostrar a través de los ojos artísticos de los participantes el presente y futuro ambiental que sirve de sostén y entornos de las familias nativas que viven en el Atlántico.
</t>
  </si>
  <si>
    <t xml:space="preserve">La implementación del proyecto virtual de educación ambiental se logró a través de la ejecución del convenio No. 007 del 2023 cuyo objeto es: “DESARROLLO CONJUNTO DE ESTRATEGIAS PARA PROMOVER LA TRANSFORMACIÓN CULTURAL Y LA PARTICIPACIÓN CIUDADANA EN EL DEPARTAMENTO DEL ATLÁNTICO, A TRAVÉS DE LA DIFUSIÓN DE CONOCIMIENTOS AMBIENTALES EN LA POBLACIÓN Y EL FORTALECIMIENTO DEL TEMA AMBIENTAL EN LOS PROCESOS DE EDUCACIÓN NO FORMAL”, celebrado con la Fundacion Alianza Tecnologica y Desarrollo Educativo – ALITIC, cumpliendo con el 100% de la meta programada para la vigencia.
En el marco del convenio se desarrolló el Primer Seminario de Fotografía Ambiental en la ciudad de Barranquilla. 
</t>
  </si>
  <si>
    <t xml:space="preserve">Con la ejecución del convenio No. 009 del 2023, cuyo objeto es: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 la C.R.A. se encuentra desarrollando actividades que permitirán dar cumplimiento a la meta durante la presente vigencia.
Para lograr dicho cumplimiento, en el marco del convenio señalado se organiza el primer encuentro departamental de grupos y/o semilleros ecológicos. </t>
  </si>
  <si>
    <t>La C.R.A., apoyó el lanzamiento del Observatorio Mesoamericano de Educación Ambiental, celebrado los días 16, 17 y 18 de agosto de 2023 en el municipio de Puerto Colombia. En el evento, la entidad tuvo participación en la ponencia: Política de Educación Ambiental del departamento del Atlántico: Educación Ambiental para la Sustentabilidad de la Vida 2023-2033, la cual estuvo en cabeza de la Profesional Especializada Gloria Farah, funcionaria del proceso de Educación Ambiental de la Corporación.</t>
  </si>
  <si>
    <t xml:space="preserve">
Para dar cumplimiento total a la meta programada se celebró el convenio de asociación No. 0014 del 2023 cuyo objeto es: FORTALECIMIENTO DEL ETNOPLAN DE LOS CONSEJOS COMUNITARIOS AFRO DEL DEPARTAMENTO DEL ATLANTICO, MEDIANTE UNA LINEA TRANSVERSAL CON ENFOQUE ETNICOAMBIENTAL PARA LA CONSERVACION Y SALVAGUARDA DE SABERES Y PRÁCTICAS TRADICIONALES.</t>
  </si>
  <si>
    <t xml:space="preserve">
A través del convenio de asociación No. 0016 del 2023 cuyo objeto es: FORTALECIMIENTO DE LOS CONOCIMIENTOS, COSTUMBRES, SABERES Y PRÁCTICAS TRADICIONALES AMBIENTALES DE LAS COMUNIDADES INDÍGENAS Y RROM DEL DEPARTAMENTO DEL ATLÁNTICO, ASÍ COMO DE INICIATIVAS CON UN ENFOQUE DIFERENCIAL DE GÉNERO DE LAS MUJERES DENTRO DE SU COMUNIDAD ÉTNICA, se vienen desarrollando acciones que permitirán lograr el cumplimiento de la meta antes de finalizar la vigencia 2023.
</t>
  </si>
  <si>
    <t xml:space="preserve">A través del convenio de asociación No. 0016 del 2023 cuyo objeto es: FORTALECIMIENTO DE LOS CONOCIMIENTOS, COSTUMBRES, SABERES Y PRÁCTICAS TRADICIONALES AMBIENTALES DE LAS COMUNIDADES INDÍGENAS Y RROM DEL DEPARTAMENTO DEL ATLÁNTICO, ASÍ COMO DE INICIATIVAS CON UN ENFOQUE DIFERENCIAL DE GÉNERO DE LAS MUJERES DENTRO DE SU COMUNIDAD ÉTNICA, se implementan acciones que permitirán lograr el cumplimiento de la meta antes de finalizar la vigencia 2023.
En el marco del convenio mencionado se está desarrollando una capacitación dirigida a mujeres de las parcialidades indígenas de Galapa, Puerto Colombia, Malambo, Pital de Megua, Sibarco, Tubará, Baranoa y Rrom de Sabanalarga.; en técnicas ancestrales de la cultura indígena, que busque apoyar los emprendimientos de mujeres indígenas y Rrom en pro de la reactivación económica, el fortalecimiento identitario y la conservación de saberes tradicionales (total de 15 horas) en cinco (5) talleres de 3 horas cada uno.
</t>
  </si>
  <si>
    <t xml:space="preserve">A través del convenio de asociación No. 0015 del 2023 cuyo objeto es: DESARROLLO DE PROGRAMA DE FORTALECIMIENTO DE NIÑOS, NIÑAS Y ADOLESCENTES DE LOS MUNICIPIOS DEL DEPARTAMENTO DEL ATLANTICO, COMO “PEQUEÑOS GUARDIANES ETNO – AMBIENTALES”, EN EL MARCO DE LA IDENTIDAD CULTURAL AFROCOLOMBIANA, se vienen desarrollando acciones que permitirán lograr el cumplimiento de la meta antes de finalizar la vigencia 2023.
En el marco del convenio mencionado se ejecutan las siguientes acciones:
 Se seleccionaron seis (6) instituciones educativas oficiales de los Municipios de: Soledad, Manatí, Luruaco, Polonuevo, Repelón y Puerto Colombia para la implementación del programa que permitirá la conformación de “PEQUEÑOS GUARDIANES ETNO – AMBIENTALES”, EN EL MARCO DE LA IDENTIDAD CULTURAL AFROCOLOMBIANA. Es decir, Una (1) institución educativa por cada municipio participante.
 Desarrollo del proceso de capacitación, dirigido a 150 niños, niñas y adolescentes pertenecientes a las comunidades negras, afrocolombianas y palenqueras de los Municipios de Soledad, Manatí, Luruaco, Polonuevo, Repelón y Puerto Colombia en el Departamento del Atlántico; se debe realizar un taller de 12 horas de duración, dividido en 3 sesiones de 4 horas con cada uno, en los 6 municipios anteriormente mencionados, para un total de 18 sesiones. (Incluye papelería, alimentación y/o refrigerios e hidratación).
 La creación de una Red de Guardianes Etno-ambientales en los Municipios de Soledad, Manatí, Luruaco, Polonuevo, Repelón y Puerto Colombia, la cual estará conformada por 180 niños, niñas y adolescentes de los seis (6) municipios participantes.
</t>
  </si>
  <si>
    <t>3.4.1.1.(B) Preparar, organizar y operativizar 70 Guardianes del Medio Ambiente GUMA, para apoyar acciones prácticas  de la gestión ambiental de la corporación.</t>
  </si>
  <si>
    <t xml:space="preserve">En el marco del convenio de asociación No.004 del 2023 cuyo objeto es: “AUNAR ESFUERZOS PARA EL DESARROLLO CONJUNTO DE UN PROGRAMA DE FORMACIÓN CIUDADANA, A TRAVÉS DE ACTORES COMUNITARIOS A DOTAR CON CAPACIDAD TÉCNICA PARA ORIENTAR LOS PROCESOS PARTICIPATIVOS EN TERRITORIOS”,  en alianza con la Corporación Univesidad Reformada – CUR, a través de la Escuela de Liderazgo Regional Ambiental, la C.R.A., se ejecutaron procesos de capacitación teórico prácticos que permiten mantener organizados y actualizados, los conocimientos de los guardianes ambientales – GUMA, organizados en vigencias anteriores dando cumplimiento al 100% de la meta programada. 
En el marco del convenio señalado, se desarrollaron talleres teórico-prácticos, cuyo propósito es mantener en operatividad a los GUMA, para fortalecer acciones prácticas de la gestión ambiental de la Corporación.
</t>
  </si>
  <si>
    <t xml:space="preserve">El documento de formulación del POMCA se encuentra en edición, así mismo se encuentran adelantándose las gestiones para la publicación en el Diario Oficial del Aviso que informa a la comunidad la culminación del proceso de formulación del instrumento, por lo que se espera adoptar finalizando la vigencia 2023. </t>
  </si>
  <si>
    <t>Hicotea
Titi Cabeciblanco</t>
  </si>
  <si>
    <t>Cedro (Cedrela odorata)</t>
  </si>
  <si>
    <t>Taruya
Neem</t>
  </si>
  <si>
    <t>Bleydy Coll Peña</t>
  </si>
  <si>
    <t>bcoll@crautonoma.gov.co
sdga@crautonoma.gov.co</t>
  </si>
  <si>
    <t>TP.E. Tiempo efectivo de duración del trámite de otorgamiento de aprovechamiento forestal (número de días)</t>
  </si>
  <si>
    <t>3686626 ext 112</t>
  </si>
  <si>
    <t>Número total de licencias ambientales vigentes y aprobadas por la Corporación a 31/12/2023:</t>
  </si>
  <si>
    <t>Número de usuarios de agua a 31/12/2023</t>
  </si>
  <si>
    <t>Número de concesiones de agua otorgadas a 31/12/2023</t>
  </si>
  <si>
    <t>Número de captaciones de agua otorgadas a 31/12/2023</t>
  </si>
  <si>
    <t>Número de usuarios de permisos de aprovechamiento forestal a 31/12/2023</t>
  </si>
  <si>
    <t>Número de permisos de aprovechamiento forestal vigentes a 31/12/2023</t>
  </si>
  <si>
    <t>Número de usuarios de permisos de emisiones atmosféricas a 31/12/2023</t>
  </si>
  <si>
    <t>Bleydy Coll Pena</t>
  </si>
  <si>
    <t>Bleydy Coll</t>
  </si>
  <si>
    <t>Subdirectora</t>
  </si>
  <si>
    <t>SUBDIRECTORA</t>
  </si>
  <si>
    <t>Jefe de Oficina Asesora</t>
  </si>
  <si>
    <t>Oficina Asesorta de Planeación</t>
  </si>
  <si>
    <t>Sundirectora</t>
  </si>
  <si>
    <t>OFICINA ASESORA DE PLANEACIÓN</t>
  </si>
  <si>
    <t>JEFE OFICINA ASESORA</t>
  </si>
  <si>
    <t>BLEYDY COLL PEÑA</t>
  </si>
  <si>
    <t>Jefe Oficina Asesora</t>
  </si>
  <si>
    <t>COMPORTAMIENTO META FISICA 
PLAN DE ACCION</t>
  </si>
  <si>
    <t>COMPORTAMIENTO META FINANCIERA</t>
  </si>
  <si>
    <t>(1) ESTRUCTURA PLAN DE ACCIÓN INSTITUCIONAL 2020 -2023</t>
  </si>
  <si>
    <t>(2) INDICADOR</t>
  </si>
  <si>
    <t xml:space="preserve">   (2) UNIDAD DE MEDIDA</t>
  </si>
  <si>
    <t>(3)META FISICA ANUAL
 (Según unidad de medida)</t>
  </si>
  <si>
    <t>(4)
AVANCE DE LA META
FISICA  
(Según unidad de medida y Periodo Evaluado)</t>
  </si>
  <si>
    <t>(5)
AVANCE DEL REZAGO DE LA META
FISICA 
(Según unidad de medida y Periodo Evaluado)</t>
  </si>
  <si>
    <t xml:space="preserve">(6)
PORCENTAJE DE AVANCE 
FISICO %
(Periodo Evaluado)
((4/3)*100)
</t>
  </si>
  <si>
    <t>(7) DESCRIPCIÓN DEL AVANCE 
(Se puede describir en texto lo que se desea aclarar del avance númerico respectivo)</t>
  </si>
  <si>
    <t xml:space="preserve">(8) FECHA DE EJECUCION DE  LA EVIDENCIA </t>
  </si>
  <si>
    <t xml:space="preserve">(9) TIPO DE EVIDENCIA </t>
  </si>
  <si>
    <t>(9-A) ACCIONES DE FUNCIONAMIENTO</t>
  </si>
  <si>
    <t>(9-B) ESTADO CONTRATO</t>
  </si>
  <si>
    <t>(9-B.1) N° CONTRATO</t>
  </si>
  <si>
    <t xml:space="preserve"> (10) META FISICA DEL PAC (Según unidad de medida)</t>
  </si>
  <si>
    <t>(11) AVANCE ACUMULADO DE LA META FISICA (Según unidad de medida)</t>
  </si>
  <si>
    <t>(12) PORCENTAJE DE AVANCE FISICO ACUMULADO % 
((11/10)*100)</t>
  </si>
  <si>
    <t>(13)               PONDERACIONES  PAC 2020 -2023</t>
  </si>
  <si>
    <t>(14) PONDERACIÓN ANUAL DE PROGRAMAS  Y PROYECTOS VIGENCIA OBJETO DE REPORTE</t>
  </si>
  <si>
    <t>(15) META FINANCIERA ANUAL  ($)</t>
  </si>
  <si>
    <t>(16) AVANCE DE LOS RECURSOS COMPROMETIDOS (Recursos comprometidos periodo Evaluado) ($)</t>
  </si>
  <si>
    <t>(17)  PORCENTAJE DEL AVANCE DE COMPROMISOS % (Periodo Evaluado) 
((16/15)*100)</t>
  </si>
  <si>
    <t>(18) AVANCE DE LOS RECURSOS OBLIGADOS $</t>
  </si>
  <si>
    <t>(19) PORCENTAJE DE AVANCE DE LOS RECURSOS OBLIGADOS  (AVANCE FINANCIERO) ((18/15)*100)</t>
  </si>
  <si>
    <t>(20) RESERVA PRESUPUESTAL 2023 $
(16-18)</t>
  </si>
  <si>
    <t>(21) RESERVA PRESUPUESTAL DEL 2020
$</t>
  </si>
  <si>
    <t>(21-A) OBLIGACIONES DE LA RESERVA 2020
 $</t>
  </si>
  <si>
    <t>(22) RESERVA PRESUPUESTAL DEL 2021
$</t>
  </si>
  <si>
    <t>(22-A) OBLIGACIONES DE LA RESERVA 2021
 $</t>
  </si>
  <si>
    <t>(23) RESERVA PRESUPUESTAL DEL 2022
$</t>
  </si>
  <si>
    <t>(23-A) OBLIGACIONES DE LA RESERVA 2022
 $</t>
  </si>
  <si>
    <t>(23-B) PORCENTAJE DE AVANCE EJECUCIÓN DE LA RESERVA 2022 $
(23-A/23)</t>
  </si>
  <si>
    <t>(24)                                         META FINANCIERA   DEL PLAN             ($)</t>
  </si>
  <si>
    <t xml:space="preserve">(25) AVANCE 
ACUMULADO DE LREC. COMPROMETIDOS $
</t>
  </si>
  <si>
    <t xml:space="preserve">(26)
PORCENTAJE DE  AVANCE RECURSOS COMPROMETIDOS %
((25/24
</t>
  </si>
  <si>
    <t>(27) AVANCE 
ACUMULADO DE LA EJECUCIÓN DE META
FINANCIERA (REC. OBLIGADOS) $</t>
  </si>
  <si>
    <t xml:space="preserve">(28)
PORCENTAJE DE  AVANCE FINANCIERO ACUMULADO %
((27/24)*100)
</t>
  </si>
  <si>
    <t>(29)
OBSERVACIONES</t>
  </si>
  <si>
    <t>(30)
PROGRAMA DE INVERSIÓN PUBLICA A LA QUE APORTA</t>
  </si>
  <si>
    <t>(31)
IMG AL QUE  APORTA</t>
  </si>
  <si>
    <t>(32)
INDICADOR ODS AL QUE LE APORTA</t>
  </si>
  <si>
    <t>2020-2023</t>
  </si>
  <si>
    <t>LÍNEA ESTRATÉGICA No. 1. SOSTENIBILIDAD DEL RECURSO HÍDRICO</t>
  </si>
  <si>
    <t>x</t>
  </si>
  <si>
    <t>PROGRAMA No 1.1. PLANIFICACIÓN, ADMINISTRACIÓN Y GESTIÓN DEL RECURSO HÍDRICO PARA LA PROTECCIÓN DE LOS ECOSISTEMAS</t>
  </si>
  <si>
    <t>PROYECTO No 1.1.1. REGULACIÓN Y REGLAMENTACIÓN DEL RECURSO HÍDRICO</t>
  </si>
  <si>
    <t>1.1.1.1. Iniciar el proceso de formulación del Plan de Ordenación y Manejo de Cuencas Hidrográfica de la cuenca de Mar Caribe.</t>
  </si>
  <si>
    <t>Número de documentos que consolide las acciones realizadas en marco de la ordenación de la cuenca del Mar Caribe</t>
  </si>
  <si>
    <t>Número</t>
  </si>
  <si>
    <t>35~Grado de aplicación de la ordenación integrada de los recursos hídricos (0-100)</t>
  </si>
  <si>
    <t>1.1.1.2. Adoptar los Planes de Ordenación y Manejo de: Cuencas Hidrográficas del Canal del Dique, Cuenca del complejo de humedades del Rio Magdalena y Cuenca de los Arroyos directos al Mar Caribe.</t>
  </si>
  <si>
    <t>Número de POMCAS Adoptados bajo el Marco Normativo del 1076 del 2015</t>
  </si>
  <si>
    <t>1.1.1.3. Implementar el Plan de Ordenación y Manejo de Cuencas Hidrográficas de la Ciénaga de Mallorquín y los Arroyos Grande y León.</t>
  </si>
  <si>
    <t>Porcentaje de avance en la implementación del POMCA Mallorquín Adoptado bajo el marco Normativo del 1076 del 2015</t>
  </si>
  <si>
    <t>contract</t>
  </si>
  <si>
    <t>1.1.1.4. Implementar el Plan de Ordenación y Manejo de Cuencas Hidrográficas del Complejo de Humedades del Río Magdalena.</t>
  </si>
  <si>
    <t>Porcentaje de seguimiento al POMCA del rio Magdalena adoptado bajo el marco normativo del 2076 de 2015</t>
  </si>
  <si>
    <t>$ 0</t>
  </si>
  <si>
    <t>1.1.1.5. Implementar el Plan de Ordenación y Manejo de Cuencas Hidrográficas del Canal del Dique</t>
  </si>
  <si>
    <t>Porcentaje de seguimiento al POMCA del Canal del Dique adoptado bajo el marco normativo del 2076 de 2015</t>
  </si>
  <si>
    <t>1.1.1.6. Formular el Plan de Manejo de la Ciénaga de Mallorquín (delimitación y zonificación del humedal a escala 1:25.000), el cual hace parte de sitio RAMSAR Sistema Delta Estuario Ciénaga Grande de Santa Marta.</t>
  </si>
  <si>
    <t>Número de documentos con el Plan de Manejo de humedales formulado.</t>
  </si>
  <si>
    <t>1.1.1.7. Formular el Plan de Manejo de Acuífero de Sabanalarga - Tubará de acuerdo a la priorización definida en los criterios del Decreto 1640 de 2012.</t>
  </si>
  <si>
    <t>Documento que contenga las fases de aprestamiento y diagnóstico del PMMA del sistema de acuíferos de Sabanalarga – Tubara en el departamento del Atlántico.</t>
  </si>
  <si>
    <t>1.1.1.11. Elaborar Planes de Ordenamiento del Recurso Hídrico en las Ciénagas Priorizadas del Departamento (Sabanagrande, Santo Tomas, Palmar de Varela, Canal del Dique y Malambo).</t>
  </si>
  <si>
    <t>Número de Documentos técnicos que contenga Planes de ordenamiento del recurso hídrico formulados</t>
  </si>
  <si>
    <t>1.1.1.8. Actualizar el índice del Uso de Agua para el Departamento del Atlántico, ya que éste fue construido en el año 2013.</t>
  </si>
  <si>
    <t>Número de Documentos técnicos que contenga la actualización del índice de uso de agua</t>
  </si>
  <si>
    <t>convenio 002</t>
  </si>
  <si>
    <t>64~Nivel de estrés hídrico: extracción de agua dulce como proporción de los recursos de agua dulce disponibles</t>
  </si>
  <si>
    <t>1.1.1.9. Elaborar una Resolución de Priorización de los cuerpos de agua que requieren ser acotados en el departamento.</t>
  </si>
  <si>
    <t>Número de Documentos técnicos que contenga la priorización de cuerpos de agua que van hacer acotada su ronda</t>
  </si>
  <si>
    <t>1.1.1.10. Realizar estudios de Rondas Hídricas de los cuerpos de agua priorizados en el departamento (Malambo y Bahía).</t>
  </si>
  <si>
    <t>Número de documentos técnicos con los acotamiento de ronda hídrica definidas.</t>
  </si>
  <si>
    <t>1.1.1.12. Implementar los Planes de Ordenamiento del Recurso Hídrico que se encuentra elaborados en el departamento (Embalse del Guájaro, la ciénaga de Luruaco y la ciénaga de Mallorquín).</t>
  </si>
  <si>
    <t>Número de Planes de ordenamiento del recurso Hídrico Implementados</t>
  </si>
  <si>
    <t>convenio 008</t>
  </si>
  <si>
    <t>PROYECTO No 1.1.2. FORTALECIMIENTO DE LA GESTIÓN INSTITUCIONAL Y SOCIAL PARA LA PLANIFICACIÓN, ADMINISTRACIÓN Y  GESTIÓN DEL RECURSO HÍDRICO</t>
  </si>
  <si>
    <t>1.1.2.1. Conformar un Equipo de Trabajo fortalecido con herramientas e insumos necesarios para llevar a cabo la Planificación, Administración y Gestión del recurso hídrico.</t>
  </si>
  <si>
    <t>Número de equipo Conformado anualmente</t>
  </si>
  <si>
    <t>1~No aplica</t>
  </si>
  <si>
    <t>Número  de Consejos de Cuenca conformados y en actividad</t>
  </si>
  <si>
    <t>functioning</t>
  </si>
  <si>
    <t>Funcionarios del área de planeación</t>
  </si>
  <si>
    <t>PROYECTO No 1.1.3. RECUPERACIÓN Y MANEJO DE LOS HUMEDALES DEL DEPARTAMENTO DEL ATLÁNTICO</t>
  </si>
  <si>
    <t>1.1.3.1. Realizar el mantenimiento a las compuertas de Villa Rosa y el Porvenir que regulan el Embalse del Guájaro.</t>
  </si>
  <si>
    <t>Número de mantenimiento anual a las compuertas Villa Rosa y el Porvenir</t>
  </si>
  <si>
    <t>adición 1 al contrato 346</t>
  </si>
  <si>
    <t>144~Porcentaje del cambio en la extensión de los ecosistemas relacionados con el agua a lo largo del tiempo</t>
  </si>
  <si>
    <t>1.1.3.2. Realizar intervenciones para la Recuperación Ambiental de los Humedales asociados a la Cuenca del Canal del Dique (Hidrodinámica del Embalse El Guajaro y los afluentes del ecosistema).</t>
  </si>
  <si>
    <t>Número de intervenciones para la Recuperación ambiental de los humedales asociados a la Cuenca del Canal del Dique</t>
  </si>
  <si>
    <t>1.1.3.3. Realizar intervenciones en los Humedales asociados a la vertiente occidental del Rio Magdalena. (Ciénagas de Malambo, Sabanagrande, Santo Tomás y Palmar de Varela).</t>
  </si>
  <si>
    <t>Número de intervenciones para la Recuperación ambiental de los humedales asociados a la vertiente occidental del Rio Magdalena</t>
  </si>
  <si>
    <t>1.1.3.4. Realizar intervenciones para la Recuperación ambiental de la Cuenca de la Ciénaga de Mallorquín (Cienaga de Mallorquin y Cienaga Rincon o Lago El Cisne).</t>
  </si>
  <si>
    <t>Número de intervenciones para la Recuperación ambiental de la cuenca de Mallorquín</t>
  </si>
  <si>
    <t>1.1.3.5. Realizar repoblamientos anuales como estrategia de implementación de recuperación de poblaciones naturales de especies nativas asociadas al recurso hidrobiológico en los humedales del departamento.</t>
  </si>
  <si>
    <t>Número de Repoblamientos anuales para la recupoeración de especies nativas asociadas al recurso hídrico en los humedales</t>
  </si>
  <si>
    <t xml:space="preserve">La meta de Repoblamiento se cumplió con la implementacion de Plan Pescao, con el cual se realizó la siembra 12.5 millones de alevinos de lisa y lebranche. 
EL PLAN PESCAO surge como una respuesta a: La solicitud de la comunidad de mejorar no solo la productividad de los cuerpos de agua desde el punto de vista íctico, sino la necesidad de garantizar la permanencia de las poblaciones naturales de las especies nativas, realizando el rescate, salvamento traslado y siembra de más de 49 millones de alevinos durante los últimos 3 años. 
El programa Plan pescao, es un claro ejemplo de Gobernanza toda vez que genera alianzas entre entidades públicas y la comunidad de pescadores que garanticen objetivos comunes. Desde el año 2020 se trabaja de manera conjunta entre la Corporación Regional Autónoma del Atlántico (CRA), la Autoridad Nacional de Acuicultura y Pesca (Aunap), la Gobernación del Atlántico, el Ejército Nacional, Federación de pescadores del Canal del Dique y agremiaciones de pescadores de los municipios. En este proceso se han sembrado un poco más de 38 millones de alevinos en cuatro años. 
Para la vigencia 2023, la meta cuenta con el 100% de su ejecución, </t>
  </si>
  <si>
    <t>190~Proporción de poblaciones de peces que están dentro de niveles biológicamente sostenibles</t>
  </si>
  <si>
    <t>PROGRAMA No 1.2. CARACTERIZACIÓN, CUANTIFICACIÓN Y RECUPERACIÓN DEL RECURSO AGUA COMO ARTICULADOR DE LOS BIENES Y SERVICIOS AMBIENTALES</t>
  </si>
  <si>
    <t>PROYECTO No 1.2.1. USO EFICIENTE Y SOSTENIBLE DEL AGUA</t>
  </si>
  <si>
    <t>1.2.1.1. Incrementar el número de usuarios del recurso hídrico con Planes de Ahorro y Uso eficiente del Agua.</t>
  </si>
  <si>
    <t>Porcentaje de usuarios del recurso Hídrico con planes de ahorro y uso eficiente del agua.</t>
  </si>
  <si>
    <t>9~Cambio en la eficiencia del uso del agua con el tiempo</t>
  </si>
  <si>
    <t>1.2.1.2. Realizar seguimiento a la implementación de los Programas de Ahorro y uso eficiente del agua de los usuarios del Recurso Hídrico.</t>
  </si>
  <si>
    <t>Porcentaje de usuarios del recurso Hídrico con seguimiento anual</t>
  </si>
  <si>
    <t>1.2.1.3. Elaborar e Implementar Proyectos para las zonas priorizadas como zonas abastecedora de recurso Hídrico.</t>
  </si>
  <si>
    <t>Número de proyectos elaborados e implementados para las zonas priorizadas como zonas abastecedora de recurso Hídrico.</t>
  </si>
  <si>
    <t>convenio 0011</t>
  </si>
  <si>
    <t>PROYECTO No 1.2.2. CONTROL Y PREVENCION DE LA CONTAMINACIÓN DEL RECURSO HÍDRICO</t>
  </si>
  <si>
    <t>1.2.2.1. Realizar inventario y registro de usuario (Legales y por legalizar) del recurso Hídrico, en relación con las aguas superficiales y subterráneas.</t>
  </si>
  <si>
    <t>Porcentaje de usuarios reportados en el SIRH, producto del inventario de usuarios registrados en la CRA</t>
  </si>
  <si>
    <t>1.2.2.2. Monitorear la Calidad del Recurso Hídrico de las Aguas Continentales</t>
  </si>
  <si>
    <t>Monitoreo anual de la calidad fisicoquímica, microbiológica e hidrobiológica  a las aguas Continentales del departamento</t>
  </si>
  <si>
    <t>126~Porcentaje de masas de agua de buena calidad</t>
  </si>
  <si>
    <t>1.2.2.3. Monitorear la Calidad del Recurso Hídrico de las aguas Marinas (18 puntos establecidos en la REDCAM).</t>
  </si>
  <si>
    <t>Monitoreo anual de la calidad fisicoquímica, microbiológica a las aguas Marinas.</t>
  </si>
  <si>
    <t>1.2.2.4. Realizar reglamentación de los aportes puntuales de carga contaminante en los cuerpos de agua receptores de vertimientos en el Departamento del Atlántico</t>
  </si>
  <si>
    <t>Documento con el estado de los cuerpos de agua/objetivos de calidad hídrica en el departamento</t>
  </si>
  <si>
    <t>1.2.2.5. Realizar seguimiento de las metas de Carga Contaminantes para el periodo 2020-2023.</t>
  </si>
  <si>
    <t>Seguimiento anual a las metas de carga contaminantes</t>
  </si>
  <si>
    <t>1.2.2.6. Realizar inventario de los corregimientos que carecen de Saneamiento Básico en todo el departamento.</t>
  </si>
  <si>
    <t>Inventario georreferenciado de corregimientos que carecen de saneamiento básico en el departamento</t>
  </si>
  <si>
    <t>1.2.2.7. Realizar seguimiento a los vertimientos de los corregimientos del departamento del Atlántico.</t>
  </si>
  <si>
    <t>Informe Técnico anual de seguimiento a los corregimientos que carecen de saneamiento básico</t>
  </si>
  <si>
    <t>Teniendo en cuenta que los planes de saneamiento y manejo del vertimiento es un instrumento de control ambiental que contempla todas las inversiones, actividades y/o proyectos a ejecutar de los Municipios y las entidades prestadoras de servicios públicos para el saneamiento y tratamiento de las aguas residuales vertidas, se elaboraron los informes técnicos correspondientes a la vigencia 2023 para los corregimientos de Bohórquez, Buenaventura de la Leña, San José de Carreto, Caracolí, Puerto Giraldo y Algodonal, los cuales se encuentran inmersos en los PSMV de sus respectivos municipios.
Considerando lo anterior, se da cumplimiento a la meta programada para la presente vigencia.</t>
  </si>
  <si>
    <t>PROYECTO No 1.2.3. REDUCCIÓN DE LA CONTAMINACIÓN DEL RECURSO HÍDRICO</t>
  </si>
  <si>
    <t>1.2.3.1. Realizar control, seguimiento y evaluación de los vertimientos, que permita conocer el estado de los cuerpos de agua receptores.</t>
  </si>
  <si>
    <t>Informe anual de Seguimiento a las obras de saneamiento ambiental (Planta de tratamiento de aguas residuales-PTARS) para verificar el cumplimiento de las actividades priorizadas en los PSMV.</t>
  </si>
  <si>
    <t>1.2.3.2. (A) Reducir los aportes de contaminación puntual a los cuerpos de agua a través de sistemas de tratamiento de agua residuales.</t>
  </si>
  <si>
    <t>Municipios con reducción de los aportes de contaminantes puntuales a los cuerpos de agua de acuerdo con la implementación de los PSMV</t>
  </si>
  <si>
    <t>Con la adición No. 3 al contrato No. 249 del 2021 cuyo objeto es: “INTERVENTORÍA TÉCNICA, ADMINISTRATIVA Y FINANCIERA DEL CONTRATO CUYO OBJETO ES CONSTRUCCIÓN DE ESTACIÓN DE BOMBEO Y PLANTA DE TRATAMIENTO DE AGUAS RESIDUALES PARA EL MUNICIPIO DE JUAN DE ACOSTA Y EL SECTOR DE EL VAIVÉN EN EL DEPARTAMENTO DEL ATLÁNTICO” Y EL ADICIONAL NO.4 AL CONTRATO NO.354 DEL 2019 CUYO OBJETO ES: “REALIZAR LA INTERVENTORIA TÉCNICA ADMINISTRATIVA Y FINANCIERA DE LA CONSTRUCCION DE LA PLANTA DE TRATAMIENTO DE AGUAS RESIDUALES PARA EL MUNICIPIO DE PIOJÓ, DEPARTAMENTO DEL ATLANTICO” se da cumplimiento a la meta de municipios con apoyo en la implementación de los PSMV en la vigencia 2023.</t>
  </si>
  <si>
    <t>capacidad instalada</t>
  </si>
  <si>
    <t>103~Porcentaje de aguas residuales tratadas de manera segura</t>
  </si>
  <si>
    <t>Número de proyectos con apoyo en la implementación de PTARS</t>
  </si>
  <si>
    <t>PROGRAMA No 1.3. GESTIÓN INTEGRAL DE LOS RIESGOS ASOCIADOS AL RECURSO HÍDRICO</t>
  </si>
  <si>
    <t>PROYECTO No 1.3.1. GENERACIÓN DE CONOCIMIENTO Y REDUCCIÓN DEL RIESGO ASOCIADO AL RECURSO HÍDRICO</t>
  </si>
  <si>
    <t>Documento técnico con la identificación de ecosistemas claves e inventario de los riesgos sobre infraestructuras de abastecimiento de agua</t>
  </si>
  <si>
    <t>89~Número de países que han comunicado el fortalecimiento de la capacidad institucional, sistémica e individual para implementar la adaptación, la mitigación y la transferencia de tecnología, y acciones desarrolladas</t>
  </si>
  <si>
    <t>Número de proyectos de mitigación y adaptación de gestión del riesgo asociado a recurso Hídrico</t>
  </si>
  <si>
    <t>80~Número de países menos adelantados y pequeños Estados insulares en desarrollo que están recibiendo apoyo especializado para los mecanismos encaminados a aumentar la capacidad de planificación y gestión eficaces en relación con el cambio climático, incluidos los centrados en las mujeres, los jóvenes y las comunidades locales y marginadas</t>
  </si>
  <si>
    <t>Metros</t>
  </si>
  <si>
    <t>adicional 04 del 367-2014</t>
  </si>
  <si>
    <t>LÍNEA ESTRATÉGICA No. 2. SOSTENIBILIDAD DEL RECURSO NATURAL</t>
  </si>
  <si>
    <t>PROGRAMA No 2.1. BIODIVERSIDAD Y RIQUEZA DE LOS ECOSISTEMAS TERRESTRES</t>
  </si>
  <si>
    <t>PROYECTO No 2.1.1. DESARROLLO FORESTAL SOSTENIBLE</t>
  </si>
  <si>
    <t>Número de hectáreas en restauración, rehabilitación y reforestación</t>
  </si>
  <si>
    <t>convenio 009</t>
  </si>
  <si>
    <t>39~Hacia la ordenación forestal sostenible</t>
  </si>
  <si>
    <t>2.1.1.2 Producir 150.000 plantulas, adecuar el sitio y fortalecer técnica y ambientalmente la producción de plantulas en los viveros de la CRA con fines de restauración y recuperación de suelos.</t>
  </si>
  <si>
    <t>Número de Plantulas de maderables y frutales producidas</t>
  </si>
  <si>
    <t>2.1.1.3 Implementar un programa de deforestación evitada que incluya al menos las siguientes lineas de acción: articulación con sectores o entes territoriales para incentivar modelos agroambientales, alternativas de eficiencia energetica en hogares y restaurantes y educación ambiental para disminuir la extracción de leña y carbon vegetal</t>
  </si>
  <si>
    <t>Número de Municipios y/o sectores con estrategias de reconversión hacia sistemas sostenibles de producción implementados</t>
  </si>
  <si>
    <t>Número de Medidas de adaptación al cambio climático implementadas</t>
  </si>
  <si>
    <t>Número de Hectáreas de suelos degradados en recuperación o rehabilitación</t>
  </si>
  <si>
    <t>143~Porcentaje de tierras degradadas en comparación con la superficie total</t>
  </si>
  <si>
    <t>PROYECTO No 2.1.2. GESTIÓN DE ESPECIES</t>
  </si>
  <si>
    <t>2.1.2.1.Realizar el diagnóstico de las especies invasoras del departamento y diseñar una estrategia regional para el control de especies invasoras, exóticas y trasplantadas</t>
  </si>
  <si>
    <t>Número de Documentos Diagnóstico realizados</t>
  </si>
  <si>
    <t>184~Proporción de países que adoptan legislación nacional relevante y adecuadamente dotan de recursos a la prevención o control de especies exóticas invasoras</t>
  </si>
  <si>
    <t>convenio 001</t>
  </si>
  <si>
    <t>2.1.2.3. Implementar proyectos comunitarios para la conservación y uso sostenible de especies amenazadas priorizadas para el departamento del Atlántico.</t>
  </si>
  <si>
    <t>Número de Proyectos comunitarios implementados</t>
  </si>
  <si>
    <t>57~La asistencia oficial para el desarrollo y el gasto público en la conservación y el uso sostenible de la diversidad biológica y los ecosistemas</t>
  </si>
  <si>
    <t>2.1.2.4. Actualizar el inventario de Fauna y Flora Silvestre del Departamento del Atlántico</t>
  </si>
  <si>
    <t>Número de Inventarios realizados</t>
  </si>
  <si>
    <t>47~Índice de la Lista Roja</t>
  </si>
  <si>
    <t>Número de Municipios intervenidos para las 6 medidas de conservaciòn de especies amenazadas</t>
  </si>
  <si>
    <t>PROGRAMA No 2.2. BIODIVERSIDAD Y RIQUEZA DE LOS ECOSISTEMAS MARINO COSTERO</t>
  </si>
  <si>
    <t>PROYECTO No 2.2.1. ORDENACIÓN Y MANEJO DE LA UNIDAD AMBIENTAL COSTERA</t>
  </si>
  <si>
    <t>2.2.1.1. Adoptar e implementar el Plan de Ordenación y Manejo-POMIUAC de la Unidad Ambiental Costera-UAC del Rio Magdalena</t>
  </si>
  <si>
    <t>Número de acciones de manejo de la Unidad Ambiental Costera</t>
  </si>
  <si>
    <t>convenio 011</t>
  </si>
  <si>
    <t>84~Número de países que avanzan en ratificar, aceptar e implementar mediante mecanismos legales, normativos e institucionales, instrumentos relacionados con los océanos que implementan el derecho internacional, como se refleja en la Convención, para la conservación y el uso sostenible de los océanos y sus recursos</t>
  </si>
  <si>
    <t>Número de playas con estrategias de manejo sostenible implementadas.</t>
  </si>
  <si>
    <t>PROYECTO No 2.2.2. MITIGACIÓN DE RIESGO COSTEROS</t>
  </si>
  <si>
    <t>2.2.2.1. Definir e implementar acciones para controlar y mitigar el estado de la Erosión Costera en el Departamento del Atlàntico.</t>
  </si>
  <si>
    <t>Número de Acciones Implementadas</t>
  </si>
  <si>
    <t>75~Número de países con estrategias nacionales y locales para la reducción del riesgo de desastres</t>
  </si>
  <si>
    <t>PROYECTO No 2.2.3. CONSERVACIÓN DE ECOSISTEMAS MARINOS Y COSTEROS</t>
  </si>
  <si>
    <t>2.2.3.1. Diseñar y ejecutar un programa educativo dirigido a la conservación de la Biodiversidad Marino-Costera del departamento del Atlántico, con enfasis en el cumplimiento de las leyes y orientado a controlar la destrucción de barreras naturales de protección de las costas, tales como manglares, arrecifes coralinos, islas de barrera y otras características geomorfológicas de protección.</t>
  </si>
  <si>
    <t>Número de programas Educativos dirigidos a la Conservación de la Biodiversidad Marino-Costera ejecutados</t>
  </si>
  <si>
    <t>2.2.3.2. Establecer un Programa de Control y Monitoreo de la Unidad Ambiental Costera</t>
  </si>
  <si>
    <t>Número de mantenimientos realizados a la Red de Monitoreo formulada, implementada y con seguimiento</t>
  </si>
  <si>
    <t>PROGRAMA No 2.3. ESTRATEGIAS REGIONALES DE CONSERVACIÓN</t>
  </si>
  <si>
    <t>PROYECTO No 2.3.1. ÁREAS PROTEGIDAS</t>
  </si>
  <si>
    <t>2.3.1.1. Actualizar y ejecutar los Planes de Manejo Ambiental de las Áreas Protegidas del Departamento</t>
  </si>
  <si>
    <t>Número de Planes de Manejo Actualizados</t>
  </si>
  <si>
    <t>Número de Acciones realizadas en el cumplimiento de los planes de manejo de las áreas protegidas</t>
  </si>
  <si>
    <t>Número de hectáreas en proceso de restauración para conservación de áreas protegidas</t>
  </si>
  <si>
    <t>2.3.1.4. Adquirir predios privados localizados al interior de las Áreas protegidas</t>
  </si>
  <si>
    <t>Números de hectáreas adquiridas al interior de las áreas protegidas</t>
  </si>
  <si>
    <t>A través de una medida de compensación fueron adquiridas 86 hectáreas del predio Calacoto, de conservación de bosque seco tropical en el Distrito de Manejo Integrado DMI Luriza, área protegida ubicada en el municipio de Usiacurí, dando cumplimiento a la meta programada para la vigencia 2023.</t>
  </si>
  <si>
    <t>191~Proporción de sitios importantes para la biodiversidad terrestre y de agua dulce que están cubiertos por las áreas protegidas, por tipo de ecosistema</t>
  </si>
  <si>
    <t>2.3.1.5.(A) Declarar nuevas Áreas Protegidas en el Departamento con registro ante el RUNAP</t>
  </si>
  <si>
    <t>Número de hectáreas protegidas regionales declaradas, homologadas o recategorizadas, inscritas en el RUNAP</t>
  </si>
  <si>
    <t>2.3.1.5.(B) Declarar nuevas Áreas Protegidas en el Departamento con registro ante el RUNAP</t>
  </si>
  <si>
    <t>Documentos síntesis del proceso de declaratoria de 1,300 has de áreas protegida según decreto 1076 de 2015</t>
  </si>
  <si>
    <t>Número de programas formulados y ejecutados en la conservación de las áreas protegidas</t>
  </si>
  <si>
    <t>Número de Estrategias desarrolladas</t>
  </si>
  <si>
    <t>2.3.1.7. Formular e implementar actividades de protección y recuperación de las zonas de acuiferos ubicadas en las áreas protegidas, para prevenir y mitigar el impacto negativo en el recurso hídrico</t>
  </si>
  <si>
    <t>Número de fuentes hídricas intervenidas</t>
  </si>
  <si>
    <t>Número de proyectos formulados e implementados.</t>
  </si>
  <si>
    <t>70~Número de estrategias sostenibles de turismo o políticas y planes de acción implementados, con un seguimiento acordado, y herramientas de evaluación.</t>
  </si>
  <si>
    <t>Número de estudios realizados</t>
  </si>
  <si>
    <t>2.3.1.11. Gestión del riesgo de desastre por incendio de cobertura vegetal en áreas declaradas como áreas protegidas.</t>
  </si>
  <si>
    <t>Número de protocolos implementados</t>
  </si>
  <si>
    <t>PROYECTO No 2.3.2. NEGOCIOS VERDES</t>
  </si>
  <si>
    <t>2.3.2.1. Actualizar la ventanilla nodo de negocios verdes creada para el departamento del Atlántico.</t>
  </si>
  <si>
    <t xml:space="preserve"> Número de ventanillas actualizada</t>
  </si>
  <si>
    <t>2.3.2.2. Diseñar la Asistencia técnica que permita la consolidación, fortalecimiento de los Negocios Verdes en el Atlántico</t>
  </si>
  <si>
    <t>Número de de negocios verdes consolidados</t>
  </si>
  <si>
    <t>convenio 005</t>
  </si>
  <si>
    <t>Número de Ferias realizadas</t>
  </si>
  <si>
    <t>2.3.2.4. Celebrar Convenios de Cooperación o alianzas con el sector público o privado nacional o internacional que permita fortalecer la oferta de asitencia técnica y de marketing de los Negocios Verdes existentes en el departamento del Atlántico.</t>
  </si>
  <si>
    <t>Número de convenios establecidos</t>
  </si>
  <si>
    <t>PROYECTO No 2.3.3. BOLSA VERDE ATLÁNTICO</t>
  </si>
  <si>
    <t>2.3.3.1. Estructurar e implementar la primera fase del Programa Regional de compensaciones ambientales agrupadas denominado Bolsa Verde Atlántico, con el objetivo de preservar y restaurar las áreas prioritarias de conservación de la biodiversidad del Atlántico</t>
  </si>
  <si>
    <t>Seguimiento anual a la implementación del Programa Bolsa Verde</t>
  </si>
  <si>
    <t>LÍNEA ESTRATÉGICA 3. SOSTENIBILIDAD DEMOCRÁTICA</t>
  </si>
  <si>
    <t>PROGRAMA No 3.1. LA EDUCACIÓN AMBIENTAL COMO PROCESO DE TRANSFORMACIÓN CULTURAL PARA LA SOSTENIBILIDAD.</t>
  </si>
  <si>
    <t>PROYECTO No 3.1.1. FORTALECIMIENTO DE LOS COMITES INTERINSTITUCIONALES DE EDUCACIÓN AMBIENTAL-CIDEA</t>
  </si>
  <si>
    <t xml:space="preserve"> Número de PMEA formulados</t>
  </si>
  <si>
    <t>37~Grado en el que (i) la educación para la ciudadanía global y (ii) la educación para el desarrollo sostenible (incluyendo educación sobre el cambio climático) son establecidos en (a) las políticas nacionales de educación (b) los planes de estudio (c) la formación del profesorado y (d) evaluación de los alumnos</t>
  </si>
  <si>
    <t>Números de acciones ejecutadas en CIDEAS municipales</t>
  </si>
  <si>
    <t>convenio 006</t>
  </si>
  <si>
    <t>Número de acciones apoyadas del CIDEA departamental.</t>
  </si>
  <si>
    <t>PROYECTO No 3.1.2. INCLUSIÓN DEL TEMA AMBIENTAL EN LA EDUCACIÓN FORMAL</t>
  </si>
  <si>
    <r>
      <rPr>
        <sz val="10"/>
        <color rgb="FF000000"/>
        <rFont val="Arial, sans-serif"/>
      </rPr>
      <t xml:space="preserve">3.1.2.1. Brindar </t>
    </r>
    <r>
      <rPr>
        <sz val="10"/>
        <color rgb="FFFF0000"/>
        <rFont val="Arial, sans-serif"/>
      </rPr>
      <t>asistencia</t>
    </r>
    <r>
      <rPr>
        <sz val="10"/>
        <color rgb="FF000000"/>
        <rFont val="Arial, sans-serif"/>
      </rPr>
      <t xml:space="preserve"> técnica a los Proyectos Ambientales Escolares (PRAE) y apoyar acciones para su implementación.</t>
    </r>
  </si>
  <si>
    <t>Números de Proyectos Ambientales Escolares asesorados técnicamente y apoyados en su implementación</t>
  </si>
  <si>
    <t>Ejecución de Acciones en Educación Ambiental.</t>
  </si>
  <si>
    <t>Número de acciones que promueven la dimensión ambiental con las IES</t>
  </si>
  <si>
    <t xml:space="preserve"> Documento con el estado del arte de la educación ambiental en el departamento</t>
  </si>
  <si>
    <t>Número publicaciones del estado del arte de la educación ambiental</t>
  </si>
  <si>
    <t>PROYECTO No 3.1.3. INCLUSIÓN DEL TEMA AMBIENTAL EN LA EDUCACIÓN NO FORMAL</t>
  </si>
  <si>
    <t>Número de PROCEDA apoyados y/o implementados</t>
  </si>
  <si>
    <t>convenio 007</t>
  </si>
  <si>
    <t>convenio 004</t>
  </si>
  <si>
    <t>PROYECTO No 3.1.4. IMPULSO DE LAS ESTRATEGIAS EDUCATIVAS PARA LA CONSTRUCCIÓN DE UNA CULTURA DE PREVENCIÓN Y GESTIÓN DEL RIESGO.</t>
  </si>
  <si>
    <t>Número de proyectos implementados</t>
  </si>
  <si>
    <t>PROGRAMA No 3.2. LA PARTICIPACIÓN SOCIAL COMO FUNDAMENTO DE LA GESTIÓN AMBIENTAL TERRITORIAL.</t>
  </si>
  <si>
    <t>PROYECTO No 3.2.1. ESCUELA DE CAPACITACIÓN AMBIENTAL</t>
  </si>
  <si>
    <t>Porcentajes de talleres de capacitación realizados.</t>
  </si>
  <si>
    <t>138
183</t>
  </si>
  <si>
    <t>Número de jornadas pedagógicas itinerantes realizadas</t>
  </si>
  <si>
    <t>PROYECTO No 3.2.2 ORGANIZACIONES SOCIALES AL SERVICIO DEL SEGUIMIENTO Y PROTECCIÓN DEL AMBIENTE</t>
  </si>
  <si>
    <t>Número de proyectos educativo ambientales implementados</t>
  </si>
  <si>
    <t>85~Número de países que comunican avances en la efectividad del desarrollo de marcos de seguimiento de múltiples partes interesadas que apoyan el logro de objetivos de desarrollo sostenible</t>
  </si>
  <si>
    <t>Número de eventos y/o ferias realizados</t>
  </si>
  <si>
    <t>Número de proyectos productivos implementados</t>
  </si>
  <si>
    <t>convenio 010</t>
  </si>
  <si>
    <t>PROYECTO No 3.2.3. COMUNICANDO Y DIFUNDIENDO EL CONOCIMIENTO AMBIENTAL SOBRE EL DEPARTAMENTO DEL ATLÁNTICO</t>
  </si>
  <si>
    <t>Número de estrategias de comunicación y cultura ciudadana sobre separación en la fuente desarrolladas</t>
  </si>
  <si>
    <t>Número de campañas de comunicación sobre gestión de cambio climático desarrolladas.</t>
  </si>
  <si>
    <t>Número de jornadas de recolección de residuos posconsumo peligrosos, especiales y RAEE realizadas</t>
  </si>
  <si>
    <t>201~Residuos peligrosos generados per cápita, proporción de residuos peligrosos tratados y por tipo de tratamiento</t>
  </si>
  <si>
    <t>Número de proyectos virtuales implementados</t>
  </si>
  <si>
    <t>Número de escenarios realizados o apoyados.</t>
  </si>
  <si>
    <t>38~Grado en el que (i) la educación para la ciudadanía global y (ii) la educación para el desarrollo sostenible, incluida la igualdad de género y los derechos humanos, son integrados en todos los niveles en (a) las políticas nacionales de educación (b) los planes de estudio (c) la formación del profesorado y (d) evaluación de los alumnos</t>
  </si>
  <si>
    <t>Número de participación y asistencia a eventos nacionales y/o internacionales en educación ambiental</t>
  </si>
  <si>
    <t>PROYECTO No 3.2.4. PROMOCIONANDO LA PERSPECTIVA DE GÉNERO PARA EL DESARROLLO AMBIENTAL DEL DEPARTAMENTO DEL ATLÁNTICO.</t>
  </si>
  <si>
    <t>Número de proyectos con perspectivas de géneros</t>
  </si>
  <si>
    <t>138~Porcentaje de países que cuentan con sistemas para dar seguimiento a la igualdad de género y el empoderamiento de la mujer y asignar fondos públicos para ese fin</t>
  </si>
  <si>
    <t>PROGRAMA No 3.3. LA DIVERSIDAD ETNOCULTURAL DEL DEPARTAMENTO DEL ATLÁNTICO COMO POTENCIAL ESTRATÉGICO PARA LA SOSTENIBILIDAD AMBIENTAL.</t>
  </si>
  <si>
    <t>PROYECTO 3.3.1. APRENDIENDO A CUIDAR EL AMBIENTE DE LA MANO DE NUESTRAS ETNIAS.</t>
  </si>
  <si>
    <t>Número de iniciativas apoyadas</t>
  </si>
  <si>
    <t>30~Gasto total (público y privado) per cápita dedicado a la preservación, protección y conservación de todo el patrimonio cultural y natural. por tipo de patrimonio (cultural, natural, mixto, designación del Centro del Patrimonio Mundial), nivel de gobierno (nacional, regional y local / municipal), el tipo de gastos: gastos de funcionamiento / de inversión y tipo de financiación privada (donaciones en especie, privado sector sin fines de lucro, patrocinio)</t>
  </si>
  <si>
    <t>Número de acciones implementadas</t>
  </si>
  <si>
    <t>3.3.1.4. Apoyar iniciativas productivas con enfoque diferencial de las comunidades negras, afrocolombianas, raizales y palenqueras NARP del departamento articuladas al PAI de la Corporación CRA.</t>
  </si>
  <si>
    <t>Número de iniciativas productivas implementadas</t>
  </si>
  <si>
    <t>PROGRAMA No 3.4. PARTICIPACIÓN PARA EL SEGUIMIENTOS ODS MUNICIPALES DEL COMPENENTE AMBIENTAL</t>
  </si>
  <si>
    <t>PROYECTO No 3.4.1. IMPULSO A LA CREACIÓN Y ORGANIZACIÓN DE LOS COMITÉS MUNICIPALES DEL MEDIO AMBIENTE Y LOS GUARDIANES DEL MEDIO AMBIENTE (GUMA) EN EL DEPARTAMENTO</t>
  </si>
  <si>
    <t>3.4.1.1 (A) Crear los comités municipales de guardianes del medio ambiente -GUMA para apoyar la gestión ambiental de la CRA</t>
  </si>
  <si>
    <t>Números de comités municipales de medio ambiente</t>
  </si>
  <si>
    <t>No aplica</t>
  </si>
  <si>
    <t>3.4.1.1 (B) Crear los comités municipales de guardianes del medio ambiente -GUMA para apoyar la gestión ambiental de la CRA</t>
  </si>
  <si>
    <t>Porcentaje de guardianes ambientales GUMA organizados y apoyando la gestión ambiental de la CRA</t>
  </si>
  <si>
    <t>PROYECTO No 3.4.2. IMPLEMENTAR UN SISTEMA DE SEGUIMIENTO Y MONITOREO A ESCALA COMUNITARIA DE LOS OBJETIVOS DE DESARROLLO SOSTENIBLE-ODS EN EL DEPARTAMENTO DEL ATLÁNTICO</t>
  </si>
  <si>
    <t>3.4.2.1. Elaborar una matriz para realizar el seguimiento a los indicadores sociales, económicos y ambientales articulados a los ODS en los municipios del departamento del atlántico.</t>
  </si>
  <si>
    <t>Número de informes anuales de seguimiento a los ODS</t>
  </si>
  <si>
    <t>LÍNEA ESTRATÉGICA No. 4. SOSTENIBILIDAD SECTORIAL</t>
  </si>
  <si>
    <t>PROGRAMA No 4.1. EQUIPAMIENTO SOSTENIBLES</t>
  </si>
  <si>
    <t>PROYECTO No 4.1.1. PRODUCCIÓN MÁS LIMPIA</t>
  </si>
  <si>
    <t>Número de convenios de Producción más Limpia implementados</t>
  </si>
  <si>
    <t>PROGRAMA No 4.2. POR UN DEPARTAMENTO CON ENERGÍAS RENOVABLES</t>
  </si>
  <si>
    <t>PROYECTO No 4.2.1. ENERGÍA DE BIOGÁS-BIOMASA</t>
  </si>
  <si>
    <t>Número de proyectos impulsados</t>
  </si>
  <si>
    <t>Con la ejecución del Convenio No. 005 del 2023 celebrado con la Corporación Universidad Americana, el cual tiene por Objeto “AUNAR ESFUERZOS PARA DESARROLLAR ACCIONES QUE PROMUEVAN LA CONSERVACIÓN DE LOS RECURSOS NATURALES EN EL DEPARTAMENTO DEL ATLÁNTICO, A TRAVÉS DE LA IDENTIFICACIÓN, CONSOLIDACIÓN Y FORTALECIMIENTO DE NEGOCIOS VERDES COMO ENFOQUE A LA ACTIVACIÓN DE LA ECONOMÍA LOCAL CIRCULAR, LA AUTOGESTIÓN AMBIENTAL Y EL DESARROLLO DE PRÁCTICAS LIMPIAS PARA EL MEJORAMIENTO DEL SECTOR PRODUCTIVO” Se da cumplimiento a la meta fijada para la presente vigencia.</t>
  </si>
  <si>
    <t>161~Proporción de la energía renovable en el consumo final total de energía</t>
  </si>
  <si>
    <t>PROYECTO No 4.2.2. ENERGÍA SOLAR</t>
  </si>
  <si>
    <t>PROYECTO No 4.2.3. ENERGÍA EÓLICA</t>
  </si>
  <si>
    <t>4.2.3.1. Conocer el potencial de energía eólica en el Departamento del Atlántico</t>
  </si>
  <si>
    <t>Número de estudios de evaluación geoespacial</t>
  </si>
  <si>
    <t>PROGRAMA No 4.3. TERRITORIOS CON PLANIFICACIÓN AMBIENTAL</t>
  </si>
  <si>
    <t>PROYECTO No 4.3.1. INSTRUMENTOS DE PLANIFICACIÓN</t>
  </si>
  <si>
    <t>Número de municipios asesorados en la incorporación de las determinantes ambientales</t>
  </si>
  <si>
    <t>Con las actividades desarrolladas para asesorar a los municipios en los procesos de revisión de sus instrumentos de planificación del desarrollo físico territorial, podemos indicar que la meta programada para la vigencia 2023 tuvo cumplimiento del 100%.
Se asesoraron 23 Municipios de la jurisdicción de esta Corporación, incluyendo al Distrito de Barranquilla, en la inclusión del componente ambiental en los procesos de planificación y ordenamiento territorial, con énfasis en la incorporación de las determinantes ambientales.</t>
  </si>
  <si>
    <t>166~Proporción de la población que vive en ciudades que implementan planes de desarrollo urbano y regional integrando las proyecciones de población y las necesidades de recursos, por tamaño de la ciudad</t>
  </si>
  <si>
    <t>4.3.1.2. Construir el Plan de Gestión Regional. Ambiental - PGAR para la vigencia 2023-2032</t>
  </si>
  <si>
    <t>Número de documento elaborado</t>
  </si>
  <si>
    <t>PROYECTO No 4.3.2. ESQUEMAS DE PAGO POR SERVICIOS AMBIENTALES</t>
  </si>
  <si>
    <t>4.3.2.1. Asistir a los municipios en la implementación y seguimiento de esquemas de pago por servicios ambientales</t>
  </si>
  <si>
    <t>Número de entidades asesoradas</t>
  </si>
  <si>
    <t>PROYECTO No 4.3.3. DETERMINANTES AMBIENTALES</t>
  </si>
  <si>
    <t>4.3.3.1. Ejecutar acciones orientadas a actualizar la información ambiental en el marco del ordenamiento ambiental y territorial que sirvan de insumo para la elaboración de los POT.</t>
  </si>
  <si>
    <t>Números de actualizaciones de determinantes ambientales actualizados</t>
  </si>
  <si>
    <t>PROYECTO No 4.3.4. SALUD AMBIENTAL</t>
  </si>
  <si>
    <t>4.3.4.1. Ejecutar acciones orientadas a implementar la Política Integral del Salud Ambiental en la jurisdicción de la CRA</t>
  </si>
  <si>
    <t>Número de acciones de implementación</t>
  </si>
  <si>
    <t>PROGRAMA No 4.4. PREVENCIÓN, CONTROL Y MONITOREO DEL AIRE Y SUELO</t>
  </si>
  <si>
    <t>PROYECTO No 4.4.1. AIRE</t>
  </si>
  <si>
    <t>4.4.1.1. Realizar acciones tendientes a actualizar la situación de concentración de contaminantes criterio en la calidad del aire del Departamento del Atlántico</t>
  </si>
  <si>
    <t>Número de estaciones de calidad del aire en operación con reportes actualizado para el Sistema de Vigilancia de la Calidad del Aire aplicando el Protocolo para el Monitoreo y Seguimiento</t>
  </si>
  <si>
    <t>65~Niveles medios anuales de partículas finas (por ejemplo, PM2.5 y PM10) en las ciudades (ponderados según la población)</t>
  </si>
  <si>
    <t>4.4.1.2. Realizar un rediseño del sistema de vigilancia de la calidad del aire en el Departamento del Atlántico.</t>
  </si>
  <si>
    <t>Número de Sistema rediseñado</t>
  </si>
  <si>
    <t>4.4.1.3. Realizar informes mensuales para el Sistema de Calidad del Aire -SISAIRE (Resolución 651 de 29 de marzo de 2010).</t>
  </si>
  <si>
    <t>Número de informes mensuales el Subsistema de información de calidad del aire-SISAIRE realizados</t>
  </si>
  <si>
    <t>4.4.1.4. Tramitar y obtener certificado de acreditación del Sistema de Vigilancia de la Calidad del Aire acreditado con NTC ISO 17025 por el IDEAM ( Par. 2 del artículo 2.2.8.9.1.5 del Decreto Único 1076 de 2015).</t>
  </si>
  <si>
    <t>Número de sistema de vigilancia de calidad de Aire acreditado</t>
  </si>
  <si>
    <t>4.4.1.5. Realizar evaluación, seguimiento y control ambiental de las emisiones atmosféricas en el Departamento.</t>
  </si>
  <si>
    <t>Porcentaje de seguimiento y evaluación de emisiones atmosféricas</t>
  </si>
  <si>
    <t>4.4.1.6. Estimar las emisiones de Gases de Efecto Invernadero (GEI) sectorial en el Departamento del Atlántico.</t>
  </si>
  <si>
    <t>Número de estudios técnicos de estimación de GEI</t>
  </si>
  <si>
    <t>88~Número de países que han comunicado el establecimiento o la puesta en funcionamiento de una estrategia/plan/política integrada que aumenta su capacidad para adaptarse a los efectos adversos del cambio climático y fomenta la resiliencia al cambio climático de bajas emisiones de gases efecto invernadero de una manera que no amenace la producción de comida (incluyendo un plan nacional de adaptación, contribución determinada a nivel nacional, comunicación nacional, informe bienal de actualización, u otros) .</t>
  </si>
  <si>
    <t>4.4.1.7. Elaborar el Inventario de emisiones atmosféricas aplicando la Guía para la elaboración de Inventario de Emisiones Atmosféricas</t>
  </si>
  <si>
    <t>Número de documentos técnicos elaborados</t>
  </si>
  <si>
    <t>PROYECTO No 4.4.2. OLORES</t>
  </si>
  <si>
    <t>4.4.2.1. Controlar las actividades productoras de olores ofensivos en el Departamento</t>
  </si>
  <si>
    <t>Número de operativos de actividades generadoras de olores ofensivos realizados por año</t>
  </si>
  <si>
    <t>PROYECTO No 4.4.3. RUIDO</t>
  </si>
  <si>
    <t>4.4.3.2. Promover la adecuada gestión ambiental de las actividades generadoras de emisiones de ruido en el Departamento del Atlántico</t>
  </si>
  <si>
    <t>Porcentaje de quejas atendidas</t>
  </si>
  <si>
    <t>En ejercicio de las labores de control y seguimiento ambiental en la vigencia 2023 se recibieron setenta y cinco (75) quejas asociada a las problemáticas por contaminación sonora en el departamento del Atlántico. Así mismo se logro la atención de treinta y cinco en respuesta oportuna a nuestros usuarios.</t>
  </si>
  <si>
    <t>4.4.3.3. (A) Proporcionar apoyo técnico a los municipios del Departamento del Atlántico en las mediciones de emisión de ruido</t>
  </si>
  <si>
    <t>Número de equipos adquiridos</t>
  </si>
  <si>
    <t>4.4.3.3. (B) Proporcionar apoyo técnico a los municipios del Departamento del Atlántico en las mediciones de emisión de ruido</t>
  </si>
  <si>
    <t>Número de equipos calibrados</t>
  </si>
  <si>
    <t>PROYECTO No 4.4.4. RESIDUOS Y ECONOMÍA CIRCULAR</t>
  </si>
  <si>
    <t>4.4.4.1. Fomentar el aprovechamiento local del plástico y otros materiales reciclables en los municipios costeros del Departamento del Atlántico</t>
  </si>
  <si>
    <t>222~Tasa nacional de reciclado, toneladas de material reciclado</t>
  </si>
  <si>
    <t>4.4.4.2. Realizar seguimiento a la implementación del PGIRS municipios de la jurisdicción de la CRA.</t>
  </si>
  <si>
    <t xml:space="preserve"> Número de municipios con seguimiento de los PGIRS</t>
  </si>
  <si>
    <t>141~Porcentaje de residuos sólidos urbanos recolectados periódicamente con descarga final adecuada con respecto al total de los desechos generados por la ciudad</t>
  </si>
  <si>
    <t>4.4.4.3. Realizar seguimiento a la implementación del Plan de Gestión de Residuos Peligrosos de los municipios de la jurisdicción de la CRA.</t>
  </si>
  <si>
    <t>Porcentaje de seguimiento en la implementación del PGRESPEL del Departamento</t>
  </si>
  <si>
    <t>Durante la vigencia 2023 se identificaron las actividades contenidas en el documento que en el largo plazo se desarrollarán para la implementación de PGRESPEL en el departamento dando cumplimiento al 100% de la meta programada.
Las actividades cumplidas a la fecha corresponden a:
•	Promoción de la recolección selectiva y devolución de productos posconsumo a nivel industrial y doméstico.
•	Adopción e implementación de los instrumentos de gestión de RESPEL.
•	Capacitación y divulgación a funcionarios de la C.R.A para el adecuado seguimiento y control de la gestión integral de los RESPEL.
•	Articulación entre generadores, gestores y entidades (Empresas de servicios públicos, Alcaldías municipales y organizaciones de la sociedad civil) relacionadas con la gestión integral de los RESPEL.
•	Promoción y capacitación a generadores y gestores sobre su participación en la gestión integral de los RESPEL.
•	Divulgación y sensibilización sobre la gestión de residuos peligrosos en el área de jurisdicción de la C.R.A.  
•	Creación y operación de la ventanilla ambiental.
•	Seguimiento y control al registro de generadores de residuos peligrosos en las diferentes plataformas existentes.
•	Mejoramiento de la gestión documental de los expedientes de generadores y gestores RESPEL.
•	Seguimiento y control a los generadores del sector industrial, estaciones de servicio de combustible, entidades de salud y otros.
•	Seguimiento y control a los gestores de RESPEL en coordinación con las autoridades ambientales involucradas con la gestión externa.</t>
  </si>
  <si>
    <t>4.4.4.4. Actualizar el registro y reporte de usuarios generadores de RESPEL</t>
  </si>
  <si>
    <t>Porcentaje de registros y reportes actualizados</t>
  </si>
  <si>
    <t>4.4.4.5. Crear una Agenda Departamental de Economía Circular: materiales industriales y productos de uso masivo (RAEE, RESPEL, llantas usadas), Materiales de envases y empaques; Flujos de Biomasa, Flujos de Agua, Fuentes y flujos de energía, materiales de construcción.</t>
  </si>
  <si>
    <t>Número de agendas de economía circular elaboradas</t>
  </si>
  <si>
    <t>4.4.4.6. Ejecutar proyectos en el marco de la Agenda Departamental de Economía</t>
  </si>
  <si>
    <t>Número de proyectos de economía circular ejecutados</t>
  </si>
  <si>
    <t>PROGRAMA No 4.5. INSTRUMENTOS ECONÓMICOS Y DE CONTROL AMBIENTAL</t>
  </si>
  <si>
    <t>PROYECTO No 4.5.1. EVALUACIÓN, SEGUIMIENTO Y CONTROL AMBIENTAL</t>
  </si>
  <si>
    <t>4.5.1.1. Promover la eficiencia en la evaluación, seguimiento y control de trámites ambientales</t>
  </si>
  <si>
    <t>Porcentaje de trámites atendidos para la evaluación, seguimiento y resolución de autorizaciones ambientales otorgadas por la corporación, con cumplimiento de los términos otorgados por la Ley</t>
  </si>
  <si>
    <t>4.5.1.2. Atender oportuna y eficazmente las quejas ambientales y procesos sancionatorios</t>
  </si>
  <si>
    <t>Porcentaje de quejas y procesos sancionatorios resueltos</t>
  </si>
  <si>
    <t>4.5.1.3. Realizar seguimiento a medidas de compensación</t>
  </si>
  <si>
    <t>Porcentaje de autorizaciones ambientales con seguimiento.</t>
  </si>
  <si>
    <t>4.5.1.4. Promover instrumentos de formalización minera para identificar actividades ilegales en los Sectores productivos de alto impacto</t>
  </si>
  <si>
    <t>4.5.1.5. Promover instrumentos de formalización minera para identificar y monitorear actividades ilegales en los Sectores productivos de alto impacto</t>
  </si>
  <si>
    <t>Porcentaje de usuarios ilegales identificados con procesos de formalización de la actividad minera</t>
  </si>
  <si>
    <t>4.5.1.6. Atender oportuna y eficazmente las quejas ambientales</t>
  </si>
  <si>
    <t>Porcentaje de quejas y de seguimiento a la red amigos de la fauna</t>
  </si>
  <si>
    <t>4.5.1.7. Controlar el tráfico ilegal de especies de Fauna y Flora en el Atlántico</t>
  </si>
  <si>
    <t xml:space="preserve">Porcentaje de denuncias atendidas </t>
  </si>
  <si>
    <t>174~Proporción de la vida silvestre que fue cazado furtivamente u objeto de tráfico ilícito</t>
  </si>
  <si>
    <t>4.5.1.8 Atender oportuna y eficazmente las quejas ambientales</t>
  </si>
  <si>
    <t>Número de CAVF implementado</t>
  </si>
  <si>
    <t>PROYECTO No 4.5.2. INSTRUMENTOS ECONÓMICOS</t>
  </si>
  <si>
    <t>4.5.2.1. Implementar instrumentos económicos dependiendo de la actividad y su afectación al ambiente</t>
  </si>
  <si>
    <t>Número de bases de datos elaboradas</t>
  </si>
  <si>
    <t>PROGRAMA No 4.6. COMUNIDADES Y TERRITORIOS CON CONOCIMIENTO Y ADAPTACIÓN A LA GESTIÓN DEL RIESGO</t>
  </si>
  <si>
    <t>PROYECTO No 4.6.1. CONOCIMIENTO Y ADAPTACIÓN A LA GESTIÓN DEL RIESGO</t>
  </si>
  <si>
    <t>4.6.1.1. Elaborar estudios técnicos para el conocimiento y reducción del riesgo e incorporación de la gestión del riesgo en el ordenamiento territorial de los municipios</t>
  </si>
  <si>
    <t>Número de mapas de riesgo elaborados</t>
  </si>
  <si>
    <t>4.6.1.2. Actualizar estudios técnicos para el conocimiento y reducción del riesgo elaborados e incorporación de la gestión del riesgo en el ordenamiento territorial de los municipios</t>
  </si>
  <si>
    <t>Número de mapas de amenazas actualizados</t>
  </si>
  <si>
    <t>Porcentaje de municipios asesorados anualmente</t>
  </si>
  <si>
    <t>4.6.1.4. Brindar acompañamiento y asistencia a las entidades territoriales del Departamento del Atlántico, susceptibles de amenazas por incendios de cobertura vegetal</t>
  </si>
  <si>
    <t>Número de municipios asistidos</t>
  </si>
  <si>
    <t>PROGRAMA No 4.7. COMUNIDADES Y TERRITORIOS CON CONOCIMIENTO Y ADAPTACIÓN CAMBIO CLIMÁTICO</t>
  </si>
  <si>
    <t>PROYECTO No 4.7.1. CONOCIMIENTO Y ADAPTACIÓN AL CAMBIO CLIMÁTICO</t>
  </si>
  <si>
    <t>4.7.1.1. Formular e implementar intervenciones locales orientadas a reducir la vulnerabilidad y el aumento de la resiliencia a la variabilidad y al cambio climático, en articulación con la Política Nacional de Cambio Climático y el PGICCTA del Departamento del Atlántico.</t>
  </si>
  <si>
    <t>Número de proyectos para ejecutar acciones para la mitigación y adaptación</t>
  </si>
  <si>
    <t>LÍNEA ESTRATÉGICA No. 5. SOSTENIBILIDAD INSTITUCIONAL</t>
  </si>
  <si>
    <t>PROGRAMA No 5.1. GESTIÓN HUMANA (PERSONAL COMPETENTE PARA LA SOSTENIBILIDAD AMBIENTAL EN EL DEPARTAMENTO)</t>
  </si>
  <si>
    <t>PROYECTO No 5.1.1. BIENESTAR SOCIAL</t>
  </si>
  <si>
    <t>5.1.1.1. Realizar un estudio para el fortalecimiento Institucional de la Entidad encaminado a la ampliación de la planta de personal y la creación de nuevos cargos.</t>
  </si>
  <si>
    <t>Numero de estudios realizados</t>
  </si>
  <si>
    <t>5.1.1.2. Garantizar la libre asociación de los funcionarios de la Entidad</t>
  </si>
  <si>
    <t>Numero de actividades desarrolladas por el grupo de funcionarios que pertenecen al sindicato/actividades planeadas</t>
  </si>
  <si>
    <t>6~Aumento en el cumplimiento nacional de los derechos laborales (libertad de asociación y negociación colectiva) sobre la base de fuentes textuales de la OIT y la legislación nacional, por sexo y la condición de migrante</t>
  </si>
  <si>
    <t>5.1.1.3. Elaborar y ejecutar el programa de capacitación y bienestar social de la Entidad para fortalecer los conocimientos, habilidades y destrezas de los funcionarios de la Corporación teniendo en cuenta los tres ejes del Plan Nacional de Formación y Capacitación: Gobernanza para la paz, Gestión del conocimiento, Creación del valor público</t>
  </si>
  <si>
    <t>Porcentaje de Funcionarios de planta capacitados</t>
  </si>
  <si>
    <t>164~Proporción de la población que se siente satisfecha con su última experiencia de los servicios públicos</t>
  </si>
  <si>
    <t>5.1.1.4. Otorgar auxilios de tipo educativo y otros, a funcionarios que cumplen ciertos requisitos.</t>
  </si>
  <si>
    <t>Número de auxilios</t>
  </si>
  <si>
    <t>110~Porcentaje de jóvenes y adultos con conocimientos de tecnología de la información y las comunicaciones (TIC) por tipo de conocimiento técnico</t>
  </si>
  <si>
    <t>PROGRAMA No 5.2. SEGURIDAD Y SALUD EN EL TRABAJO</t>
  </si>
  <si>
    <t>PROYECTO No 5.2.1. SG-SST</t>
  </si>
  <si>
    <t>5.2.1.1. Mantener calificación superior a 90 sobre 100 en la continuidad y mejoramiento del SG-SST (Resolución 312 de 2019 y el decreto 1072 de 2015)</t>
  </si>
  <si>
    <t>Número de Informes (anuales)</t>
  </si>
  <si>
    <t>224~Tasas de frecuencia de lesiones ocupacionales mortales y no mortales, por sexo y situación migratoria</t>
  </si>
  <si>
    <t>5.2.1.2. Realizar diagnostico del perfil sociodemográfico y de las condiciones de salud de los trabajadores</t>
  </si>
  <si>
    <t>Número de Documentos</t>
  </si>
  <si>
    <t>5.2.1.3. Realizar informes de ejecución de las actividades de medicina preventiva y del trabajo, promoción y prevención y programas de vigilancia epidemiológica</t>
  </si>
  <si>
    <t>Número de Informes de ejecución de actividades</t>
  </si>
  <si>
    <t>145
198
248</t>
  </si>
  <si>
    <t>5.2.1.4. Realizar reportes periódicos sobre la práctica de exámenes médicos ocupacionales de ingreso, control periódico y retiro de todos los trabajadores y de control periódico para los colaboradores con contratos iguales o superiores a seis meses</t>
  </si>
  <si>
    <t>No. de reportes de Información</t>
  </si>
  <si>
    <t>5.2.1.5. Realizar reportes anuales sobre los funcionarios y trabajadores en misión, los elementos de protección personal y colectiva que se requieren para el desarrollo de una labor segura y los elementos de protección frente a brotes pandémicos generadores de emergencias económicas, sociales y ecológicas</t>
  </si>
  <si>
    <t>No. de reportes anuales</t>
  </si>
  <si>
    <t>5.2.1.6. Garantizar, conforme a la matriz de peligros y riesgos de la CRA la realización de estudios que contengan las mediciones ambientales de iluminación, ruido, agentes biológicos, químicos y demás establecidos en dicha matriz</t>
  </si>
  <si>
    <t>No. de estudios realizados</t>
  </si>
  <si>
    <t>5.2.1.7. Garantizar la capacitación de trabajo en alturas a funcionarios y contratistas de la Corporación para la mejora de la gestión del riesgo de seguridad y salud</t>
  </si>
  <si>
    <t>No. de capacitaciones realizadas</t>
  </si>
  <si>
    <t>PROYECTO No 5.2.2. PLAN ESTRATÉGICO DE SEGURIDAD VIAL (PESV)</t>
  </si>
  <si>
    <t>5.2.2.1. Garantizar el mantenimiento, continuidad y mejora del Plan Estratégico de Seguridad vial de la CRA (Resolución 1565 de 2014, Resolución 1231 de 2016 y Decreto 2106 de 2019, Resolución 0312 de 2019. Decreto 1079 de 2015.)</t>
  </si>
  <si>
    <t>No. de informes con resultado proyectado</t>
  </si>
  <si>
    <t>PROGRAMA No 5.3. TECNOLOGÍA (TECNOLOGIA DE PUNTA PARA LA AUTORIDAD AMBIENTAL)</t>
  </si>
  <si>
    <t>PROYECTO No 5.3.1. ESTRATEGIA Y GOBIERNO TI</t>
  </si>
  <si>
    <t>5.3.1.1. Formular el Plan estratégico de Tecnologías de Información PETI 2020-2023. 
 Formulación de la Política de Gobierno Digital y el Marco de Referencia de Arquitectura Empresarial</t>
  </si>
  <si>
    <t>No. de Planes Formulados</t>
  </si>
  <si>
    <t>5.3.1.2. Garantizar la divulgación y ejecución del Plan de Comunicaciones del PETI</t>
  </si>
  <si>
    <t>Porcentaje de divulgación y ejecución</t>
  </si>
  <si>
    <t>5.3.1.3. Diseñar e implementar un sistema de gestión de seguridad de la información basado en la norma ISO 27001</t>
  </si>
  <si>
    <t>Sistema de gestión implementado</t>
  </si>
  <si>
    <t>PROYECTO No 5.3.2. SERVICIOS TECNOLÓGICOS</t>
  </si>
  <si>
    <t>5.3.2.1. Adquirir, mantener y dar soporte a los equipos de cómputo, periféricos y sistema eléctricos de respaldo a las labores de la Entidad</t>
  </si>
  <si>
    <t>Porcentaje de equipos reemplazados y mantenidos</t>
  </si>
  <si>
    <t>5.3.2.2. Implementar servicios de voz, datos corporativos y servidores virtualizados en la entidad</t>
  </si>
  <si>
    <t>Porcentaje de implementación de servicios tecnológicos</t>
  </si>
  <si>
    <t>5.3.2.3. Actualizar el software de base de la Corporación</t>
  </si>
  <si>
    <t>Porcentaje de actualización de software</t>
  </si>
  <si>
    <t>5.3.2.4. Implementar servicios tecnológicos que dinamicen la realización de actividades internas y externas de la entidad</t>
  </si>
  <si>
    <t>Número de servicios tecnológicos implementados</t>
  </si>
  <si>
    <t>PROGRAMA No 5.4. COMUNICACIONES (FORTALECIMIENTO DE LA PRESENCIA INSTITUCIONAL EN MEDIOS DE COMUNICACIÓN)</t>
  </si>
  <si>
    <t>PROYECTO No 5.4.1. FORTALECIMIENTO DE LA IMAGEN INSTITUCIONAL</t>
  </si>
  <si>
    <t>5.4.1.1. Diseñar e implementar estrategias de comunicación para fortalecer la imagen institucional de la CRA</t>
  </si>
  <si>
    <t>Número Estrategias de Comunicación para el fortalecimiento de la imagen institucional</t>
  </si>
  <si>
    <t>41
185
196
58
101
165
194
118</t>
  </si>
  <si>
    <t>5.4.1.3. Realizar campañas institucionales en medios de comunicación tradicionales y nuevas tecnologías</t>
  </si>
  <si>
    <t>Número de campañas institucionales impulsadas</t>
  </si>
  <si>
    <t>5.4.1.4. Promover la participacion de la comunidad en las actividades de la corporación.</t>
  </si>
  <si>
    <t>Número de interacciones con la comunidad a través de redes sociales</t>
  </si>
  <si>
    <t>5.4.1.2. Aumentar el número de visitas y seguidores en canales virtuales de la entidad</t>
  </si>
  <si>
    <t>Porcentaje de nuevos seguidores en canales virtuales</t>
  </si>
  <si>
    <t>PROGRAMA No 5.5. BANCO DE PROYECTOS (CREATIVIDAD PARA LA EJECUCION DE PROYECTOS AMBIENTALES)</t>
  </si>
  <si>
    <t>PROYECTO No 5.5.1. FORTALECIMIENTO DEL BANCO DE PROYECTOS</t>
  </si>
  <si>
    <t>5.5.1.1. Gestionar recursos externos nacionales e internacionales a partir de la formulación y ejecución de proyectos ambientales</t>
  </si>
  <si>
    <t>Número de proyectos con financiación nacional o internacional</t>
  </si>
  <si>
    <t>5.5.1.2. Apoyar la formulación, radicación y evaluación de proyectos ambientales radicados en la entidad.</t>
  </si>
  <si>
    <t>Porcentaje de proyectos revisados con relación a los radicados</t>
  </si>
  <si>
    <t>5.5.1.3. Adoptar herramientas para el seguimiento de los Instrumentos de Planeación y Administración de proyectos en la entidad</t>
  </si>
  <si>
    <t>Número de herramientas desarrolladas para seguimiento</t>
  </si>
  <si>
    <t>PROGRAMA No 5.6. SISTEMAS DE INFORMACIÓN AMBIENTAL</t>
  </si>
  <si>
    <t>PROYECTO No 5.6.1. GESTIÓN DE LA INFORMACIÓN</t>
  </si>
  <si>
    <t>5.6.1.1. Renovar y licenciar el Software para el desarrollo de las actividades misionales y administrativas de la entidad.</t>
  </si>
  <si>
    <t>Porcentaje de Renovación y Licenciamiento de Software</t>
  </si>
  <si>
    <t>5.6.1.2. Mantener la pagina web, intranet y subportales de la Entidad</t>
  </si>
  <si>
    <t>Porcentaje de mantenimiento</t>
  </si>
  <si>
    <t>Con las acciones desarrolladas en la vigencia 2023 se puede evidenciar que la meta asociada a la presente acción estratégica, se ha cumplido al 100% se evidencia en el word el listado.</t>
  </si>
  <si>
    <t>5.6.1.3. Implementar Software de soporte para la Oficina Jurídica</t>
  </si>
  <si>
    <t>(Numero de software adquiridos y/o desarrollados / Numero de software necesario para la gestión institucional)*100))</t>
  </si>
  <si>
    <t>5.6.1.4. Implementar Software de soporte para PQRS</t>
  </si>
  <si>
    <t>5.6.1.5. Formular e Implementar la Política de Seguridad y Manejo de la Informacion y el Marco de Interoperabilidad</t>
  </si>
  <si>
    <t>Documento de Política Formulado e implementado</t>
  </si>
  <si>
    <t>PROYECTO No 5.6.2. SISTEMAS DE INFORMACIÓN AMBIENTAL (SIAC)</t>
  </si>
  <si>
    <t>5.6.2.1. Implementar, mantener y mejorar estrategias para la consolidacion del sistema de informacion geografico ambiental y su articulacion con las diferentes entidades del SINA.</t>
  </si>
  <si>
    <t>Porcentaje de implementación y mantenimiento de la herramienta</t>
  </si>
  <si>
    <t>5.6.2.2. Dar cumplimiento a la normatividad vigente en materia de Mantenimiento y operación de los subsistemas de SIAC a través de la entrega de información ambiental en: VITAL, RESPEL, RUA, PCBS, SISAIRE, SNIF, SIRH, SIB, SIAM, SMBYC, SIPGA CAR, SINAP-RUNAP, SIUR</t>
  </si>
  <si>
    <t>PROGRAMA No 5.7. SISTEMAS DE GESTIÓN INTEGRADOS</t>
  </si>
  <si>
    <t>PROYECTO No 5.7.1. SISTEMA DE GESTIÓN DE CALIDAD, AMBIENTAL Y SEGURIDAD Y SALUD EN EL TRABAJO.</t>
  </si>
  <si>
    <t>5.7.1.1. Realizar ciclos de auditoría interna de conformidad con la metodología vigente</t>
  </si>
  <si>
    <t>Numero de Auditorias internas realizadas al sistema de gestión integrado</t>
  </si>
  <si>
    <t>5.7.1.2. Mantener la certificación del sistema de gestión de la calidad según NTC ISO 9001:2015</t>
  </si>
  <si>
    <t>Número de Sistemas de Gestión certificados y mantenidos</t>
  </si>
  <si>
    <t xml:space="preserve">82
63
</t>
  </si>
  <si>
    <t>5.7.1.3. Implementar un sistema de seguridad y salud en el trabajo, según norma NTC 45001:2015</t>
  </si>
  <si>
    <t>No. de sistemas implementados según NTC 45001:2018 (Sistema de Gestión de la Seguridad y Salud en el Trabajo)</t>
  </si>
  <si>
    <t>5.7.1.4. Implementar un sistema de gestión ambiental según la norma NTC ISO 14001:2015</t>
  </si>
  <si>
    <t>No. de sistemas implementados egún NTC ISO 14001:2015 (Sistema de Gestión Ambiental )</t>
  </si>
  <si>
    <t>PROYECTO No 5.7.2. NTC 17025</t>
  </si>
  <si>
    <t>5.7.2.1. Implementar una norma para la calibración de equipos según ISO 17025: 2017 (Ensayo y Calibración)</t>
  </si>
  <si>
    <t>Norma ISO Implementada</t>
  </si>
  <si>
    <t>PROYECTO No 5.7.3. MIPG</t>
  </si>
  <si>
    <t>5.7.3.1. Implementar un modelo integrado de planeación y gestión, de conformidad con el Decreto 1499/17</t>
  </si>
  <si>
    <t>No. de modelos implementados</t>
  </si>
  <si>
    <t>PROGRAMA No 5.8. GESTIÓN DOCUMENTAL Y ARCHIVO</t>
  </si>
  <si>
    <t>PROYECTO No 5.8.1. SGD</t>
  </si>
  <si>
    <t>5.8.1.1. Disponer de un Archivo Central en condiciones de funcionamiento adecuadas</t>
  </si>
  <si>
    <t>Porcentaje de Documentos custodiados (correspondientes al archivo central)</t>
  </si>
  <si>
    <t xml:space="preserve">124
</t>
  </si>
  <si>
    <t>81~Número de países que adoptan y aplican garantías constitucionales, legales y / o de política para el acceso público a la información</t>
  </si>
  <si>
    <t>5.8.1.2. Adelantar procesos de digitalización de información sensible y de importancia en la entidad</t>
  </si>
  <si>
    <t>Porcentaje de documentos digitalizados (correspondientes a áreas misionales y estratégicas)</t>
  </si>
  <si>
    <t>5.8.1.3. Elaborar instrumentos archivísticos y de gestión de la información para la planificación de la gestión documental</t>
  </si>
  <si>
    <t>Número de Instrumentos archivísticos creados.</t>
  </si>
  <si>
    <t>5.8.1.4. Revisar y Actualizar los instrumentos archivísticos y de gestión de la información que existen en la entidad</t>
  </si>
  <si>
    <t>Número de Instrumentos archivísticos actualizados.</t>
  </si>
  <si>
    <t>5.8.1.5. Garantizar el cumplimiento de la normatividad de la gestión documental en cada uno de los archivos de gestión de la entidad</t>
  </si>
  <si>
    <t>Número de Archivos Gestionados.</t>
  </si>
  <si>
    <t xml:space="preserve">076
080
134
135
</t>
  </si>
  <si>
    <t>5.8.1.6. Fomentar el saneamiento de expedientes</t>
  </si>
  <si>
    <t>Porcentaje de expedientes con saneamiento</t>
  </si>
  <si>
    <t xml:space="preserve">134
135
</t>
  </si>
  <si>
    <t>PROGRAMA No 5.9. SOPORTE JURIDICO (UNA ENTIDAD QUE CUIDA SUS RECURSOS)</t>
  </si>
  <si>
    <t>PROYECTO No 5.9.1. DEFENSA JURÍDICA</t>
  </si>
  <si>
    <t>5.9.1.1. Atender los trámites jurídico procesales de la Entidad.</t>
  </si>
  <si>
    <t>Porcentaje de atención de trámites procesales</t>
  </si>
  <si>
    <t>5.9.1.2. Formular e implementar la política de prevención del daño antijurídico.</t>
  </si>
  <si>
    <t>Implementación y Formulación de las políticas de prevención de daño antijurídico.</t>
  </si>
  <si>
    <t>PROYECTO No 5.9.2. PQRS</t>
  </si>
  <si>
    <t>5.9.2.1. Atender las PQRS radicadas en la Entidad.</t>
  </si>
  <si>
    <t>Porcentaje de Atención de las PQRS</t>
  </si>
  <si>
    <t xml:space="preserve">016
009
157
017
</t>
  </si>
  <si>
    <t>PROYECTO No 5.9.3. CONTRATACIÓN ESTATAL</t>
  </si>
  <si>
    <t>5.9.3.1. Atender los trámites procesales contractuales requeridos por la Dirección de la Entidad</t>
  </si>
  <si>
    <t>Porcentaje de Atención a las necesidades contractuales de cada dependencia.</t>
  </si>
  <si>
    <t>PROGRAMA No 5.10. GESTIÓN DE INFRAESTRUCTURA (CONDICIONES ADECUADAS PARA PRESTAR UN MEJOR SERVICIO)</t>
  </si>
  <si>
    <t>PROYECTO No 5.10.1. EFICIENCIA ENERGÉTICA</t>
  </si>
  <si>
    <t>5.10.1.1. Realizar auditorías energéticas a la CRA para desarrollar un programas de eficiencia energética</t>
  </si>
  <si>
    <t>Numero de auditorias realizadas</t>
  </si>
  <si>
    <t>PROYECTO No 5.10.2. MANTENIMIENTO Y ADQUISICIÓN DE NUEVOS ELEMENTOS</t>
  </si>
  <si>
    <t>5.10.2.1. Garantizar la funcionalidad de la infraestructura de la Entidad a partir de su mantenimiento preventivo o reposición</t>
  </si>
  <si>
    <t xml:space="preserve">100% de mantenimiento a infraestructura </t>
  </si>
  <si>
    <t xml:space="preserve">238
253
252
</t>
  </si>
  <si>
    <t>5.10.2.2. Garantizar el mantenimiento y adecuación (bienes inmuebles) de la sede principal y otras sedes de la corporación</t>
  </si>
  <si>
    <t xml:space="preserve">100% de mantenimiento a inmuebles </t>
  </si>
  <si>
    <t>5.10.2.3. Disponer de vehículos para las áreas misionales y administrativas de la entidad.</t>
  </si>
  <si>
    <t>Número de vehículos disponibles para las áreas estratégicas, misionales y de apoyo en la entidad.</t>
  </si>
  <si>
    <t xml:space="preserve">5.11 PROGRAMA DEFICIT DE VIGENCIAS ANTERIORES </t>
  </si>
  <si>
    <t>5.11.1. PROYECTO SANEAMIENTO FINANCIERO DEFICIT FISCAL 2019</t>
  </si>
  <si>
    <t>5.11.1.1. Saneamiento Déficit Fiscal 2019</t>
  </si>
  <si>
    <t>Porcentaje de avance en el pago de deficit fiscal</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</si>
  <si>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</si>
  <si>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</si>
  <si>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PRESUPUESTO</t>
  </si>
  <si>
    <t>s</t>
  </si>
  <si>
    <t>ANEXO No. 2.PROTOCOLO O GUÍA DE DILIGENCIAMIENTO</t>
  </si>
  <si>
    <t xml:space="preserve">ITEM </t>
  </si>
  <si>
    <t>Enuncie el nombre de cada uno de los componentes de la estructura jerárquica del PAC (Línea estrategica, Programa, Proyecto, Actividad). Inserte filas cuando sea necesario.</t>
  </si>
  <si>
    <t>Indicador establecido para la medición del avance de cada una de las metas previstas en el PAC.</t>
  </si>
  <si>
    <t>(3) UNIDAD DE MEDIDA</t>
  </si>
  <si>
    <t>Relacione la unidad de medida por medio de la cual se determina la meta y el avance de la meta física, ejemplo hectáreas, número, porcentaje, metros, etcl</t>
  </si>
  <si>
    <t>(3) META FÍSICA ANUAL</t>
  </si>
  <si>
    <t>corresponde al valor de la meta anual programada para el año que se este evaluando, con relación a la acción estrategica o actividad registrado en la columna (1). Ejemplo: hectáreas reforestadas, microcuencas con plan de ordenamiento formulado, # de vertimientos reglamentados, etc.</t>
  </si>
  <si>
    <t xml:space="preserve">(4) AVANCE EJECUCIÓN DE LA META FISICA  </t>
  </si>
  <si>
    <t>Reporte el avance en la ejecución de la meta para el periodo evaluado en terminos de producto. Ejemplo: 35 hectáreas reforestadas, 3 microcuencas con plan de ordenamiento formulado, etc.  Si no se presenta avance diligenciar la matriz con ceros (0,0) y en ningún caso dejar celdas en blanco.</t>
  </si>
  <si>
    <t>(5) AVANCE DEL REZAGO DE LA META FISICA</t>
  </si>
  <si>
    <t xml:space="preserve">Corresponde al registro de avance en la ejecución de las metas del proyecto que no fueron cumplidas en la vigencia anterior. </t>
  </si>
  <si>
    <t xml:space="preserve">(6) PORCENTAJE DE AVANCE FISICO </t>
  </si>
  <si>
    <t>Calcule el porcentaje del avance anual de la Meta física programada. Divida el valor de la columna  (4) con el valor de la columna (3) y multiplique por 100. Si hay reporte de rezagos calcule el avance sumando el avance registrado en la respectiva vigencia con el avance de rezago, divida por el valor de la meta (columna 3) y multiplique por 100. 
El cálculo de avance de los niveles superiores debe afectarse por el valor de ponderación de la columna 14. Si no se presenta avance en el programa o proyecto, se deberá diligenciar la matriz con ceros (0,0) y en ningún caso dejar celdas en blanco.</t>
  </si>
  <si>
    <t xml:space="preserve">(7) DESCRIPCIÓN DEL AVANCE </t>
  </si>
  <si>
    <t>En esta columna se debe describir brevemente en que consiste el avance registrado</t>
  </si>
  <si>
    <t>Corresponde a la fecha de corte del reporte. Semestre I: 30 junio e informe anual: 31 diciembre</t>
  </si>
  <si>
    <t>Indique si la evidencia que se registra corresponde a contratos o convenios o acciones de funcionamiento.</t>
  </si>
  <si>
    <t>Si en la columna 9 seleccionó la opción funcionamiento, en esta columna debe indicar como se realizó.</t>
  </si>
  <si>
    <t>Si en la columna 9 seleccionó la opción contrato, en esta columna debe indicar si este se encuentra en ejecución, liquidado, con saldo a favor o en reserva.</t>
  </si>
  <si>
    <t>Si en la columna 9 seleccionó la opción contrato, en esta columna debe indicar el número del contrato o convenio.</t>
  </si>
  <si>
    <t xml:space="preserve"> (10) META FISICA DEL PAC</t>
  </si>
  <si>
    <t>Identifique el valor  (en numero) de la meta del plan de acción con relación a las acciones estrategicas o actividades registradas en la columna (1). Ejemplo: hectáreas reforestadas, microcuencas con plan de ordenamiento formulado, # de vertimientos reglamentados, etc.</t>
  </si>
  <si>
    <t>(11) AVANCE ACUMULADO DE LA META FISICA</t>
  </si>
  <si>
    <t>Reporte el avance acumulado de la meta física que se obtenga desde la aprobación del Plan de Acción, incluyendo el periodo evaluado.  Ejemplo 100 Ha reforestadas (2020), más 140 Ha reforestadas (2021), para un acumulado de 240 Ha (2020+2021)</t>
  </si>
  <si>
    <t>(12) PORCENTAJE DE AVANCE FISICO ACUMULADO</t>
  </si>
  <si>
    <t>Calcule el porcentaje del avance de la Meta física acumulada. Divida el valor de la columna  (11) con el valor de la columna (10) y multiplique por 100.</t>
  </si>
  <si>
    <t>PONDERACIONES  PAC 2020 -2023</t>
  </si>
  <si>
    <t>Relacione aquí las ponderaciones o pesos dados a cada componente del Plan de Acción teniendo en cuenta que:
•	La suma de todas las ponderaciones de las líneas estratégicas debe ser 100.
•	La suma de las ponderaciones de los programas asociados a cada línea estratégica debe ser 100.
•	La suma de las ponderaciones de los proyectos asociados a los programas debe ser 100
•	La suma de las ponderaciones de los objetivos asociados a los proyectos debe ser 100.
•	La suma de las ponderaciones de los productos asociados al Objetivo debe ser 100.
•	La suma de las ponderaciones de las actividades asociadas a los objetivos debe ser 100.</t>
  </si>
  <si>
    <t>Relacione aquí las ponderaciones o pesos dados a cada componente del Plan de Acción en la vigencia objeto del reporte, teniendo en cuenta que, si alguna actividad, proyecto o programa no tiene metas para la vigencia el valor establecido para esta debe distribuirse de forma equitativa entre los componentes que si tienen meta.</t>
  </si>
  <si>
    <t>(15) META FINANCIERA ANUAL</t>
  </si>
  <si>
    <t>Relacione aquí de acuerdo al plan de inversión vigente (incluye adiciones o modificaciones) los montos de inversión anual previstos para cada Linea, programa, proyecto y actividad. Recuerde que no se pueden relacionar productos para actividades que no tienen meta asociada para la vigencia objeto de reporte</t>
  </si>
  <si>
    <t xml:space="preserve">(16) AVANCE DE LOS RECURSOS COMPROMETIDOS (Recursos comprometidos periodo Evaluado) </t>
  </si>
  <si>
    <r>
      <t>Reporte el avance acumulado para el periodo evaluado de la ejecución de recursos comprometidos de la respectiva meta financiera anual programada en la columna (15).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</si>
  <si>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(17)  PORCENTAJE DEL AVANCE DE COMPROMISOS % (Periodo Evaluado)</t>
  </si>
  <si>
    <t xml:space="preserve">Calcule el porcentaje del avance anual de la Meta financiera programada. Divida el valor de la columna  (16) con el valor de la columna (15) y multiplique por 100. </t>
  </si>
  <si>
    <t>Reporte el avance acumulado para el periodo evaluado de la ejecución de recursos obligados de la respectiva meta financiera anual programada en la columna (15). Se entiende por obligación el monto adeudado producto del desarrollo de los compromisos adquiridos por el valor equivalente a los bienes recibidos, servicios prestados y demás exigibilidades pendientes de pago. (manual para el registro de la contabilidad presupuestal pública)</t>
  </si>
  <si>
    <t>(19) PORCENTAJE DE AVANCE DE LOS RECURSOS OBLIGADOS  (AVANCE FINANCIERO)</t>
  </si>
  <si>
    <t xml:space="preserve">Calcule el porcentaje de ejecución financiera anual . Divida el valor de la columna  (18) con el valor de la columna (15) y multiplique por 100. </t>
  </si>
  <si>
    <t xml:space="preserve">(20) RESERVA PRESUPUESTAL 2023 </t>
  </si>
  <si>
    <t>Una reserva presupuestal se genera cuando el compromiso es legalmente constituido pero cuyo objeto no fue cumplido dentro del año fiscal que termina y será pagada con cargo a la reserva que se constituye a más tardar el 20 de enero de la vigencia siguiente. Se obtiene de restar el valor de la columna 16 con la columna 18</t>
  </si>
  <si>
    <t>(21) RESERVA PRESUPUESTAL DEL 2020</t>
  </si>
  <si>
    <t>Corresponde a los recuros que no lograron pagarse en la vigencia 2020</t>
  </si>
  <si>
    <t>(21-A) OBLIGACIONES DE LA RESERVA 2020</t>
  </si>
  <si>
    <t>Corresponde a los recursos de la reserva 2020 que lograron obligarse en la vigencia 2021</t>
  </si>
  <si>
    <t>(22) RESERVA PRESUPUESTAL DEL 2021</t>
  </si>
  <si>
    <t>Corresponde a los recuros que no lograron pagarse en la vigencia 2021</t>
  </si>
  <si>
    <t>(22-A) OBLIGACIONES DE LA RESERVA 2021</t>
  </si>
  <si>
    <t>Corresponde a los recursos de la reserva 2020 que lograron obligarse en la vigencia 2022</t>
  </si>
  <si>
    <t>(23) RESERVA PRESUPUESTAL DEL 2022</t>
  </si>
  <si>
    <t>(23-A) OBLIGACIONES DE LA RESERVA 2022</t>
  </si>
  <si>
    <t>Corresponde a los recursos de la reserva 2020 que lograron obligarse en la vigencia 2023</t>
  </si>
  <si>
    <t>(23-B) PORCENTAJE DE AVANCE EJECUCIÓN DE LA RESERVA 2022</t>
  </si>
  <si>
    <t xml:space="preserve">Calcule el porcentaje de ejecuciónde la reserva dividiendo el valor de la columna  (23A) con el valor de la columna (23) y multiplique por 100. </t>
  </si>
  <si>
    <t>(24) META FINANCIERA DEL PLAN</t>
  </si>
  <si>
    <t>Relacione aquí de acuerdo al plan de inversión del Plan de Acción  los montos de inversión previstos para cada programa o proyecto para los cuatro años. (incluye adiciones o modificaciones).</t>
  </si>
  <si>
    <t>(25) AVANCE ACUMULADO DE LREC. COMPROMETIDOS</t>
  </si>
  <si>
    <t>Reporte el avance acumulado de recursos comprometidoss en la vigencia del Plan de Acción, desde su aprobación hasta el periodo del informe.  Ejemplo $100'000.000.oo (2020) + $150'000.000.oo (2021), da un acumulado de inversión del Plan de Acción de $250'000.000.oo</t>
  </si>
  <si>
    <t>(26) PORCENTAJE DE  AVANCE RECURSOS COMPROMETIDOS</t>
  </si>
  <si>
    <t>Calcule el porcentaje del avance acumulado de los recursos comprometidos respecto a la Meta financiera programada en el Plan de Acción. Divida el valor de la columna  (25) con el valor de la columna (24) y multiplique por 100.</t>
  </si>
  <si>
    <t>(27) AVANCE ACUMULADO DE LA EJECUCIÓN DE META
FINANCIERA (REC. OBLIGADO</t>
  </si>
  <si>
    <t>Reporte el avance acumulado de recursos obligados en la vigencia del Plan de Acción, desde su aprobación hasta el periodo del informe.  Ejemplo $100'000.000.oo (2020) + $150'000.000.oo (2021), da un acumulado de inversión del Plan de Acción de $250'000.000.oo</t>
  </si>
  <si>
    <t>(28) PORCENTAJE DE  AVANCE FINANCIERO ACUMULADO</t>
  </si>
  <si>
    <t>Calcule el porcentaje del avance acumulado de los recursos obligados respecto a la Meta financiera programada en el Plan de Acción. Divida el valor de la columna  (27) con el valor de la columna (24) y multiplique por 100.</t>
  </si>
  <si>
    <t>(29) OBSERVACIONES</t>
  </si>
  <si>
    <t>Realice las respectivas observaciones que sean necesarias, principalmente cuando se requiera hacer alguna precisión sobre el avance de las metas físicas y financieras..</t>
  </si>
  <si>
    <t>(30) PROGRAMA DE INVERSIÓN PUBLICA A LA QUE APORTA</t>
  </si>
  <si>
    <t>Indique a nivel de programa del PAC a cual de los 9 programas de inversión pública del sector ambiente le aporta.</t>
  </si>
  <si>
    <t>(31) IMG AL QUE  APORTA</t>
  </si>
  <si>
    <t>Indique el IMG al cual le aporta información de variables para su cálculo.</t>
  </si>
  <si>
    <t>(32) INDICADOR ODS AL QUE LE APORTA</t>
  </si>
  <si>
    <t>Especifique el indicador asociados al Objetivo de Desarrollo Sostenible al cual le aporta  información de variables para su cálculo.</t>
  </si>
  <si>
    <t xml:space="preserve">Para la presente vigencia 2023, la Corporación Autónoma Regional del Atlántico – C.R.A desarrollo acciones para dar cumplimiento a la meta, en el marco del contrato de obra No. 267 de 2023, cuyo objeto es: “MANTENIMIENTO Y OPERACIÓN DEL SISTEMA INTEGRAL DE CAPTACIÓN, TRATAMIENTO CON BIOTECNOLOGÍA Y REÚSO DE LAS AGUAS DEL ARROYO LEÓN PARA GARANTIZAR LA SOSTENIBILIDAD HÍDRICA Y AMBIENTAL DE LA CIÉNAGA DEL RINCÓN "LAGO DEL CISNE" EN EL DEPARTAMENTO DEL ATLÁNTICO".  </t>
  </si>
  <si>
    <t>Recuperación</t>
  </si>
  <si>
    <t>Para dar cumplimiento a la meta, la C.R.A suscribió el Convenio  No. 009 de 2023 con Alianza Publica para el Desarrollo Integral – ALDESARROLLO cuyo Objeto es :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 para la recuperación de  (50 Ha) de suelos deteriorados en los Municipios priorizados de Suan y Campo de la Cruz, conforme a directriz entregada por la entidad y/o identificada en fuentes de información secundarias.</t>
  </si>
  <si>
    <t xml:space="preserve">La Corporación Autónoma Regional da cumplimiento a la meta, en el marco del Convenio No.001 de 2023 celebrado con la Corporación Universidad Americana cuyo Objeto es el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Dentro de las actividades planteadas en el convenio se encuentra brindar apoyo a la C.R.A en la Implementación medidas de prevención, control y manejo de las principales especies invasoras en el departamento, para lo cual se organizó un programa formativo para que la autoridad ambiental posicione a la población de dos Municipios: Sabanalarga y Repelón en la temática de especies exóticas e invasoras. 
En el proceso se encuentra la realización de dos programas de divulgación, manejo y uso sostenible de las especies: 
• La Tarulla (Eichhornia C.R.Assipes)
• Neem (Azadirachta indica)
</t>
  </si>
  <si>
    <t>El SVCA consta de dos estaciones, están instaladas en EDUMAS – Secretaría de Medio Ambiente de Soledad (Atlántico) y Concejo Municipal de Malambo (Atlántico).</t>
  </si>
  <si>
    <t>Industrial extractivo</t>
  </si>
  <si>
    <t>Número de usuarios de vertimientos de agua a 31/12/2023</t>
  </si>
  <si>
    <t>Número de permisos de vertimiento de agua otorgadas a 31/12/2023</t>
  </si>
  <si>
    <t>Número de puntos de vertimientos a 31/12/2023</t>
  </si>
  <si>
    <t>Número de permisos de emisiones atmosféricas vigentes a 31/12/2023</t>
  </si>
  <si>
    <r>
      <t xml:space="preserve">Teniendo en cuenta el Plan de Acción Institucional 2020-2023, la meta está contemplada para cumplirse en las vigencias 2022 y 2023 (Acuerdo de aprobación del Consejo Directivo N°004 del 20 de mayo de 2020) ; a traves del programa:
</t>
    </r>
    <r>
      <rPr>
        <b/>
        <sz val="10"/>
        <color theme="1"/>
        <rFont val="Calibri"/>
        <family val="2"/>
        <scheme val="minor"/>
      </rPr>
      <t>Programa 2.1- BIODIVERSIDAD Y RIQUEZAS DE LOS ESCOSISTEMAS TERRESTRES
Proyecto: 2.1.1 Desarrollo Forestal Sostenile</t>
    </r>
    <r>
      <rPr>
        <sz val="10"/>
        <color theme="1"/>
        <rFont val="Calibri"/>
        <family val="2"/>
        <scheme val="minor"/>
      </rPr>
      <t xml:space="preserve">
2.1.1.5 Implementar un programa de conservación de suelos y promoción de sistemas sostenibles de producción
</t>
    </r>
  </si>
  <si>
    <t>Una sola actividad del PAC implica varias acciones.</t>
  </si>
  <si>
    <t>Se hace el ajuste de la meta de seguimiento teniendo en cuenta los PUEAA´s aprobados, sin contabilizar los requeridos y los que se encuentran en evaluación finalizada la vigencia 2023, treinta y cuatro seguimientos realizado Programas de Uso Eficiente y Ahorro del Agua.</t>
  </si>
  <si>
    <t>La información contenida en la base de datos corresponde al total de dias hábiles del trámite sin descontar los tiempos correspondientes al usuario. Para efectos de la variable se ha descontando estos tiempos, por lo tanto, puede no haber coincidencia completa entre la base de datos y la información consignada en las variables que integran este indicador.</t>
  </si>
  <si>
    <t>Meta ajustada en Consejo Directivo mediante Acuerdo 008 de 2023. Meta ajustada: Un (1) Documento que contenga las fases de aprestamiento y diágnostico del PMMA del sistema de acuiferos de Sabanalarga - Tubará en el Departamento del Atlántico. Para dar cumplimiento a la meta ajustada se ejecutó contrato No. 0296 del 2023, cuyo objeto es: “ELABORAR LAS FASES DE APRESTAMIENTO Y DIAGNÓSTICO DEL PLAN DE MANEJO AMBIENTAL DE ACUÍFEROS (PMAA) DEL SISTEMA DE ACUÍFEROS DE SABANALARGA - TUBARÁ EN EL DEPARTAMENTO DEL ATLÁNTICO DE ACUERDO CON LA PRIORIZACIÓN DEFINIDA EN LOS CRITERIOS DEL DECRETO 1640 DE 2012, EN CUMPLIMIENTO DE LO ESTABLECIDO EN EL PLAN DE ACCIÓN INSTITUCIONAL 2020 – 2023”.  Se cuenta con los resultados de la fase de alistamiento y aprestamiento, obtenidos de la recopilación y análisis de información secundaria con la revisión y compilación cartográfica, estudios temáticos e instrumentos de gestión ambiental, permisos y autorizaciones ambientales, aspectos sociales, económicos y culturales, estudios hidrogeológicos regionales y locales. Cartografía escala 1:25.000 de resultados de la revisión de cartografía básica y temática, imágenes satelitales, ortofotos, debidamente referenciados en el Sistema de Referencia Espacial MAGNA SIRGAS del IGAC. Resultados de la clasificación y construcción de mapa de actores y sectores clave que hacen parte del PMAA.</t>
  </si>
  <si>
    <t>Aprestamiento y Diagnostico</t>
  </si>
  <si>
    <t>Para la vigencia 2023 se realizaron 46 seguimientos a los municipios, de los cuales 22 cuentan con PSMV aprobado y 1 Municipio (Suan), se le realizó seguimiento al saneamiento básico, en cumplimiento a la establecido en la Ley que son dos seguimientos al año. Además, se desarrollaron mesas de trabajo en conjunto con la Procuraduría Regional Atlántico y entes territoriales para avanzar en los procesos de evaluación ambiental de los PSMV que fueron presentados por los municipios para aprobación.</t>
  </si>
  <si>
    <t>No se tienen</t>
  </si>
  <si>
    <t xml:space="preserve"> PNR Los Rosales, PMA DRMI Luriza Y PMA RFP  El Palomar</t>
  </si>
  <si>
    <t>DMI</t>
  </si>
  <si>
    <t xml:space="preserve">Plantas de beneficio de ganado (matadero), cementerios, instituciones educativas, centros de salud, sistemas productivos. </t>
  </si>
  <si>
    <t>Energético</t>
  </si>
  <si>
    <t>El seguimiento se realiza a los 23 municipios incluido el municipio de Barranquilla, para efectos del IMG se hace seguimiento a los PSMV que estan aprobados, los cuales corresponden a 22 municipios para la vigencia 2023.
Se adelantó seguimiento al estado de cumplimiento de los 23 municipios objeto de aplicación del plan de saneamiento y manejo de vertimientos - PSMV, de los cuales 22 se encuentran vigentes (Soledad, Galapa, Puerto Colombia, Santo Tomás, Sabanagrande, Polonuevo, Sabanalarga, Baranoa, Tubará, Palmar de Varela, Barranquilla, Usiacurí, Campo de la Cruz, Candelaria, Santa Lucía, Piojó , Juan de Acosta, Manatí, Repelón, Luruaco, Malambo, Ponedera).</t>
  </si>
  <si>
    <r>
      <t>El Plan de Ordenamiento Forestal fue adoptado a través de la Resolución No.859 del 2018 de la C.R.A., se contempló actualizar el mismo durante la vigencia del próximo Plan de Acción 2024-2027.</t>
    </r>
    <r>
      <rPr>
        <sz val="10"/>
        <rFont val="Calibri"/>
        <family val="2"/>
        <scheme val="minor"/>
      </rPr>
      <t>(Acuerdo de aprobación del Consejo Directivo N°004 del 20 de mayo de 2020)</t>
    </r>
  </si>
  <si>
    <t>La CRA no cuenta con estaciones hidrometeorológicas.
Contamos con 2 estaciones meteorológicas las cuales fueron entregadas en funcionamiento al finalizar la vigencia 2023, por lo cual la información relacionada con los datos de la calidad del aire se medirán a partir de la vigencia 2024.</t>
  </si>
  <si>
    <t>Con la ejecución del Convenio No. 001 de 2023 cuyo objeto es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Dentro de las actividades planteadas en el proyecto se encuentra declarar nuevas áreas protegidas en el departamento con registro ante el RUNAP, para ello se realizó la elaboración de un documento que presente una caracterización de la zona con información detallada en los aspectos climáticos, bióticos, abióticos, sociales, productivos, económicos y jurídicos elaborando la línea base relacionada con las problemáticas, restricciones y potencialidades del Cerro la Vieja.
Se registra como meta 1300 ha, teniendo en cuenta que el área protegida que se contempla declarar tiene esa extensión; sin embargo, esta queda en fase de aprestamiento dado que por trámites administrativos se espra su declaratoria para la vigencia del siguiente PAI (2024-2027)</t>
  </si>
  <si>
    <t>La meta se estableció para cumplirse en la vigencia 2023 (Acuerdo de aprobación del Consejo Directivo N°004 del 20 de mayo de 2020), mediante el programa:
Programa 2.3- Estrategias Regionales de Conservación, Proyecto 2.3.1: Areas Protegidas, Acción Estratégica 2.3.1.5. Declarar nuevas Áreas Protegidas en el Departamento con registro ante el RUNAP.
La Meta se ajustó mediante Acuerdo No. 008 de 2023 del Consejo Directivo - Documento síntesis del proceso de declaratoria de áreas protegidas según el Decreto 1076 de 2015</t>
  </si>
  <si>
    <t>Piojó, Luruaco, Usiacurí y Repelón</t>
  </si>
  <si>
    <t>Número total de Programas de Uso Eficiente y Ahorro del Agua (PUEAA) aprobados por la Corporación a 31/12/2022:</t>
  </si>
  <si>
    <t>Línea Estratégica N°. 1. Sostenibilidad del recurso hídrico; Programa N° 1.2. Caracterización, cuantificación y recuperación del recurso agua como articulador de los bienes y servicios ambientales. Proyecto 1.2.3. Reducción de la contaminación del recurso hídrico.; Programa N°1.3. Gestión integral de los riesgos asociados al recurso hídrico, Proyecto 1.3.1. Generación de conocimiento y reducción del riesgo asociado al recurso hídrico.
Línea Estratégica N°. 1. 3. Sostenibilidad democrática; Programa N° 3.1. La educación ambiental como proceso de transformación cultural para la sostenibilidad ambientales. Proyecto 3.1.3. Inclusión del tema ambiental en la educación no formal.; Proyecto 3.1.4. Impulso de las estrategias educativas para la construcción de una cultura de prevención y gestión del riesgo
Línea Estratégica N°. 4. Sostenibilidad sectorial, Programa N° 4.4. Prevención, control y monitoreo del aire y suelo, Proyecto N° 4.4.3. Ruido</t>
  </si>
  <si>
    <t>En la presente vigencia, la Corporación Autónoma Regional del Atlántico – C.R.A dio cumplimiento a la meta con la suscripción del contrato de obra No. 267 de 2023, cuyo objeto es: “MANTENIMIENTO Y OPERACIÓN DEL SISTEMA INTEGRAL DE CAPTACIÓN, TRATAMIENTO CON BIOTECNOLOGÍA Y REÚSO DE LAS AGUAS DEL ARROYO LEÓN PARA GARANTIZAR LA SOSTENIBILIDAD HÍDRICA Y AMBIENTAL DE LA CIÉNAGA DEL RINCÓN "LAGO DEL CISNE" EN EL DEPARTAMENTO DEL ATLÁNTICO"</t>
  </si>
  <si>
    <t>Terminado</t>
  </si>
  <si>
    <t>Durante la vigencia 2023 no se logró la adopción del POMCA Río Magdalena bajo el marco normativo del Decreto 1076 de 2015, sin emabrgo, es preciso mencionar que se avanzó en el proceso de adopción del POMCA Río Magdalena, de tal forma que durante el primer semestre se logró la concertación del documento de formulación del instrumento, con el Consejo de Cuenca en reunión celebrada el día 12 de abril de 2023.
Durante el segundo semestre del 2023, se publicó en el Diario Oficial No. 52.599 del 4 de diciembre de 2023, el aviso donde se informaba la terminación del proceso de formulación del POMCA, con el fin de cumplir con lo señalado en el Decreto 10176 de
2015. En cuanto al documento, este se encuentra en edición, por lo que una vez esté listo y se cumpla el termino señalado en el Decreto 1076 del 2015 relacionado con la publicación del aviso, se espera su adopción durante el primer trimestre del año 2024. con estas acciones  se da cumplimiento a la meta programada para la vigencia 2023</t>
  </si>
  <si>
    <t>A la fecha del presente informe, no se ha adoptado el instrumento bajo el marco normativo del Decreto 1076 de 2015, teniendo en cuenta, que no se han culmidado la totalidad de las consultas previas con las comunidades objeto de las mismas, asentadas en la respectiva cuenca; sin embargo, esta Corporación adelantó reunión el día 31 de marzo de 2023, en las instalaciones de la C.R.A., con el Fondo de Adaptación para conocer avances en la ejecución del Convenio 012 del 2014, suscrito para adelantar el proceso de formulación y adopción de los ajustes al POMCA CANAL DE DIQUE.
En lo corrido del segundo semestre del año 2023, se dificultó el avance en el proceso de adopción, ya que no ha sido posible concertar reuniones con las comunidades pendientes de consulta previa pese a que se han intentado los acercamientos. con estas acciones se dan cumplimiento a la meta programada para la vigencia 2023</t>
  </si>
  <si>
    <t xml:space="preserve">Es preciso indicar que, mediante el Acuerdo No.008 del 2023 del Consejo Directivo de la C.R.A., se modificó la meta y el indicador de la presente acción estratégica.
Para dar cumplimiento a la meta programada en la vigencia se encuentra en ejecución el contrato No. 0296 del 2023, cuyo objeto es: “ELABORAR LAS FASES DE APRESTAMIENTO Y DIAGNÓSTICO DEL PLAN DE MANEJO AMBIENTAL DE ACUÍFEROS (PMAA) DEL SISTEMA DE ACUÍFEROS DE SABANALARGA - TUBARÁ EN EL DEPARTAMENTO DEL ATLÁNTICO DE ACUERDO CON LA PRIORIZACIÓN DEFINIDA EN LOS CRITERIOS DEL DECRETO 1640 DE 2012, EN CUMPLIMIENTO DE LO ESTABLECIDO EN EL PLAN DE ACCIÓN INSTITUCIONAL 2020 – 2023”. Dando cumplimiento a la meta programada para la vigencia 2023 </t>
  </si>
  <si>
    <t>terminado</t>
  </si>
  <si>
    <t>Es necesario aclarar que, si bien la Ciénaga Bahía no se encuentra priorizada dentro del PAI para hacer su PORH, se evidenció al momento de formular el PORH de la Ciénaga de Malambo que, las ciénagas de Bahía, Malambo y Convento conformaban un solo complejo cenagoso, porque solo ordenar el recurso hídrico en la ciénaga de Malambo no era suficiente para lograr la conservación del ecosistema asociado a éste, por lo que se debía extender la ordenación a las ciénagas de Bahía y Convento.
La meta se cumple con la ejecución del Contrato No. 257 del 2023, cuyo Objeto es “FORMULAR EL PLAN DE ORDENAMIENTO DEL RECURSO HÍDRICO Y EL ACOTAMIENTO DE LA RONDA HIDRICA PARA LA CIENAGA LA BAHÍA EN EL DEPARTAMENTO DEL ATLÁNTICO”.
A corte 31 de diciembre de 2023, se elaboró el documento del Plan de Ordenamiento del Recurso Hídrico de la Ciénaga Bahía, con el cual se da cumplimiento a la meta programada en un 100%
Se cumple la meta programada de 2021  en rezago para 2023,  en el marco del contrato No.279 del 2022 cuyo objeto contractual es: “FORMULAR EL PLAN DE ORDENAMIENTO DEL RECURSO HÍDRICO Y EL ACOTAMIENTO DE LA RONDA HÍDRICA PARA LA CIÉNAGA DE MALAMBO EN EL DEPARTAMENTO DEL ATLÁNTICO.”, la C.R.A. viene desarrollando acciones encaminadas a documentar el Plan de Ordenamiento del Recurso Hídrico de la Ciénaga de Malambo.</t>
  </si>
  <si>
    <t>257
279 - 2022</t>
  </si>
  <si>
    <t>Para la formulación del documento técnico que contenga la actualización del Indice de uso de Agua, la C.R.A suscribió el Convenio No. 002   de 2023 con Stiftelsen the Stockholm Environment Institute (SEI) cuyo Objeto es AUNAR ESFUERZOS PARA LA IMPLEMENTACIÓN DE LA EVALUACIÓN REGIONAL DEL AGUA –ERA- A TRAVÉS DE LA ACTUALIZACIÓN DEL ÍNDICE DEL USO DE AGUA PARA EL DEPARTAMENTO DEL ATLÁNTICO, POR MEDIO DE LA IMPLEMENTACIÓN DE LA METODOLOGÍA WEAP.
Como resultado de estos esfuerzos conjuntos entre SEI y la CRA, se desarrolló un documento relacionando indicadores de uso de agua en el departamento del Atlántico. Dando cumplimiento a la meta programada para la vigencia 2023.</t>
  </si>
  <si>
    <t>Para el cumplimiento de la meta, la C.R.A  suscribió el Contrato No. 257 de 2023 cuyo Objeto es “FORMULAR EL PLAN DE ORDENAMIENTO DEL RECURSO HÍDRICO Y EL ACOTAMIENTO DE LA RONDA HIDRICA PARA LA CIENAGA LA BAHÍA EN EL DEPARTAMENTO DEL ATLÁNTICO”.
A  corte 31 de diciembre de 2023, se elaboró el documento contentivo del Acotamiento de la Ronda Hídrica para la Ciénaga Bahía. Con lo anterior, la meta se cumplió en un 100%.
Se cumple la meta programada de 2021  en rezago para 2023,  en el marco del contrato No.279 del 2022 cuyo objeto contractual es: “FORMULAR EL PLAN DE ORDENAMIENTO DEL RECURSO HÍDRICO Y EL ACOTAMIENTO DE LA RONDA HÍDRICA PARA LA CIÉNAGA DE MALAMBO EN EL DEPARTAMENTO DEL ATLÁNTICO.”, la C.R.A. viene desarrollando acciones encaminadas a documentar el Plan de Ordenamiento del Recurso Hídrico de la Ciénaga de Malambo.</t>
  </si>
  <si>
    <t>Para dar cumplimiento a la meta, la C.R.A. suscribió el Convenio No. 008 de 2023 con el Instituto de Investigaciones Marinas y Costeras INVEMAR, cuyo objeto es “AUNAR ESFUERZOS TECNICOS , ADMINISTRATIVOS Y FINANCIEROS PARA REALIZAR EL MONITOREO DE LAS AGUAS MARINAS Y COSTERAS EN EL MARCO DE LA REDCAM, DIAGNOSTICO DEL ECOSISTEMA DE PASTOS MARINOS EN PUERTO VELERO, Y SEGUIMIENTO A LA EROSIÓN COSTERA EN LA CIENAGA DE MALLORQUÍN”, al cual se le dio inicio el 28 de junio de 2023.
Adicionalmente se suscribió el Contrato No. 274 de 2023 cuyo objeto es “REALIZAR EL MONITOREO FISICOQUÍMICO, MICROBIOLÓGICO E HIDROBIOLÓGICO SOBRE LA CALIDAD Y ESTADO ACTUAL DE LAS FUENTES HÍDRICAS DEL DEPARTAMENTO DEL  ATLÁNTICO,  DESARROLLO  DEL  ÍNDICE  DE  CALIDAD  DE  LA  CIÉNAGA CONVENTO, EN CUMPLIMIENTO DE LO ESTABLECIDO EN EL PLAN DE ACCIÓN INSTITUCIONAL 2020 - 2023
Con la entrega del documento de análisis de los resultados de los monitoreos fisicoquímico, microbiológico e hidrobiológico sobre la calidad y estado actual de las fuentes hídricas seleccionadas se dio cumplimiento del 100% de lo programado para la vigencia 2023.</t>
  </si>
  <si>
    <t xml:space="preserve">La Corporación Autónoma Regional del Atlántico conformó un equipo multidisciplinario para el apoyo y asesoría en las actividades de Planificación, Administración y Gestión del recurso hídrico, logrando el cumplimiento de la meta en un 100%.
Los profesionales contratados para apoyar y fortalecer al equipo interno de trabajo de la CRA, cuentan con una amplia experiencia en el área ambiental y sus perfiles profesionales corresponden a: (1) Ingeniero Ambiental y Sanitario (1) Ingeniera Civil con Magister en Ingeniería Ambiental, (1) Medico Veterinario y Zootecnista, (1) Ingeniero Geográfo, (1) Abogada.
</t>
  </si>
  <si>
    <t>Como mecanismo de participación efectiva de los usuarios en la Planeación, Administración, Vigilancia y Monitoreo del recurso Hídrico se encuentran conformados tres (3) consejos de cuencas:
• Ciénaga de Mallorquín y los Arroyos Grande y León.
• Complejo  de  humedales  de  la  vertiente  occidental  del  Río  Magdalena  en  el
Departamento del Atlántico.
• Canal del Dique.
Durante lo corrido de la vigencia se adelantó reunion con el Consejo de Cuenca del Complejo de humedales de la vertiente occidental del Río Magdalena en el Departamento del Atlántico, a fin de concertar el documento de formulación del POMCA, dicha reunión se llevó a cabo el día 12 de abril del 2023. 
Los demás consejos, aunque no se adelantaron reuniones con ellos, estos se encuentran conformados y en actividad, por lo tanto, la meta programada se encuentra cumplida en un 100%</t>
  </si>
  <si>
    <t>Durante la vigencia 2023 se realizó el mantenimiento a las compuertas Villa Rosa y el Porvenir. Las actividades se ejecutaron en el marco de la adición No. 1 al Contrato No. 346 del 2022, cuyo objeto es “REALIZAR EL MANTENIMIENTO PREVENTIVO Y CORRECTIVO DE LAS ESTRUCTURAS DE REGULACION HIDRICA DE EL PORVENIR Y VILLAROSA Y LA LIMPIEZA DE LOS CANALES DE INTERCONEXION HIDRICA ENTRE EL CANAL DEL DIQUE Y EL EMBALSE EL GUAJARO COMO MEDIDA DE SOSTENIBILIDAD DEL ECOSISTEMA.”
Con las actividades realizadas se logró el cumplimiento de la meta en un 100%.</t>
  </si>
  <si>
    <t>Con el mantenimiento realizado en el marco del Contrato No. 261 de 2023, cuyo objeto es “REALIZAR MANTENIMIENTO Y ADECUACIÓN DE LAS ESTRUCTURAS DE REGULACIÓN HÍDRICA EL PORVENIR Y VILLA ROSA DEL EMBALSE EL GUAJARO EN EL DEPARTAMENTO DEL ATLÁNTICO” se dió cumplimiento a la intervención anual programada para la Recuperación ambiental de los humedales asociados a la Cuenca del Canal del Dique; es decir, la meta tiene cumplimiento del 100%.</t>
  </si>
  <si>
    <t>La meta se cumplió en un 100% con la ejecución del Contrato No. 176   de 2023 CONSORCIO DIQUES 2023, cuyo objeto es “REALIZAR LA RECUPERACIÓN Y MANTENIMIENTO DEL SISTEMA DE DIQUES DE PROTECCIÓN EN JURISDICCIÓN DEL MUNICIPIO DE PALMAR DE VARELA EN EL MARCO DEL PROYECTO DE REGULACIÓN Y MANEJO INTEGRAL DEL SISTEMA DE CIÉNAGAS DE LOS MUNICIPIOS DE SABANAGRANDE, SANTO TOMAS Y  PALMAR DE VARELA EN CUMPLIMIENTO DE LA LICENCIA AMBIENTAL OTORGADA MEDIANTE RESOLUCIÓN NO. 293 DEL 2007”.</t>
  </si>
  <si>
    <t>Se dió cumplimiento a la meta relacionado con la realización de una intervención para la recuperación ambiental de la cuenca de Mallorquín a través del contrato No. 267 de 2023, cuyo objeto es “MANTENIMIENTO Y OPERACIÓN DEL SISTEMA INTEGRAL DE CAPTACIÓN, TRATAMIENTO CON BIOTECNOLOGÍA Y REÚSO DE LAS AGUAS DEL ARROYO LEÓN PARA GARANTIZAR LA SOSTENIBILIDAD HÍDRICA Y AMBIENTAL DE LA CIÉNAGA DEL RINCÓN "LAGO DEL CISNE" EN EL DEPARTAMENTO DEL ATLÁNTICO". A diciembre 31 de 2023 se cuenta con un avance físico de la obra del
100%, en consecuencia la meta se encuentra cumplida en un 100%.</t>
  </si>
  <si>
    <t>En la vigencia 2023 se programó el seguimiento a ciento ochenta y ocho usuarios (188) concesiones de aguas vigente, de los cuales ciento veintisiete (127) cuentan con PUEAA aprobados, que corresponden al 90% de la meta para dicha vigencia. Logrando así la aprobación de sesenta y cuatro (64) PUEAA con un cumplimiento del 50% de la meta anual establecida.</t>
  </si>
  <si>
    <t>La Corporación, en ejercicio de sus funciones como autoridad ambiental planificó el seguimiento a ciento ochenta y ocho usuarios (188) asociados al permiso de concesiones de aguas vigentes.
Revisada la información reportada y haciendo verificación de las bases de datos, se evidenció que la base de usuarios con PUEAA aprobados asciende a cincuenta y ocho (58), de los cuales treinta y tres (33) cuentan con seguimiento para la vigencia 2023 para un cumplimiento del 57% de la meta. Se ajustó la base de datos.</t>
  </si>
  <si>
    <t>Con la ejeución del Convenio No. 0011 del 2023, cuyo objeto es:  “DESARROLLO CONJUNTO DE ESTRATÉGIAS PEDAGÓGICAS, A TRAVÉS DE TALLERES PEDAGÓGICOS PRÁCTICOS, A FIN DE FORTALECER A LOS ACTORES DE LA UNIDAD AMBIENTAL COSTERA, SOBRE EL MANEJO SOSTENIBLE DE LA ZONA COSTERA, PROTECCIÓN DE LAS ZONAS ABASTECEDORAS DEL RECURSO HÍDRICO Y ECOTURISMO SOSTENIBLE”; se dio cumplimiento a la meta programada para la presente vigencia.
La CRA mediante alianza realizada con FINDECO desarrolló estrategias pedagógicas para elaborar e implementar proyectos educativos para la protección de las zonas abastecedoras de recurso hídrico, con la cual se capacitó a la comunidad y conocer el estado actual de las Zonas abastecedoras de recurso hídrico y desarrollar mesas de trabajo cuya finalidad es la formulación del proyecto de sensibilización sobre las problemáticas ambientales que afectan las zonas abastecedora del recurso hídrico con las comunidades ubicadas en las zonas costeras.
Las actividades se desarrollaron en los Municipios de Tubará en el corregimiento de Juaruco y en la Cabecera Municipal de Juan de Acosta. Dando cumplimiento a la meta programada para la vigencia 2023.</t>
  </si>
  <si>
    <t>Durante la vigencia 2023 se realizó el reporte en SIRH de los usuarios registrados en la C.R.A, reportandose en la plataforma 68 instrumentos de control ambiental (concesiones de agua y permisos de vertimientos), entre los cuales se encuentran los otorgados, renovados o modificados por esta autoridad ambiental. Dando cumplimiento a la meta programada para la vigencia 2023.</t>
  </si>
  <si>
    <t>A corte 31 de diciembre de 2023 la meta se encuentra cumplida en un 100%, con la ejecución del Contrato No. 305 de 2023 cuyo objeto es: “REALIZAR EL MONITOREO FISICOQUÍMICO, MICROBIOLÓGICO E HIDROBIOLÓGICO SOBRE LA CALIDAD Y ESTADO ACTUAL DE LAS FUENTES HÍDRICAS DEL DEPARTAMENTO DEL ATLÁNTICO, DESARROLLO DEL ÍNDICE DE CALIDAD DE LA CIÉNAGA CONVENTO, EN CUMPLIMIENTO DE LO ESTABLECIDO EN EL PLAN DE ACCIÓN INSTITUCIONAL
2020 - 2023.”</t>
  </si>
  <si>
    <t>La meta se cumplió en un 100% con las acciones desarrolladas en el marco del Convenio No. 008 de 2023 con el Instituto de Investigaciones Marinas y Costeras INVEMAR cuyo Objeto es “AUNAR ESFUERZOS TECNICOS , ADMINISTRATIVOS Y FINANCIEROS PARA REALIZAR EL MONITOREO DE LAS AGUAS MARINAS Y COSTERAS EN EL MARCO DE LA REDCAM, DIAGNOSTICO DEL ECOSISTEMA DE PASTOS MARINOS EN PUERTO VELERO, Y SEGUIMIENTO A LA EROSIÓN COSTERA EN LA CIENAGA DE MALLORQUÍN”.</t>
  </si>
  <si>
    <t>Con capacidad instalada de la Corporación se creó la Guía para la autodeclaracion de cargas, se realizó la evaluacion del cumplimiento de metas, el cálculo del factor regional, la liquidacion de cargas de DBO5  y SST y la facturacion de la tasa retributiva para los periodos del quinquenio definidos en Acuerdo No. 009 de 2021, con lo cual se logró hacer un efectivo seguimiento y control anual a las metas de carga contaminantes.
En consecuencia la meta programa para la vigencia se cuentra cumplida en un 100% de su cumplimiento.</t>
  </si>
  <si>
    <t xml:space="preserve">Durante el primer semestre del año se adelantó seguimiento al estado de cumplimiento de los 23 municipios objeto de aplicación del Plan de Saneamiento y Manejo de vertimientos - PSMV, de los cuales 19 se encuentran vigentes (Soledad, Galapa, Puerto Colombia, Santo Tomás, Sabanagrande, Sabanalarga, Baranoa, Tubará, Palmar de Varela, Barranquilla, Usiacurí, Campo de la Cruz, Candelaria, Santa Lucía, Piojó, Juan de Acosta; Polonuevo, Malambo y Ponedera) y 4 en evaluación (Repelón, Manatí, Suan y Luruaco).
Para el segundo semestre del 2023, se realizaron 24 visitas de las programadas para dicho período, de las cuales a la fecha se han generado 5 informes técnicos; una vez  generados la totalidad de los informes de seguimiento se consolidará la información anual del estado de cumplimiento de los PSMV. Dando cumplimiento a la meta programada para la vigencia 2023.
</t>
  </si>
  <si>
    <t xml:space="preserve">Con el adicional No. 3 al contrato No. 440 del 2019 cuyo objeto es: “CONSTRUCCIÓN PLANTA DE TRATAMIENTO DE AGUAS RESIDUALES PARA LOS MUNICIPIOS DE SANTOTOMÁS, SABANAGRANDE Y PALMAR DE VARELA, UBICADA E SANTO TOMÁS – DEPARTAMENTO DEL ATLÁNTICO” se da cumplimiento del 100% a la meta de municipios con apoyo en la implementación de las PTARS.
</t>
  </si>
  <si>
    <t>Se cumple en rezago Contrato No. 358 de 2022 cuyo objeto es la “ACTUALIZACIÓN DOCUMENTAL Y CARTOGRÁFICA DE AMENAZAS Y DETERMINANTES AMBIENTALES EN EL COMPLEJO DE HUMEDALES DE LA VERTIENTE OCCIDENTAL DEL RÍO MAGDALENA E IDENTIFICACIÓN DE LOS RIESGOS EN LAS INFRAESTRUCTURAS DE LOS ECOSISTEMAS CLAVES DE ABASTECIMIENTO HÍDRICO DEL DEPARTAMENTO DEL ATLÁNTICO”, con el propósito caracterizar de forma detallada el comportamiento hidráulico del río Magdalena y su influencia sobre los humedales que cumplen una función reguladora de su caudal, que redunda en conocer las amenazas por fenómenos de inundación o avenidas torrenciales que puedan afectar las condiciones del ecosistema que coloque en riesgo el desabastecimiento de acueductos o sistemas productivos.</t>
  </si>
  <si>
    <t>358-2022</t>
  </si>
  <si>
    <t>Se dio cumplimiento a la meta programada para la presente vigencia con la ejecución del contrato  No.  292  de  2023  cuyo  objeto  es:  “REALIZAR  LAS  ACCIONES  PARA GARANTIZAR LA SOSTENIBILIDAD HÍDRICA Y AMBIENTAL DE LA CIÉNAGA DE MALLORQUÍN Y LA RECUPERACIÓN DE LA HIDRODINÁMICA DEL ARROYO LEÓN EN EL DEPARTAMENTO DEL ATLÁNTICO”. Lo anterior, con la finalidad de realizar acciones que mitiguen la erosión costera en el departamento del Atlántico y recuperen la hidrodinámica del arroyo León garantizando la sostenibilidad ambiental de la ciénaga de Mallorquín, obras que permitirán fortalecer el ordenamiento territorial y la resiliencia ecosistémica encaminada a minimizar los efectos del cambio climático.
A corte 31 de diciembre el contrato se encontraba en ejecución, debido a que se suscribió prorroga por 26 días calendario el día 29 de diciembre de 2023.</t>
  </si>
  <si>
    <t xml:space="preserve">Con la suscripción del Adicional No. 04 del Contrato de Obra No. 0367 de 2014, se materializó la construcción de 350 m del Afluente No. 02 (Arroyo Coolechera), el cual tributa sus aguas hacia el Arroyo El Salao, de igual manera se llevó a cabo la construcción de los 80 m finales del Arroyo Villegas, actividades que contribuyen a mejorar la calidad de vidad de las comunidades que colindan con estos canales de aguas pluviales, cumpliendo el 100% de la meta programada para la vigencia 2023. </t>
  </si>
  <si>
    <t>De acuerdo con lo establecido en el Contrato de Obra No. 367 del 2014, se debe entregar un informe mensual de avance de ejecución física de la obra, por parte del contratista y de la interventoría.
A corte 31 de diciembre de 2023, las obras de canalización del Arroyo El Salao se encuentran finalizadas. Desde que se inició el proyecto en el año 2014, se han entregado 90 informes mensuales de avance de las obras de recuperación paisajística y ambiental del arroyo El Salao, los cuales han servido de insumo para la elaboración del respectivo de informe de supervisión. A la fecha se están adelantando actividades de monitoreo del proyecto.
Teniendo en cuenta lo anterior, se dio cumplimiento al 100% de la meta programada para la vigencia 2023.</t>
  </si>
  <si>
    <t xml:space="preserve">La Corporación solicitó informe técnico de seguimiento a las obras de canalización de los arroyos del Distrito de Barranquilla, establecidas en el marco del Convenio No. 031 de
2016 entre la Corporación Autónoma Regional del Atlántico y la Alcaldía Distrital de Barranquilla a través de oficio No. 4285 de 09 de agosto de 2023. De igual manera la Agencia Distrital de infraestructura – ADI presentó informe de ejecución de obras ante esta  Corporación  el  día  11  de  septiembre  de  2023  a  través  de  radicado  No. 202314000088022.  En consecuencia, la meta se encuentra cumplida en un 100% de lo programado a corte 31 de diciembre de 2023. </t>
  </si>
  <si>
    <t>Para el cumplimiento de la meta, la C.R.A suscribió el Convenio No. 009 de 2023 con la Alianza Pública para el Desarrollo Integral – ALDESARROLLO cuyo Objeto es :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
Para la implementación del programa del Plan Regional de Lucha contra la desertificación se seleccionó el Municipio de  Sabanalarga como  localización del proyecto  para la restauración de 40 Hectáreas,
En cumplimiento del programa de lucha contra la desertificación se seleccionó el Municipio de Sabanalarga como localización del proyecto para la restauración de 40 Ha, actividad que se encuentra en la ejecución de la construcción del método para la restauración ecológica de las hectáreas mencionadas.</t>
  </si>
  <si>
    <t>A través del Convenio No. 009 de 2023 con Alianza Publica para el Desarrollo Integral – ALDESARROLLO cuyo Objeto es: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 se realizó la producción de cien mil (100.000) plántulas de especies maderables y frutales en las instalaciones del Vivero Armando Dugand Gnecco en el Municipio de Repelón del Departamento del Atlántico.Dando cumplimiento a la meta programada para la vigencia 2023.</t>
  </si>
  <si>
    <t>La C.R.A suscribió el Convenio No. 009 de 2023 con Alianza Publica para el Desarrollo Integral – ALDESARROLLO cuyo Objeto es :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 para la implementación de estrategias de reconversión hacia sistemas sostenibles de producción seleccionándose los municipios de Tubará y Piojó. Dando cumplimiento a la meta programada para la vigencia 2023.</t>
  </si>
  <si>
    <t xml:space="preserve">Para dar cumplimiento a la meta, la C.R.A suscribió el Convenio  No. 009 de 2023 con Alianza Publica para el Desarrollo Integral – ALDESARROLLO cuyo Objeto es :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
En el marco del convenio se lleva a cabo la implementación  del programa aprobado, a través de estrategias o medidas que resulten del grado de afectación, para recuperar el suelo.Con el desarrollo de las actividades contempladas en el marco del convenio, se dio cumplimiento a la totalidad de la meta programada para la vigencia 2023.
Se cumple en rezago la meta de 2022 a través de  Convenio Interadministrativo No. 0002 de 2022 cuyo objeto fue: “AUNAR ESFUERZOS TÉCNICOS, ADMINISTRATIVOS, Y FINANCIEROS  PARA APOYAR EL DESARROLLO DE UN PROGRAMA DE FORTALECIMIENTO DE  LA GESTIÓN AMBIENTAL SOSTENIBLE DE LOS RECURSOS NATURALES Y SECTORIALES, QUE CONTRIBUYA A LA CONSERVACIÓN DE LA BIODIVERSIDAD Y RIQUEZA DE LOS ECOSISTEMAS TERRESTRES Y MARINO COSTEROS DEL DEPARTAMENTO DEL ATLÁNTICO. </t>
  </si>
  <si>
    <t>convenio 009
convenio 002 -2022</t>
  </si>
  <si>
    <t>La Corporación Autónoma Regional dio cumplimiento a la meta, mediante la ejecución del Convenio No.001 de 2023 celebrado con la Corporación Universidad Americana cuyo Objeto es el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Dentro de las actividades ejecutadas en el convenio se brindó apoyo a la C.R.A en la Implementación medidas de prevención, control y manejo de las principales especies invasoras en el departamento, desarrollando un programa formativo para que la autoridad ambiental posicione a la población de dos Municipios: Sabanalarga y Repelón en la temática de especies exóticas e invasoras, mediante la realización de dos programas de divulgación, manejo y uso sostenible de las especies:
•  La Taruya (Eichhornia C.R.Assipes)
•  Neem (Azadirachta indica)
Se desarrollaron 8 mesas de trabajo, dirigidas a la comunidad previamente inscrita de los municipios de Repelón y Sabanalarga</t>
  </si>
  <si>
    <t>Con la intervención a los municipios de Santo Tomás, Ponedera y Palmar de Varela para las 6 medidas de conservación de especies amenazadas se da cumplimiento al 100% de la meta programada para la vigencia 2023.
Las acciones desarrolladas se vienen ejecutando en el marco del Convenio No. 001 del 2023 con la Corporación Universidad Americana, cuyo Objeto es el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Se realizaron talleres dirigidos a la comunidad de los municipios de Santo Tomás, Ponedera y Palmar de Valera, en los cuales han participado 210 personas. A través de mesas de trabajo se escogieron las 6 especies, teniendo en cuenta su grado de amenaza y la manera como culturalmente son utilizadas por las comunidades atentando con la supervivencia de las mismas.</t>
  </si>
  <si>
    <t>Durante la vigencia 2023, si bien no se logró adoptar el POMIUAC de la Unidad Ambiental Costera Río Magdalena, se adelantaron las siguientes acciones encaminadas a lograr dicho objetivo. 
Se participó en mesa de trabajo, convocada por la Dirección de Asuntos Marinos, Costeros y Recursos Acuáticos - DAMCRA del MADS para socializar el proceso de actualización de la Política Nacional Ambiental para el Desarrollo Sostenible de los Espacios Oceánicos y las Zonas Costeras e Insulares de Colombia -PNAOCI, y la socialización de avances y dificultades en la adopción de los POMIUAC, la cual se llevó a cabo por TEAMS el día 2 de noviembre de 2023 a partir de las 9:00 a.m. hasta las 12:00 p.m. Dando cumplimiento a la meta programada para la vigencia 2023.</t>
  </si>
  <si>
    <t>Se da cumplimiento a la meta de 2 (dos) Playas con estrategia de manejo sostenible a través del Convenio No. 011 del 2023, celebrado con la Fundación para la Investigación y el Desarrollo de Colombia – FINDECO cuyo Objeto es “DESARROLLO CONJUNTO DE ESTRATEGIAS PEDAGÓGICAS, A TRAVÉS DE TALLERES PEDAGÓGICOS PRÁCTICOS, A FIN DE FORTALECER A LOS ACTORES DE LA UNIDAD AMBIENTAL COSTERA, SOBRE EL MANEJO SOSTENIBLE DE LA ZONA COSTERA, PROTECCIÓN DE LAS ZONAS ABASTECEDORAS DEL RECURSO HÍDRICO Y ECOTURISMO SOSTENIBLE”.</t>
  </si>
  <si>
    <t xml:space="preserve">Para el cumplimiento de la meta, se desarrollaron acciones a través del Convenio No.008 de 2023 con el Instituto de Investigaciones Marinas y Costeras José Benito Vives de Andreis – INVEMAR cuyo Objeto es “AUNAR ESFUERZOS TÉCNICOS, ADMINISTRATIVOS Y FINANCIEROS PARA REALIZAR EL MONITOREO DE CALIDAD DE AGUAS MARINAS Y COSTERAS EN EL MARCO DE LA REDCAM, DIAGNÓSTICO DEL ECOSISTEMA DE PASTOS MARINOS EN PUERTO VELERO Y SEGUIMIENTO A LA EROSIÓN COSTERA EN LA CIÉNAGA DE MALLORQUÍN”.
En el marco del convenio, las actividades desarrolladas dentro del mismo enmarcaron la generación del estado del arte que orientadas a recopilar, analizar y sintetizar información de las investigaciones sobre la erosión costera en la Ciénaga de Mallorquín.
Lo anterior, proporcionó una comprensión de la historia, progreso y estado actual de la investigación para reconocer vacíos en el conocimiento, evitar duplicación de esfuerzos e identificar colaboraciones y/o alianzas para generar investigaciones innovadoras y relevantes en la zona de estudio.Dando cumplimiento a la meta programada para la vigencia 2023.
La meta programada de 2022, se cumple en rezago mediante la ejecución del Convenio 002 -2022 AlDesarrollo: AUNAR ESFUERZOS TÉCNICOS, ADMINISTRATIVOS, Y FINANCIEROS PARA APOYAR EL DESARROLLO DE UN PROGRAMA DE FORTALECIMIENTO DE LA GESTIÓN AMBIENTAL SOSTENIBLE DE LOS RECURSOS NATURALES Y SECTORIALES, QUE CONTRIBUYA A LA CONSERVACIÓN DE LA BIODIVERSIDAD Y RIQUEZA DE LOS ECOSISTEMAS TERRESTRES Y MARINO COSTEROS DEL DEPARTAMENTO DEL ATLÁNTICO”. Implementación de un plan de siembra de 2.100 plántulas de Manglar con el uso de biofertilizante bacteriano, que favorezca la capacidad de adaptación a suelos hipersalinos en la Ciénaga de Balboa. </t>
  </si>
  <si>
    <t>convenio 008
convenio 002-2022</t>
  </si>
  <si>
    <t>Con el desarrollo de dos (2) programas educativos en los municipios de Puerto Colombia, Tubará y Juan de Acosta, dirigidos a la conservación de la Biodiversidad Marino-Costera, se dio cumplimiento al 100% de la meta programada para la presente vigencia.
Las acciones respectivas se ejecutaron en el marco del Convenio No. 011 de 2023 con la Fundación para la Investigación y el Desarrollo de Colombia – FINDECO cuyo Objeto es “DESARROLLO CONJUNTO DE ESTRATEGIAS PEDAGÓGICAS, A TRAVÉS DE TALLERES PEDAGÓGICOS PRÁCTICOS, A FIN DE FORTALECER A LOS ACTORES DE LA UNIDAD AMBIENTAL COSTERA, SOBRE EL MANEJO SOSTENIBLE DE LA ZONA COSTERA, PROTECCIÓN DE LAS ZONAS ABASTECEDORAS DEL RECURSO HÍDRICO Y ECOTURISMO SOSTENIBLE”.
A través del convenio se desarrolló un programa educativo basado en la realización de doce (12) talleres, cuatro talleres por cada institución dirigidos a 90 estudiantes pertenecientes a tres (3) instituciones educativas ubicadas en los municipios de Puerto Colombia, Tubará, Juan de Acosta, con la intención de sensibilizar y brindar conocimiento acerca de la de la biodiversidad marino Costera- del Departamento del Atlántico</t>
  </si>
  <si>
    <t>La Corporación Autónoma Regional del Atlántico suscribió el Convenio No. 001 de 2023 con la Corporación Universidad Americana, cuyo objeto es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Dentro de las actividades planteadas en el proyecto se establecieron acciones para promover la conservación efectiva y el cumplimiento de las áreas protegidas declaradas, para ello, con el ánimo de promover la conservación de los recursos naturales se realizan acciones establecidas en los planes de manejo de las áreas de:
✓   Reserva Forestal Protectora El Palomar ubicada en el municipio de Piojó.
✓   Distrito Regional de Manejo Integrado DRMI Palmar del Titi, ubicada ente los municipios de Luruaco y Piojó.
Dichas acciones están enfocadas en la disposición y manejo de residuos sólidos y el fortalecimiento de las actividades ecoturísticas en las áreas protegidas.
Se desarrollaron cuatro (4) mesas de trabajo con una duración de 4 horas por cada mesa de trabajo, dirigida a los 50 miembros de las comunidades, (25) miembros por cada por  cada área protegida, convocados e inscritos de las zonas aledañas del área protegida de la RFP El Palomar y el DRMI Palmar del Tití, dónde se pueda potencializar las actividades ecoturísticas comunitarias de las AP acuerdo a la zonificación ambiental de cada una de ellas con el fin de desarrollar dos acciones ecoturísticas en la zona.Dando cumplimiento a la meta programada para la vigencia 2023.</t>
  </si>
  <si>
    <t>La Corporación Autónoma Regional suscribió el Convenio No. 001 de 2023 con la Corporación Universidad Americana  cuyo objeto es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a través del cual da cumplimiento de la meta programada a 31 de diciembre 2023. Dentro de las actividades planteadas se implementaron proyectos de restauración y conectividad del Bosque Seco enmarcadas en el SIRAP, SIDAP, SILAP en el Atlántico.</t>
  </si>
  <si>
    <t>Con la ejecución del Convenio No. 001 de 2023 cuyo objeto es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celebrado con la Corporación Universidad Americana, se vienen ejecutando acciones para declarar nuevas áreas protegidas en el departamento, con registro ante el RUNAP, para ello se busca brindar apoyo a la C.R.A con la elaboración de un documento que describa el estado o situación actual de la potencial área protegida Cerro la Vieja ubicada en el Municipio de Piojó que incluya el aspecto social, cultural, económico y biofísico, así como los conflictos socio ambientales, restricciones y potencialidades, demanda de bienes y servicios, impactos generados, condiciones de amenaza y vulnerabilidad, apoyo en la elaboración de un documento que presente una caracterización de la zona con información detallada en los aspectos climáticos, bióticos, abióticos, sociales, productivos, económicos y jurídicos elaborando la línea base relacionada con las problemáticas, restricciones y potencialidades del Cerro la Vieja y realizar la identificación de actores claves que deseen participar del proceso de la ruta crítica para la declaratoria del área potencial de reserva El Cerro la Vieja ubicada en el municipio de Piojó-Atlántico.Dando cumplimiento a la meta programada para la vigencia 2023.</t>
  </si>
  <si>
    <t>Con la ejecución del Convenio No. 001 de 2023 cuyo objeto es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Dentro de las actividades planteadas en el proyecto se encuentra declarar nuevas áreas protegidas en el departamento con registro ante el RUNAP, para ello se realizó la elaboración de un documento que presente una caracterización de la zona con información detallada en los aspectos climáticos, bióticos, abióticos, sociales, productivos,  económicos  y  jurídicos  elaborando  la  línea  base  relacionada  con  las problemáticas, restricciones y potencialidades del Cerro la Vieja.
Con la entrega de un (1) Documento síntesis del proceso de declaratoria de áreas protegidas se da cumplimiento a la meta (B) programada a corte 31 de diciembre del 2023.</t>
  </si>
  <si>
    <t>La Corporación Autónoma Regional del Atlántico suscribió el Convenio No. 001 de 2023 con la Corporación Universidad Americana cuyo objeto es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Dentro de las actividades que se ejecutaron con el convenio se encuentran: Implementación, formulación y ejecución de programas de asistencia técnica para la implementación de estrategias educativo-ambientales y de participación encaminadas a la conservación de las áreas protegidas declaradas en el departamento del Atlántico.
Se revisó la información de los avances en gestión de las AP (Áreas Protegidas), con la finalidad de elaborar un documento que contenga tres acciones de conservación a realizar cuya estrategia consista en fortalecer el conocimiento de las comunidades hacia la conservación de las áreas protegidas del Parque Natural Regional los Rosales, Distrito Regional de Manejo Integrado DRMI Banco Totumo Bijibana y Distrito Regional de Manejo Integrado DRMI Palmar del Tití, por medio de actividades prácticas de conservación y manejo. Se realizó la convocatoria e inscripción al programa de 60 miembros de las comunidades de tres municipios Repelón, Luruaco y Piojó en el departamento del Atlántico que participar en el desarrollo de tres acciones encaminadas a fomentar el ecoturismo, avistamiento de aves y reconocimiento de la Fauna y Flora silvestre de la zona.Dando cumplimiento a la meta programada para la vigencia 2023.</t>
  </si>
  <si>
    <t>A  través  de  la ejecución  del  Convenio  No.  005  de  2023  cuyo  objeto  es  “AUNAR ESFUERZOS PARA DESARROLLAR ACCIONES QUE PROMUEVAN LA CONSERVACIÓN DE LOS RECURSOS NATURALES EN EL DEPARTAMENTO DEL ATLÁNTICO, A TRAVÉS DE LA IDENTIFICACIÓN, CONSOLIDACIÓN Y FORTALECIMIENTO DE NEGOCIOS VERDES COMO ENFOQUE A LA ACTIVACIÓN DE LA ECONOMÍA LOCAL CIRCULAR, LA AUTOGESTIÓN AMBIENTAL Y EL DESARROLLO DE PRÁCTICAS LIMPIAS PARA EL MEJORAMIENTO DEL SECTOR PRODUCTIVO”, celebrado con la Corporación Universidad Americana, se desarrollaron una serie de estrategias de divulgación e información que han permitido la realización de más de 34 visitas para el proceso de identificación de potenciales negocios verdes. Posterior a la evaluación y revisión de la documentación necesaria, se logró determinar 24 negocios que cumplieron con los criterios necesarios para llegar a ser un negocio verde avalado por la C.R.A y el Ministerio de Ambiente y Desarrollo Sostenible.Dando cumplimiento a la meta programada para la vigencia 2023.
La meta de 2022 se cumplió en rezago con mismo convenio anterior considerando que la meta de la vigencia 2023 son 20 y 14 corresponde a rezago 2022.</t>
  </si>
  <si>
    <t>La Corporación Autónoma Regional suscribió el Convenio No. 005 de 2023 con la Corporación Universidad Americana cuyo objeto es “AUNAR ESFUERZOS PARA DESARROLLAR ACCIONES QUE PROMUEVAN LA CONSERVACIÓN DE LOS RECURSOS NATURALES EN EL DEPARTAMENTO DEL ATLÁNTICO, A TRAVÉS DE  LA IDENTIFICACIÓN, CONSOLIDACIÓN Y FORTALECIMIENTO DE NEGOCIOS VERDES COMO ENFOQUE A LA ACTIVACIÓN DE LA ECONOMÍA LOCAL CIRCULAR, LA AUTOGESTIÓN AMBIENTAL Y EL DESARROLLO DE PRÁCTICAS LIMPIAS PARA EL MEJORAMIENTO DEL SECTOR PRODUCTIVO”.
Dentro de las actividades planteadas en el proyecto se realizó una feria comercial departamental de Negocios verdes del Atlántico, los días 21 y 22 de noviembre, la cual contó con la participación de treinta y cinco (35) Negocios verdes entre aquellos certificados por la C.R.A y Emprendimientos Verdes que pudieron participar por su óptima prestación del bien o servicio.Dando cumplimiento a la meta programada para la vigencia 2023.</t>
  </si>
  <si>
    <t xml:space="preserve">La Corporación, dentro del marco del programa de bolsa verde, a pesar de no contar con el respectivo operador del programa, ha avanzado en el desarrollo de las estrategias contempladas en uno de los proyectos priorizados relacionados con bosque seco, para lo cual aprobó la compra de aproximadamente 200 ha. en las áreas protegidas de Luriza y El Palomar y dentro de las mismas, la acciones a que hay lugar dentro del Plan de cada área protegida, a través de la compensación aprobada a empresas tales como Amarillo, Concesión Costera, entre otras. Dando cumplimiento a la meta programada para la vigencia 2023.
para el cumplimiento de la meta de 2022, esta se desarrolló en rezago como parte de la gestión realizada en la vigencia 2022, desde la Dirección General de la Corporación se evaluaron las alternativas para estructurar e implementar el Programa Regional de compensaciones ambientales agrupadas denominado Bolsa Verde Atlántico, con el objetivo de preservar y restaurar las áreas prioritarias de conservación de la biodiversidad el Atlántico, evaluando y aprobando  diversos planes de compensación.
De ello se hizo entrega formal por parte de las empresas y el respectivo seguimiento para la vigencia 2023, lo que nos ha permitido determinar la eficacia del diseño propuesto en el marco de Bolsa Verde. Si bien es cierto no se adelanta en el marco de las acciones de la bolsa con el valor definido para participar en ella, si se adelantan los objetivos del programa de manera directa por parte de la empresa amarillo para este caso.
Bolsa Verde Atlántico es el primer programa del país creado para la implementación de compensaciones ambientales agrupadas, el cual es ejecutado regionalmente a través de una alianza entre la autoridad ambiental y un operador. Su objetivo es implementar de manera agrupada y en un área específica, las medidas de compensación ambiental e inversión forzosa del 1% de aquellos titulares de licencias y permisos ambientales de la jurisdicción que voluntariamente deseen acogerse al programa, con el fin de asegurar la preservación y restauración sostenible de las áreas prioritarias de conservación de la biodiversidad del departamento del Atlántico.
Teniendo en cuenta lo anterior, podemos concluir que se dio cumplimiento a la meta programada para la vigencia 2023. </t>
  </si>
  <si>
    <t>Con  las acciones apoyadas y ejecutadas propuestas en  los PMEA de  los CIDEA municipales, se dio cumplimiento a la meta programada para la vigencia 2023 con la ejecución del contrato No.183 del 2023. cuyo objeto es: PRESTAR LOS SERVICIOS DE UN PROFESIONAL EN LA OFICINA ASESORA DE PLANEACION PARA LA ASESORÍA Y APOYO EN LOS PROCESOS DE EDUCACIÓN AMBIENTAL, ESPECIALMENTE EN LOS COMITÉS TÉCNICOS INTERINSTITUCIONALES DE EDUCACIÓN AMBIENTAL DEPARTAMENTAL Y MUNICIPALES.
Se dío cumpliento a la meta de 2021 durante la vigencia 2023 a través de la ejecución del convenio 007 "Desarrollo conjunto de estrategias para promover la transformación cultural y la participación ciudadana en el departamento del Atlántico, a traves de la difusión de conocimients ambientales  en la población y el fortalecimiento del tema ambiental en los procesos de educación no formal."</t>
  </si>
  <si>
    <t>convenio 006
convenio 007</t>
  </si>
  <si>
    <t>Con el desarrollo de las acciones ejecutadas en el marco del convenio de asociación No.0006 del 2023, cuyo objeto es: AUNAR ESFUERZOS PARA FORTALECER LA GESTIÓN AMBIENTAL  MEDIANTE EL  APOYO AL  PROGRAMA DE EDUCACIÓN AMBIENTAL, DENTRO DE LA EDUCACIÓN FORMAL DEL DEPARTAMENTO DEL ATLÁNTICO Y EL APOYO AL CIDEA DEPARTAMENTAL, se dio cumplimiento a la meta programada en la presente vigencia.
En el marco del Apoyo a las acciones realizadas por el CIDEA departamental para la construcción de la política departamental de Educación Ambiental, el CIDEA, asesorado por Minambiente, sostuvo reuniones técnicas en las que participaron, la Secretaría de Educación Departamental y la UniAtlántico, finalizando con la construcción de la Política Departamental de Educación Ambiental, la cual será presentada ante la Asamblea departamental del Atlántico en el mes de noviembre del 2023; una vez aprobada dicha política, la C.R.A., apoyará con la impresión de la publicación que apruebe el comité, relacionada con la gestión de la educación ambiental a nivel departamental.</t>
  </si>
  <si>
    <t>A través del convenio de asociación  No. 0006  del 2023, cuyo objeto  es:  AUNAR ESFUERZOS PARA FORTALECER LA GESTIÓN AMBIENTAL MEDIANTE EL APOYO AL PROGRAMA DE EDUCACIÓN AMBIENTAL, DENTRO DE LA EDUCACIÓN FORMAL DEL DEPARTAMENTO DEL ATLÁNTICO Y EL APOYO AL CIDEA DEPARTAMENTAL, la Corporación Autónoma Regional del Atlántico dio cumplimiento al 100% de la meta programada para la vigencia, de asistir técnicamente a 18 PRAE durante la presente vigencia.
El proceso de selección de los PRAE se llevó a cabo de manera rigurosa y transparente, evaluando los programas presentados por las instituciones educativas oficiales en base a criterios predefinidos y de acuerdo con las actividades desarrolladas en cada una de ellas.</t>
  </si>
  <si>
    <t>Para promover la dimensión ambiental, se estableció alianza con la Fundacion Alianza
Tecnologica y Desarrollo Educativo - ALITIC a través del convenio de asociación No.
0006 del 2023, que tiene por objeto: “AUNAR ESFUERZOS PARA FORTALECER LA GESTIÓN AMBIENTAL MEDIANTE EL APOYO AL PROGRAMA DE EDUCACIÓN AMBIENTAL, DENTRO DE LA EDUCACIÓN FORMAL DEL DEPARTAMENTO DEL ATLÁNTICO Y EL APOYO AL CIDEA DEPARTAMENTAL”, dando cumplimiento al 100% de la meta programada.
En el marco del convenio, dentro de las actividades desarrolladas se realizó el diplomado, “Resignificación de los Proyectos Ambientales Escolares", elaborado por la Subdirección de Educación y Participación del MINAMBIENTE, el cual se llevó a cabo por la necesidad de continuar fortaleciendo nuestro compromiso y promover la sostenibilidad y la educación ambiental en las instituciones educativas.
En el diplomado participaron sesenta (60) personas, dando prioridad a la selección de docentes de las instituciones educativas oficiales del Departamento. El diplomado tiene una carga horaria de 120 horas. La participación activa de los docentes permitió el fortalecimiento de la promoción de la educación ambiental en el Departamento y en el desarrollo de una comunidad educativa comprometida con la sostenibilidad ambiental.</t>
  </si>
  <si>
    <t>Con  el  apoyo  de  ocho  (8)  Proyectos  Ciudadanos  de  Educación  Ambiental  en  el Departamento del Atlántico se dio cumplimiento a la meta programada para la vigencia 2023. Las actividades se llevaron a cabo en el marco del convenio No. 007 del 2023 cuyo objeto es: “DESARROLLO CONJUNTO DE ESTRATEGIAS PARA PROMOVER LA TRANSFORMACIÓN CULTURAL Y LA PARTICIPACIÓN CIUDADANA EN EL DEPARTAMENTO DEL ATLÁNTICO, A TRAVÉS DE LA DIFUSIÓN DE CONOCIMIENTOS AMBIENTALES EN LA POBLACIÓN Y EL FORTALECIMIENTO DEL TEMA AMBIENTAL EN LOS PROCESOS DE EDUCACIÓN NO FORMAL”.</t>
  </si>
  <si>
    <t>La Corporación Autónoma Regional del Atlántico – C.R.A, a través de la Escuela de Liderazgo Regional Ambiental, en alianza con la Corporación Univesidad Reformada – CUR, viene ejecutando el convenio de asociación No.004 del 2023 cuyo objeto es: “AUNAR ESFUERZOS PARA EL DESARROLLO CONJUNTO DE UN PROGRAMA DE FORMACIÓN CIUDADANA, A TRAVÉS DE ACTORES COMUNITARIOS A DOTAR CON CAPACIDAD TÉCNICA PARA ORIENTAR LOS PROCESOS PARTICIPATIVOS EN TERRITORIOS”, por medio del cual desarrollamos entre otras actividades, un proceso de capacitación teórico práctica con jóvenes de diferentes municipios del departamento del Atlántico, quienes se formaron como Gestores Ambientales Urbanos - GAU en el Departamento”. Con estas acciones se dio cumplimiento al 100% de la meta programada.</t>
  </si>
  <si>
    <t>Con el apoyo de los Contratos de Prestación de Servicios Profesionales No. 0138 de
2023, cuyo objeto es “PRESTAR LOS SERVICIOS PROFESIONALES COMO INGENIERO AMBIENTAL EN LA OFICINA ASESORA DE PLANEACIÓN, EN TEMAS DE EDUCACIÓN AMBIENTAL PARA GENERAR ESPACIOS DE PARTICIPACIÓN PARA EL FORTALECIMIENTO DE LA CULTURA AMBIENTAL CIUDADANA” y No.183 del 2022 cuyo objeto es: “PRESTAR LOS SERVICIOS DE UN PROFESIONAL EN LA OFICINA ASESORA DE PLANEACION PARA LA ASESORIA Y APOYO EN LOS PROCESOS DE EDUCACIÓN AMBIENTAL, ESPECIALMENTE EN LOS COMITÉS TÉCNICOS INTERINSTITUCIONALES DE EDUCACIÓN AMBIENTAL DEPARTAMENTAL Y MUNICIPALES”, se dio cumplimiento al 100% de la meta.
Atendimos la demanda de talleres de capacitación presentados por parte de la comunidad para los temas: Manejo de residuos sólidos ordinarios, economía circular, caracol africano. Se realizaron 42 talleres en los cuales fueron capacitadas
1.738 personas.</t>
  </si>
  <si>
    <t>La Corporación Autónoma Regional del Atlántico – C.R.A, a través de la Escuela de Liderazgo Regional Ambiental, en alianza con la Corporación Univesidad Reformada – CUR, en el marco del convenio de asociación No.004 del 2023 cuyo objeto es: “AUNAR ESFUERZOS PARA EL DESARROLLO CONJUNTO DE UN PROGRAMA DE FORMACIÓN CIUDADANA, A TRAVÉS DE ACTORES COMUNITARIOS A DOTAR CON CAPACIDAD TÉCNICA PARA ORIENTAR LOS PROCESOS PARTICIPATIVOS EN TERRITORIOS”, desarrolló procesos de capacitación teórico prácticos con jóvenes miembros de ONG para el seguimiento y evaluación de los ODS”, a través de los cuales se implementaron 4 proyectos educativos ambientales implementados, dando cumplimiento al 100% de la meta correspondiente a la vigencia 2023.</t>
  </si>
  <si>
    <t xml:space="preserve">Con la realización de la feria ambiental en la que participaron ONG ambientalistas del departamento del Atlántico se dio cumplimiento al 100% de la meta.
Las actividades desarrolladas se realizaron en el marco del convenio de asociación No.004 del 2023 cuyo  objeto  es:  “AUNAR ESFUERZOS  PARA EL  DESARROLLO CONJUNTO DE UN PROGRAMA DE FORMACIÓN CIUDADANA, A TRAVÉS DE ACTORES COMUNITARIOS A DOTAR CON CAPACIDAD TÉCNICA PARA ORIENTAR LOS PROCESOS PARTICIPATIVOS EN TERRITORIOS”. </t>
  </si>
  <si>
    <t>En  el marco del convenio  de asociación No.  0010 del 2023  que  tiene por  Objeto “DESARROLLO CONJUNTO DE UN PROGRAMA DE CAPACITACIÓN DIRIGIDO A ORGANIZACIONES COMUNITARIAS PARA APOYAR LA GESTIÓN AMBIENTAL EN LA CONSERVACIÓN DE ECOSISTEMAS, GESTIÓN DEL RIESGO, ECOTURISMO Y SEGURIDAD ALIMENTARIA EN LOS MUNICIPIOS DE LURUACO, SABANALARGA Y PIOJÓ” se implementó un (1) proyecto productivo para la sostenibilidad alimentaria de las comunidades de pescadores y agricultores del municipio de Sabanalarga, cumpliendo de esta manera con el 100% de la meta programada.
Para lograr el cumplimiento de la meta, se desarrolló un programa de capacitación, a través de seis (6) talleres teórico-prácticos, con una intensidad de 24 horas presenciales y 24 horas prácticas.</t>
  </si>
  <si>
    <t>Con la ejecución de actividades desarrolladas en el marco  del convenio  No. 007 del
2023 suscrito con la Fundacion Alianza Tecnologica y Desarrollo Educativo - ALITIC cuyo objeto es: “DESARROLLO CONJUNTO DE ESTRATEGIAS PARA PROMOVER LA TRANSFORMACIÓN CULTURAL Y LA PARTICIPACIÓN CIUDADANA EN EL DEPARTAMENTO DEL ATLÁNTICO, A TRAVÉS DE LA DIFUSIÓN DE CONOCIMIENTOS AMBIENTALES EN LA POBLACIÓN Y EL FORTALECIMIENTO DEL TEMA AMBIENTAL EN LOS PROCESOS DE EDUCACIÓN NO FORMAL” se dio cumplimiento del 100% de la meta de acuerdo con lo programado en la presente vigencia.
A través del convenio se llevó a cabo el Concurso de videoclips ambientales para redes, orientados a presentar las acciones de adaptación y/o mitigación al Cambio Climático, o a la Gestión Integral de Residuos Sólidos -GIRS en el Atlántico.</t>
  </si>
  <si>
    <t>En el marco del convenio No. 007 del 2023 celebrado con la Fundacion Alianza Tecnologica y Desarrollo Educativo - ALITIC   cuyo objeto es: “DESARROLLO CONJUNTO DE ESTRATEGIAS PARA PROMOVER LA TRANSFORMACIÓN CULTURAL Y LA PARTICIPACIÓN CIUDADANA EN EL DEPARTAMENTO DEL ATLÁNTICO, A TRAVÉS DE LA DIFUSIÓN DE CONOCIMIENTOS AMBIENTALES EN LA POBLACIÓN Y EL FORTALECIMIENTO DEL TEMA AMBIENTAL EN LOS PROCESOS DE EDUCACIÓN NO FORMAL” se dio cumplimiento al 100% de la meta programada para la presente vigencia.</t>
  </si>
  <si>
    <t>La implementación del proyecto virtual de educación ambiental se logró a través de la ejecución del convenio No. 007 del 2023 cuyo objeto es: “DESARROLLO CONJUNTO DE ESTRATEGIAS PARA PROMOVER LA TRANSFORMACIÓN CULTURAL Y LA PARTICIPACIÓN CIUDADANA EN EL DEPARTAMENTO DEL ATLÁNTICO, A TRAVÉS DE LA DIFUSIÓN DE CONOCIMIENTOS AMBIENTALES EN LA POBLACIÓN Y EL FORTALECIMIENTO DEL TEMA AMBIENTAL EN LOS PROCESOS DE EDUCACIÓN NO FORMAL”, celebrado con la Fundacion Alianza Tecnologica y Desarrollo Educativo – ALITIC, cumpliendo con el 100% de la meta programada para la vigencia.</t>
  </si>
  <si>
    <t xml:space="preserve">Con la ejecución del convenio No. 009 del 2023, cuyo objeto es: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 la C.R.A. dio cumplimiento a la meta fijada para la vigencia 2023.
Para lograr dicho cumplimiento, en el marco del convenio señalado se organizó el primer encuentro departamental de grupos y/o semilleros ecológicos. </t>
  </si>
  <si>
    <t>La C.R.A., apoyó el lanzamiento del Observatorio Mesoamericano de Educación Ambiental, celebrado los días 16, 17 y 18 de agosto de 2023 en el municipio de Puerto Colombia. En el evento, la entidad tuvo participación en la ponencia: Política de Educación Ambiental del departamento del Atlántico: Educación Ambiental para la Sustentabilidad de la Vida 2023-2033, la cual estuvo en cabeza de la Profesional Especializada Gloria Farah, funcionaria del proceso de Educación Ambiental de la Corporación. dando cumplimiento a la meta programada para la vigencia.</t>
  </si>
  <si>
    <t>Para dar cumplimiento total a la meta programada se celebró el convenio de asociación No. 0014 del 2023 cuyo objeto es: FORTALECIMIENTO DEL ETNOPLAN DE LOS CONSEJOS COMUNITARIOS AFRO DEL DEPARTAMENTO DEL ATLANTICO, MEDIANTE UNA LINEA TRANSVERSAL CON ENFOQUE ETNICOAMBIENTAL PARA LA CONSERVACION Y SALVAGUARDA DE SABERES Y PRÁCTICAS TRADICIONALES. Con la ejecución de las actividades programadas en el marco del convenio la meta de 1 proyecto con perspectivas de género apoyado quedó cumplida al 100%.</t>
  </si>
  <si>
    <t>Con la ejecucuón del convenio de asociación No. 0016 del 2023 cuyo objeto es: FORTALECIMIENTO DE LOS CONOCIMIENTOS, COSTUMBRES, SABERES Y PRÁCTICAS TRADICIONALES AMBIENTALES DE LAS COMUNIDADES INDÍGENAS Y RROM DEL DEPARTAMENTO DEL ATLÁNTICO, ASÍ COMO DE INICIATIVAS CON UN ENFOQUE DIFERENCIAL DE GÉNERO DE LAS MUJERES DENTRO DE SU COMUNIDAD ÉTNICA, se llevaron a cabo acciones que permitieron lograr el cumplimiento del 100% de la meta programada para la vigencia 2023.</t>
  </si>
  <si>
    <t>convenio 0016</t>
  </si>
  <si>
    <t>A través del convenio de asociación No. 0016 del 2023 cuyo objeto es: FORTALECIMIENTO DE LOS CONOCIMIENTOS, COSTUMBRES, SABERES Y PRÁCTICAS TRADICIONALES AMBIENTALES DE LAS COMUNIDADES INDÍGENAS Y RROM DEL DEPARTAMENTO DEL ATLÁNTICO, ASÍ COMO DE INICIATIVAS CON UN ENFOQUE DIFERENCIAL DE GÉNERO DE LAS MUJERES DENTRO DE SU COMUNIDAD ÉTNICA, se implementan acciones para el fortalecer los saberes y prácticas tradicionales ambientales de las comunidades indígenas y Rrom del Departamento, dando cumplimiento  de  esa  manera a  la meta programada  para  la presente vigencia.
En el marco del convenio mencionado se desarrolló una capacitación dirigida a mujeres de las parcialidades indígenas de Galapa, Puerto Colombia, Malambo, Pital de Megua, Sibarco, Tubará, Baranoa y Rrom de Sabanalarga; en técnicas ancestrales de la cultura indígena, que buscó apoyar los emprendimientos de mujeres indígenas y Rrom en pro de la reactivación económica, el fortalecimiento identitario y la conservación de saberes tradicionales (total de 15 horas) en cinco (5) talleres de 3 horas cada uno.</t>
  </si>
  <si>
    <t>Con la ejecución del convenio de asociación No. 0015 del 2023 cuyo objeto es: DESARROLLO DE PROGRAMA DE FORTALECIMIENTO DE NIÑOS, NIÑAS Y ADOLESCENTES DE LOS MUNICIPIOS DEL DEPARTAMENTO DEL  ATLANTICO, COMO “PEQUEÑOS GUARDIANES ETNO – AMBIENTALES”, EN EL MARCO DE LA IDENTIDAD CULTURAL AFROCOLOMBIANA, se desarrollaron acciones para dar cumplimiento a la meta de la vigencia 2023.</t>
  </si>
  <si>
    <t>convenio 0015</t>
  </si>
  <si>
    <t>Con la Ejecución del convenio de asociación No. 0014 del 2023 cuyo objeto es: FORTALECIMIENTO DEL ETNOPLAN DE LOS CONSEJOS COMUNITARIOS AFRO DEL DEPARTAMENTO DEL ATLANTICO, MEDIANTE UNA LINEA TRANSVERSAL CON ENFOQUE ETNICOAMBIENTAL PARA LA CONSERVACION Y SALVAGUARDA DE SABERES Y PRACTICAS TRADICIONALES, se implementaron iniciativas productivas con comunidades negras, afrocolombianas, raizales y palenqueras NARP del Departamento, de tal manera que con esas iniciativas se logró el cumplimiento de la meta para la vigencia 2023.</t>
  </si>
  <si>
    <t>convenio 0014</t>
  </si>
  <si>
    <t>En el marco del convenio de asociación No.004 del 2023 cuyo objeto es: “AUNAR ESFUERZOS PARA EL DESARROLLO CONJUNTO DE UN PROGRAMA DE FORMACIÓN CIUDADANA, A TRAVÉS DE ACTORES COMUNITARIOS A DOTAR CON CAPACIDAD TÉCNICA PARA ORIENTAR LOS PROCESOS PARTICIPATIVOS EN TERRITORIOS”,  en alianza con la Corporación Univesidad Reformada – CUR, a través de la Escuela de Liderazgo Regional Ambiental, la C.R.A., se ejecutaron procesos de capacitación teórico prácticos que permiten mantener organizados y actualizados, los conocimientos de los guardianes ambientales – GUMA, organizados en vigencias anteriores dando cumplimiento al 100% de la meta programada.</t>
  </si>
  <si>
    <t>Teniendo en cuenta que, el informe de seguimiento a los ODS de los municipios del departamento del Atlántico es anual, en el marco del convenio de asociación No.004 del
2023 cuyo objeto es: “AUNAR ESFUERZOS PARA EL DESARROLLO CONJUNTO DE UN PROGRAMA DE FORMACIÓN CIUDADANA, A TRAVÉS DE ACTORES COMUNITARIOS A DOTAR CON CAPACIDAD TÉCNICA PARA ORIENTAR LOS PROCESOS PARTICIPATIVOS EN TERRITORIOS”, celebrado con la Corporación Univesitaria Reformada – CUR., se elaboró el documento técnico correspondiente al informe de seguimiento a los ODS.  Dando cumplimiento a la vigencia de 2023.</t>
  </si>
  <si>
    <t>Con la ejecución del Convenio No. 005 del 2023 celebrado con la Corporación Universitaria Americana, cuyo objeto es “AUNAR ESFUERZOS PARA DESARROLLAR ACCIONES QUE PROMUEVAN LA CONSERVACIÓN DE LOS RECURSOS NATURALES EN EL DEPARTAMENTO DEL ATLÁNTICO, A TRAVES DE LA IDENTIFICACIÓN, CONSOLIDACIÓN Y FORTALECIMIENTO DE NEGOCIOS VERDES COMO ENFOQUE A LA ACTIVACIÓN DE LA ECONOMIA LOCAL CIRCULAR, LA AUTOGESTIÓN AMBIENTAL Y EL DESARROLLO DE PRACTICAS LIMPIAS PARA EL MEJORAMIENTO DEL SECTOR PRODUCTIVO”, esta Corporación da cumplimiento al 100% de la meta de implementar un convenio de producción más limpia.
Mediante este convenio, se da apoyo a Instituciones educativas previamente seleccionadas ubicadas en los Municipios de Sabanalarga, Manatí y Usiacurí, en el Departamento del Atlántico.</t>
  </si>
  <si>
    <t>Con la ejecución del convenio No. 0013 de 2023 cuyo objeto es: AUNAR ESFUERZOS TÉCNICOS, ADMINISTRATIVOS, JURÍDICOS Y FINANCIEROS PARA IMPULSAR PROYECTOS DE GENERACIÓN Y UTILIZACIÓN DE ENERGÍAS ALTERNATIVAS TENDIENTES A LA OPTIMIZACIÓN, RACIONALIZACIÓN Y SUSTITUCIÓN DE FUENTES DE ENERGÍA CONVENCIONAL, celebrado con la Fundación Internacional de Fomento para el Progreso de las Naciones – INTERPRON, se dio cumplimiento al 100% a la meta programada para la vigencia 2023 de impulsar un proyecto de generación de Fuentes No Convencionales de Energía Renovable-FNCER.</t>
  </si>
  <si>
    <t>Se cumplió  la meta de 2022 en la vigencia 2023 mediante el Convenio 001  del 2022 - ALDESARROLLO Con las acciones desarrolladas a 31 de diciembre de 2023 se logró el 100% considerando lo programado en el plan de trabajo.
El nuevo PGAR, será el plan prospectivo y estratégico de largo plazo (12 años), su elaboración se viene desarrollando con la Red Colombiana de Instituciones de Educación Superior- EDURED.</t>
  </si>
  <si>
    <t>convenio 001-2022</t>
  </si>
  <si>
    <t>Con las asesorías realizadas a las 24 entidades territoriales del departamento se dio cumplimiento al 100% de la meta programada para la vigencia 2023.
Cabe destacar el desarrollo de una jornada de asistencia técnica y jurídica llevada a cabo el día 22 de junio de 2023 a los 22 municipios, al distrito de Barranquilla y al departamento en las instalaciones del Hotel Atrium en la ciudad de Barranquilla.</t>
  </si>
  <si>
    <t>La actualización de estudios y documentos técnicos producidos en temas de ordenamiento ambiental se realizó en el marco del contrato No. 0291 de 2023 cuyo objeto es “ELABORAR LOS ESTUDIOS TÉCNICOS PARA LA ACTUALIZACIÓN DE LA CARTOGRAFÍA DE SUSCEPTIBILIDAD DE AMENAZA Y CONOCIMIENTO DEL RIESGO, ASÍ COMO LA DEFINICIÓN DE LOS CORREDORES VIALES SUBURBANOS PARA EL ORDENAMIENTO TERRITORIAL DE LOS MUNICIPIOS DEL DEPARTAMENTO DEL ATLÁNTICO”, dando cumplimiento al 100% de la meta.
La meta de 2022 se cumplió en rezago en 2023 a través del Contrato No. 358 de 2022 cuyo objeto es: “ACTUALIZACIÓN DOCUMENTAL  Y CARTOGRÁFICA DE AMENAZAS Y DETERMINANTES AMBIENTALES EN EL COMPLEJO DE HUMEDALES DE LA VERTIENTE OCCIDENTAL DEL RÍO MAGDALENA E IDENTIFICACIÓN DE LOS RIESGOS EN LAS INFRAESTRUCTURAS DE LOS ECOSISTEMAS CLAVES DE ABASTECIMIENTO HÍDRICO DEL DEPARTAMENTO DEL ATLÁNTICO”.</t>
  </si>
  <si>
    <t>291
358-2022</t>
  </si>
  <si>
    <t>Se dio cumplimiento a la meta programada en la presente vigencia mediante el Convenio No. 009 del 2023 cuyo Objeto es: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 A través de éste, se instalaron dos (2) estaciones de monitoreo para la calidad de aire, las cuales se encuentran en operación.</t>
  </si>
  <si>
    <t>Desde la vigencia 2022 se logró el reporte en línea de los datos meteorológicos; en las estaciones PIMSA (Malambo), Tránsito (Malambo), Granabastos(Soledad), EDUMAS (Soledad), Alcaldía (Puerto Colombia) y Bomberos (PuertoColombia), a través de la plataforma SARA CLOUD: sin embargo, en la vigencia 2023 no se logró el reporte del informe SISAIRE debido a la ausencia de datos de parámetros de contaminantes atmosféricos objeto.</t>
  </si>
  <si>
    <t>En ejercicio de las labores de evaluación, seguimiento y control ambiental desde la subdirección de Gestión ambiental se elaboró el plan anual de seguimiento para los usuarios del instrumento de control permiso emisiones atmosféricas alcando un cumplimiento del 90% de la meta trazada para la vigencia 2023.</t>
  </si>
  <si>
    <t>La C.R.A. dio cumplimiento a la meta programada para la vigencia 2023, para lograrlo se desarrollaron acciones en el marco del Convenio No. 009 del 2023 cuyo Objeto es: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t>
  </si>
  <si>
    <t>En la vigencia 2023 se llevaron a cabo dos (2) operativos para la problemática de Olores ofensivos dando cumplimiento a la meta programada para la presente vigencia: 
	DISTRIBUIDORAS INVERSIONES E INGENIERIA SAS (Informe técnico 104 y auto 245 del 2023)
	Camaguey S.A</t>
  </si>
  <si>
    <t xml:space="preserve">Se dio cumplimiento a la meta programada para la presente vigencia a través del Convenio No. 009 del 2023 cuyo Objeto es: “AUNAR ESFUERZOS TÉCNICOS, ADMINISTRATIVOS, Y FINANCIEROS PARA DAR CONTINUIDAD AL DESARROLLO DE UN PROGRAMA DE FORTALECIMIENTO DE LA GESTIÓN AMBIENTAL SOSTENIBLE DE LOS RECURSOS NATURALES Y SECTORIALES, QUE CONTRIBUYA A LA CONSERVACIÓN DE LA BIODIVERSIDAD Y RIQUEZA DE LOS ECOSISTEMAS TERRESTRES Y MARINO COSTEROS DEL DEPARTAMENTO DEL ATLÁNTICO”.
En ejecución de esta actividad se vinculó a la firma CONTROL DE LA CONTAMINACIÓN LTDA, para la elaboración del mapa de ruido Diurno y Nocturno actualizado en el Municipio de Baranoa.
Se realizaron visita de campo con la finalidad de identificar los puntos de interés y mayor generación de ruido (Plaza principal, Bares, sector comercial). Se hizo entrega del informe preliminar “PLAN PARA LA ACTUALIZACIÓN DEL MAPA DE RUIDO DIURNO Y NOCTURNO EN EL MUNICIPIO DE BARANOA, PRIORIZADO DEL DEPARTAMENTO DEL ATLÁNTICO”. Se seleccionaron de cincuenta (50) a sesenta (60) puntos de interés para medición de ruido, que serán aforados para la generación del mapa de ruido del Municipio y posterior Plan de Descontaminación de Ruido. </t>
  </si>
  <si>
    <t xml:space="preserve">para la medición de ruidos, de los cuales dos (2) de éstos fueron calibrados el año anterior y uno (1) fue adquirido en la vigencia 2022.
Teniendo en cuenta que, la calibración se realiza cada año y medio, para el presente año sigue estando vigente la calibración de los equipos existentes. </t>
  </si>
  <si>
    <t>Se dio cumplimiento a la meta con la ejecución del Convenio No. 005 de 2023, celebrado con la Corporación Universidad Americana cuyo objeto es: “AUNAR ESFUERZOS PARA DESARROLLAR ACCIONES QUE PROMUEVAN LA CONSERVACIÓN DE LOS RECURSOS NATURALES EN EL DEPARTAMENTO DEL ATLÁNTICO, A TRAVÉS DE LA IDENTIFICACIÓN, CONSOLIDACIÓN Y FORTALECIMIENTO DE NEGOCIOS VERDES COMO ENFOQUE A LA ACTIVACIÓN DE LA ECONOMÍA LOCAL CIRCULAR, LA AUTOGESTIÓN AMBIENTAL Y EL DESARROLLO DE PRÁCTICAS LIMPIAS PARA EL MEJORAMIENTO DEL SECTOR PRODUCTIVO”.
A través del convenio mencionado se desarrollaron las actividades necesarias para implementar dos (2) proyectos para el aprovechamiento local de plásticos y otros materiales reciclables en los Municipios de Piojó y Tubará con las comunidades previamente seleccionadas.</t>
  </si>
  <si>
    <t>En la vigencia 2023 se efectuaron visitas de seguimiento a los PGIRS a los veintidós (22)
de los municipios del departamento del Atlántico:
1.  Baranoa
2.  Campo de la cruz
3.  Candelaria
4.  Galapa
5.  Juan de acosta
6.  Luruaco
7.  Malambo
8.  Manatí
9.  Palmar de Varela
10. Piojo
11. Polonuevo
12. Ponedera
13. Puerto Colombia
14. Repelón
15. Sabanagrande
16. Sabanalarga
17. Santa lucia
18. Santo tomas
19. Soledad
20. Suan
21. Tubará
22. Usiacurí</t>
  </si>
  <si>
    <t>El registro de generadores de residuos y desechos peligrosos en el 2023 se ha mantenido actualizado al 100% durante la vigencia. 
Se registra una atención de ciento cuarenta y ocho (148) solicitudes para los conceptos de:
	Solicitud Inscripción Plataforma.
	Actualización contraseña.
	Actualización datos usuario y/o representante legal.
	Traslado por competencia.</t>
  </si>
  <si>
    <t>En la vigencia 2023 se recibieron 542 solicitudes de autorizaciones y permisos atendiendo el 100% de las misma. Dando cumplimiento al 100% de la meta programada para la vigencia</t>
  </si>
  <si>
    <t>En  la vigencia 2023, en ejercicio de  sus funciones, la  Corporación  dio atención  a trescientas cincuenta y tres (353) quejas y/o denuncias de carácter ambiental de quinientas tres (503) recibidas.
En lo referente a los procesos sancionatorios, se adelanta la actualización de la base de datos y procesos asociados. La vigencia 2023 inicia con un total de cuatrocientos doce (412) procesos sancionatorios, resueltos cuatro (4) y con cesación seis (6).</t>
  </si>
  <si>
    <t>Para la vigencia 2023, la entidad programó el seguimiento de 233 instrumentos de control ambiental. Sobre éstos se priorizaron 70 instrumentos otorgados a los sectores económicos (residuos,  infraestructura,  salud; minería, energético)  a  la fecha  se  ha efectuado veintiocho (28) visitas de seguimiento ambiental con el fin de verificar la efectividad de la implementación de las medidas de compensación establecidas.</t>
  </si>
  <si>
    <t>En la vigencia 2023, la Corporación, en apoyo del Grupo de reacción inmediata- CRIA ha realizado seguimiento a 2 establecimientos que pertenecen a la RED AMIGO DE LA FAUNA, para darle cumplimiento a las directrices establecidas en la Resolución 2064 de 2010:
	Sociedad Jupales anteriormente Fundación Atlántida, Finca SUVA.
	Solar de MAO.
	Hacienda Suva
Se evaluó la solicitud de Cabe FUNDACION PARA EL DESARROLLO SOCIAL TURISTICO Y CULTURAL DON TITO para la red amigos de la fauna.
Con las acciones desarrolladas para la atención de quejas y seguimiento a la red amigos de la fauna se dio cumplimiento al 100% de la meta programada en la vigencia 2023</t>
  </si>
  <si>
    <t>En ejercicio de sus funciones, la Corporación Autónoma Regional del Atlántico atendió el 100% de las denuncias recibidas sobre tráfico ilegal y cautiverio de especies de flora y fauna en el Departamento del Atlántico, para ello, adelantó operativos de control al tráfico ilegal de fauna y flora en el área de su jurisdicción con el acompañamiento de las diferentes entidades que hacen parte SINA, como son Policía Nacional, Ejercito Nacional, fiscalía general de La Nación entre otros.
Para el año 2023 se realizaron 24 operativos en diferentes municipios del departamento del atlántico y se realizaron controles a la Biodiversidad decomisándose fauna y flora de diferentes especies, se recibieron un total de cuarenta y dos (42) denuncias asociadas al tráfico ilegal de flora y fauna en el departamento del Atlántico. Cumpliendo el 100% de la meta programada.</t>
  </si>
  <si>
    <t>Convenio CV0010 del 13 de diciembre de 2022 cuyo objeto es: “Aunar esfuerzos para atender especímenes aprehendidos, decomisados y/o puestos a disposición en la Corporación con origen de diferentes zonas climáticas; para el manejo adecuado, rehabilitación y posible liberación de los animales, pertenecientes a la fauna silvestre colombiana, de acuerdo con los procedimientos establecidos en la Resolución No. 2064 de 2010 del MAVDT” firmado con la Fundación botánica y zoológica de barranquilla sigla FUNDAZOO logrando al cierre de 2022, contar un CAVF implementado.
Datos de contratación: No. Contrato: CV0010 del 13 de diciembre de 2022 Objeto: Aunar esfuerzos para atender especímenes aprehendidos, decomisados y/o puestos a disposición en la Corporación con origen de diferentes zonas climáticas; para el manejo adecuado, rehabilitación y posible liberación de los animales, pertenecientes a la fauna silvestre colombiana, de acuerdo con los procedimientos establecidos en la Resolución No. 2064 de 2010 del MAVDT.
Fecha inicio (Indicar si hubo adición): 19 de diciembre de 2022
Plazo: 31 de diciembre de 2022.
PRORROGA Nº 1: hasta el quince (15) de marzo de 2023,</t>
  </si>
  <si>
    <t>convenio 0010-2022</t>
  </si>
  <si>
    <t>En el marco del contrato No. 0291 de 2023 cuyo objeto es ELABORAR LOS ESTUDIOS TÉCNICOS PARA LA ACTUALIZACIÓN DE LA CARTOGRAFÍA DE SUSCEPTIBILIDAD DE AMENAZA Y CONOCIMIENTO DEL RIESGO, ASÍ COMO LA DEFINICIÓN DE LOS CORREDORES VIALES SUBURBANOS PARA EL ORDENAMIENTO TERRITORIAL DE LOS MUNICIPIOS DEL DEPARTAMENTO DEL ATLÁNTICO se elaboraron en la vigencia 2023 Cinco (5), mapas de riesgos por inundación, remoción en masa, avenidas torrenciales, incendios y erosión, para el centro poblado principal del municipio de Juan de Acosta, a escala 1:5.000.
Con estos resultados se logró mejorar la escala de trabajo y elaborar un mapa adicional a lo planteado en la meta y el indicador para esta acción estratégica.</t>
  </si>
  <si>
    <t>Para dar cumplimiento a la meta programada, adicional a la asistencia técnica brindada a los municipios, la C.R.A., en el marco del contrato No. 0291 de 2023 cuyo objeto es ELABORAR LOS ESTUDIOS TÉCNICOS PARA LA ACTUALIZACIÓN DE LA CARTOGRAFÍA DE SUSCEPTIBILIDAD DE AMENAZA Y CONOCIMIENTO DEL RIESGO, ASÍ COMO LA DEFINICIÓN DE LOS CORREDORES VIALES SUBURBANOS PARA EL ORDENAMIENTO TERRITORIAL DE LOS MUNICIPIOS DEL DEPARTAMENTO DEL ATLÁNTICO.
A corte 31 de diciembre de 2023, fueron elaborados actualizados quince (15) mapas de amenazas por inundación, remoción en masa, avenidas torrenciales, incendios y erosión, para el centro poblado principal del municipio de Juan de Acosta y el municipio de Luruaco, a escala 1:5.000 y 1:25.000, respectivamente. Es preciso aclarar que para el municipio de Juan de Acosta se actualizaron los mapas tanto para zona urbana como para zona rural; es decir, diez (10) mapas en este municipio.
Con ello se logró mejorar la escala de trabajo y elaborar un mapa adicional a lo planteado en la meta y el indicador para esta acción estratégica.
La meta de 2022 se cumplió en rezago en 2023 a través del Contrato No. 358 de 2022 cuyo objeto es: “ACTUALIZACIÓN DOCUMENTAL  Y CARTOGRÁFICA DE AMENAZAS Y DETERMINANTES AMBIENTALES EN EL COMPLEJO DE HUMEDALES DE LA VERTIENTE OCCIDENTAL DEL RÍO MAGDALENA E IDENTIFICACIÓN DE LOS RIESGOS EN LAS INFRAESTRUCTURAS DE LOS ECOSISTEMAS CLAVES DE ABASTECIMIENTO HÍDRICO DEL DEPARTAMENTO DEL ATLÁNTICO”.</t>
  </si>
  <si>
    <t xml:space="preserve">Durante la vigencia 2023 se dio cumplimiento al 100% de la meta a través del acompañamiento a la totalidad de municipios de la jurisdicción de la entidad.
</t>
  </si>
  <si>
    <t>La Corporación realizó las asesorías y seguimiento a los planes Municipales y Departamental de Gestión del Riesgo, en relación con las acciones para enfrentar las amenazas por incendios de cobertura vegetal dando cumplimiento al 100% de la meta programada para la presente vigencia.
Además, para contribuir al cumplimiento de la misma, se celebró el convenio No. 0010 del 2023 que tiene por Objeto “DESARROLLO CONJUNTO DE UN PROGRAMA DE CAPACITACIÓN DIRIGIDO A ORGANIZACIONES COMUNITARIAS PARA APOYAR LA GESTIÓN AMBIENTAL EN LA CONSERVACIÓN DE ECOSISTEMAS, GESTIÓN DEL RIESGO, ECOTURISMO Y SEGURIDAD ALIMENTARIA EN LOS MUNICIPIOS DE LURUACO, SABANALARGA Y PIOJÓ”.
En el marco del convenio se fortalecieron conocimientos y estrategias a los miembros del comité de gestión del riesgo del municipio de Piojó para atender incendios de cobertura vegetal que puedan presentarse.</t>
  </si>
  <si>
    <t>Con la ejecución del contrato No. 251 del 2023 que tiene por objeto: “REALIZAR LA CONSTRUCCIÓN DE LA CANALIZACIÓN PARA LA RECUPERACIÓN AMBIENTAL DEL ARROYO PLATANAL, UBICADO EN EL MUNICIPIO DE SOLEDAD, DEPARTAMENTO DEL ATLÁNTICO”, celebrado con el Consorcio canalización el Platanal 2023 se dio cumplimiento a la meta de implementar un proyecto de mitigación y adaptación.</t>
  </si>
  <si>
    <t>En  la vigencia 2023, se entregaron cinco (5) permisos sindicales para garantizar las reuniones de sus miembros en el marco de su derecho a la libre asociación de los trabajadores dando cumplimiento a la meta programada para la vigencia 2023</t>
  </si>
  <si>
    <t xml:space="preserve">A través del Contrato No.265 de 2023, cuyo objeto es: “PRESTAR SERVICIOS PROFESIONALES Y DE APOYO A LA GESTIÓN EN EL DESARROLLO DEL PROGRAMA DE CAPACITACIÓN, FORMACIÓN Y ACTUALIZACIÓN EN LOS CONOCIMIENTOS TÉCNICOS Y EL DESARROLLO DE HABILIDADES Y COMPETENCIAS DE LOS OBJETIVOS MISIONALES Y ADMINISTRATIVOS DE LA ENTIDAD”, celebrado con el Instituto Colombiano de Normas Tecnicas Certificacion - ICONTEC se dio cumplimiento al 100% de la meta de ejecutar anualmente el Plan de Capacitación y Bienestar Social elaborado y ejecutado año a año. (90%). </t>
  </si>
  <si>
    <t>Durante la vigencia 2023 el programa de apoyo a la educación formal de funcionarios y su núcleo familiar, ha otorgado un total de total treinta y siete (37) estímulos educativos superando ampliamente el 100% de la meta programada.</t>
  </si>
  <si>
    <t>Al cierre de la vigencia 2023, la meta fue alcanzada en un 100%, toda vez que se dio cumpliento a todas las actividades planificadas en el plan de trabajo anual en SST que responden al cumplimiento de los requisitos normativos aplicables de seguridad y salud en el trabajo incluidos los estandares mínimos exigidos por la Resolución 0312 de 2019, las obligaciones del Decreto 1072 de 2015 y demás normas referidas.</t>
  </si>
  <si>
    <t xml:space="preserve">Esta meta alcanzó cumplimiento del 100% dado que se logró la actualización del perfil sociodemográfico de la población trabajadora y de sus condiciones de salud para la vigencia 2023. Lo anterior, a través de la realización de la Jornada de Exámenes Médicos Ocupacionales realizados en la modalidad extramural en las instalaciones de la Corporación.
Las acciones ejecutadas, obedecen al cumplimiento de las obligaciones establecidas en el Contrato No. 0240 de 2023, cuyo objeto es: “REALIZAR LOS EXAMENES MEDICOS OCUPACIONALES DE INGRESO, CONTROL PERIODICO, POR CAMBIO DE OCUPACIÓN, POST INCAPACIDAD, DE RETIRO, LOS EXAMENES COMPLEMENTARIOS, SEGUIMIENTOS INDIVIDUALIZADOS POR MEDICINA LABORAL, INFORME DE CONDICIONES DE SALUD Y DEMÁS INFORMES ASOCIADOS, PARA LOS TRABAJADORES DE LA CORPORACIÓN AUTONOMA REGIONAL DEL ATLÁNTICO”. </t>
  </si>
  <si>
    <t xml:space="preserve">La meta se alcanzó en un 100% dado que se cumplió con todas las actividades de medicina preventiva y del trabajo, promoción y prevención y programas de vigilancia epidemiológica planificados y definidos en el Plan de Trabajo Anual del Sistema de Gestión de Seguridad y Salud en el trabajo, dando cumplimiento al mismo.
Asímismo, todas las actividades referidas a esta meta cuentan con sus evidencias individualizadas como información documentada y disponible en el área de SST
A continuación se presenta el Informe de ejecución de actividades de Medicina Preventiva y del Trabajo, Promoción y Prevención y Programas de Vigilancia, con el detalle de las actividades realizadas y las respectivas evidencias fotográficas. </t>
  </si>
  <si>
    <t>Terminado y 198 liquidado</t>
  </si>
  <si>
    <t>La meta alcanzo un cumplimiento del 100% con la realización de los exámenes médicos ocupacionales a la población trabajadora de la Entidad, a 31 de diciembre del 2023.
El cumplimiento a esta meta se alcanzó con la ejecución del Contrato No. 0240 de 2023, cuyo objeto fue: REALIZAR LOS EXAMENES MEDICOS OCUPACIONALES DE INGRESO, CONTROL PERIODICO, POR CAMBIO DE OCUPACIÓN, POST INCAPACIDAD, DE RETIRO, LOS EXAMENES COMPLEMENTARIOS, SEGUIMIENTOS INDIVIDUALIZADOS POR MEDICINA LABORAL, INFORME DE CONDICIONES DE SALUD Y DEMÁS INFORMES ASOCIADOS, PARA LOS TRABAJADORES DE LA CORPORACIÓN AUTONOMA REGIONAL DEL ATLANTICO.</t>
  </si>
  <si>
    <t>La meta tiene un cumplimiento del 100% toda vez que la Corporación realizó la entrega de los elementos de protección personal requeridos por los trabajadores de la Entidad independiente de la modalidad de contratación. Es importante mencionar, que la Entidad cuenta con un stock de inventario para asegurar la reposición y dotación necesaria.
Para la vigencia 2023, el contrato de suministro ejecutado que permitió el cumplimiento de la meta fue el No. 0301 de 2023 cuyo objeto era la COMPRA DE LOS EQUIPOS Y ELEMENTOS DE PROTECCIÓN PERSONAL, COLECTIVOS Y DE EMERGENCIAS PARA LA PROTECCIÓN DE LOS TRABAJADORES DE LA CORPORACIÓN AUTÓNOMA REGIONAL DEL ATLÁNTICO, CONTRA LOS PELIGROS Y RIESGOS PRESENTES EN LOS AMBIENTES DE TRABAJO.</t>
  </si>
  <si>
    <t>Esta meta a corte 31 de diciembre de 2023 se encuentra cumplida en un 100%, teniendo en cuenta que se llevaron a cabo las mediciones higiénicas de iluminación informe I y II, medición de ruido y radiaciones ionizantes conforme al Plan de Trabajo anual.
La información del estudio junto con sus evidencias, se encuentran disponibles como información documentada del SG-SST.</t>
  </si>
  <si>
    <t xml:space="preserve">Esta meta se encuentra cumplida al 100% en la presente vigencia dado que durante la vigencia anterior 2022 se actualizaron los entrenamientos en alturas del personal objetivo, y conforme a la legislación actual, la formación tiene una vigencia de 18 meses. De tal modo que corresponde realizar la siguiente actualización de trabajo en alturas para el mes junio de 2024, dando cumplimiento a la meta del año 2023. </t>
  </si>
  <si>
    <t>A corte 31 de diciembre de 2023 se alcanzó al 100% de la meta programada. En ese sentido,  se cumplió con el proceso de actualización del Plan Estratégico de Seguridad Vial - PESV en todas sus etapas y todos sus componentes, de conformidad con los cambios normativos introducidos por la Resolución 20223040040595 del 12 de julio de
2022 del Ministerio del Transporte, formulando los 5 programas que incluye la precitada Resolución para la gestión eficiente del riesgo vial. Asimismo, la autoevaluación interna realizada, logró una valoración de 90 puntos sobre 100 posibles.</t>
  </si>
  <si>
    <t>Se ejecutó y divulgó el Plan Estratégico de las Tecnologías de la Información – PETI, obteniendo un cumplimiento del 100% en la meta programada para la presente vigencia.
Como parte de las actividades desarrolladas se envió el PETI a los emails corporativos y se apoyó a los usuarios que solicitaron aclaración y/o presentaron observaciones. De igual forma, se contrató a un profesional de soporte para apoyar la ejecución del proyecto.
Adicionalmente, la entidad participó en reuniones programadas con el Ministerio de Ambiente para la construcción del PETI sectorial, así como, en los talleres de construcción del Plan Estratégico del Sistema de Información Ambiental Colombiano.</t>
  </si>
  <si>
    <t xml:space="preserve">La Corporación adelantó un total de 3 acciones relacionadas con el diseño para la posterior implementación del Sistema de Gestión de Seguridad de la Información - SGSI según la norma ISO 27001, logrando superar la meta establecida para el año 2023.
</t>
  </si>
  <si>
    <t>Se realizó el mantenimiento preventivo a los equipos de computo de acuerdo a lo planificado en el área.
De otra parte, se realizó el proceso de adquisición por tienda virtual del estado colombiano, de 51 equipos de cómputo para los nuevos funcionarios de la Corporación, de los cuales llegaron 14 Portátiles, 36 Todo-En-Uno y 1 estación de trabajo.
Con lo anterior, damos cumplimiento al 100% de la meta programada para la vigencia 2023.</t>
  </si>
  <si>
    <t>Para el cumplimiento del 100% de la meta se ejecutó el contrato No. 227 de 2023 a través del cual se dio el apoyo en la gestión del Datacenter y la seguridad de la red LAN: Seguridad perimetral, endpoint, cloud, Datacenter, entre otros. De igual forma, se contó con la asistencia técnica en la gestión del dominio crautonoma.gov.co y el software Orfeo GPL.
El contrato antes mencionado fue suscrito con LSN - LAN SECURITY NETWORKS S.A.S, el cual tuvo por objeto: “PRESTAR LOS SERVICIOS PROFESIONALES Y DE APOYO A LA GESTIÓN PARA EL FORTALECIMIENTO DE LA SEGURIDAD DE LA INFORMACIÓN, LA ACTUALIZACIÓN DE LICENCIAMIENTO DEL SOFTWARE BASE, EL MONITOREO Y SEGUIMIENTO DE LA INFRAESTRUCTURA TECNOLOGICA Y LA GESTIÓN DEL DATACENTER QUE POSEE LA CORPORACIÓN AUTÓNOMA REGIONAL DEL ATLÁNTICO – C.R.A.”</t>
  </si>
  <si>
    <t xml:space="preserve">Se actualizó el 100% del software base de la corporación, el cual se encuentra representado en las siguientes acciones ejecutadas.
Se adquirieron 49 licencias de Office Profesional Plus 2021 a través del acuerdo marco de grandes superficies, las cuales ya se encuentran en la CRA y han sido instaladas en los nuevos equipos.
Se cuenta con los servicios de asistencia en la gestión del software base a traves de la empresa LSN - LAN SECURITY NETWORKS S.A.S, acorde al objeto contractual previamente señalado (Contrato No. 227 del 2023). </t>
  </si>
  <si>
    <t>En la vigencia 2023 se logró el cmplimiento del 100% de la meta establecida.
Se  han  venido  ejecutando  las  siguentes  6  estrategias  de  comunicación,  que  han permitido fortalecer la imagen institucional de la entidad.
1.  Estrategia de Divulgación y Visibilización de acciones institucionales.
2.  Estrategia de Crecimiento en Redes Sociales.
3.  Estrategia de Promoción de Imagen institucional.
4.  Estrategia de Engagement (Marketing Online).
5.  Estrategia de relacionamiento con medios de comunicación. 
6.  Estrategia de fortalecimiento de la comunicación interna</t>
  </si>
  <si>
    <t>Terminado y 194 liquidado</t>
  </si>
  <si>
    <t>Se dio cumplimiento e incluso se superó el 100% de la meta programada para la vigencia, ello se logró con las campañas institucionales relacionadas en el informe.</t>
  </si>
  <si>
    <t xml:space="preserve">Se cumplió y se superó la meta programada para la vigencia 2023 con las diferentes interacciones relacionadas en el informe de word.
</t>
  </si>
  <si>
    <t>Para el cumplimiento de esta meta, se ejecutó la presente estrategia de”Crecimiento en redes sociales”. En este sentido, se desarrolló la estrategia digital de la Corporación con la ejecución de actividades de comunicación interna y externa.
Los resultados de Crecimiento alcanzados para cada Red Social al cierre de la vigencia 2023, denotan un crecimiento general promedio del 10%.</t>
  </si>
  <si>
    <t>Con la revisión de la totalidad de proyectos ambientales radicados en el Banco de proyectos de la entidad, se viene dado cumplimiento al 100% de la meta de la vigencia 2023, dado que se ha revisado la totalidad de dichos proyectos.
En el primer semestre de la presente vigencia se tiene registro de doce (12) proyectos ambientales radicados en el Banco de Proyectos</t>
  </si>
  <si>
    <t xml:space="preserve">Durante esta vigencia se destaca la renovación del Software contable (PCT), un paso adelante en la emisión de facturación y nomina electrónica cumpliendo  así con  la normativa y directrices emitidas por la DIAN, para este logro fue importante el compromiso del proveedor de servicios PCT Ltda., a traves del Contrato No. 0245  de
2023.
Con las acciones desarrolladas en la presente acción estratégica, se tiene un cumplimiento del meta establecida de 100%
</t>
  </si>
  <si>
    <t>La meta tiene cumplimiento del 100%, conforme a las acciones que se describen a continuación.
Se ajustó la Matríz de Riesgos del proceso de Gestión de Tecnologías de la Iinformación donde se realiza la gestión de los riesgos de seguridad de la información, alineada con lo establecido en el Manual de Gestión del Riesgo de la función pública, entre otras relacionadas en el word.</t>
  </si>
  <si>
    <t>Después de haber realizado la actualización de la estructura de la información registrada en el Geonodo en la vigencia anterior, durante la vigencia 2023, se contó con el apoyo de los funcionarios SIG de la Corproación, para realizar la actualización según los lineamientos requeridos, logrando así el cumplimiento del 100% de implementación y mantenimiento de las herramientas.
El rezago de 2022 se entiende cumplido con el 100% de cumplimiento de esta acción en la vigencia 2023.</t>
  </si>
  <si>
    <t xml:space="preserve">Con periodicidad mensual durante la vigencia 2023, se realizó la actualización de los registros de los sistemas de información ambiental, cumpliendo con el 100% de la meta programada. </t>
  </si>
  <si>
    <t>Se dio cumplimiento del 100% de la meta programada para la vigencia, con la realización de la auditoría interna al sistema de gestión integrado.
Dicha auditoría interna fue realizada del 25 de septiembre al 4 de octubre de la presente vigencia. La misma fue llevada a cabo por auditores internos propios de la Corporación, 
los cuales aprobaron de manera satisfactoria el ciclo de formación impartido por el Instituto Colombiano de Normas Técnicas y Certificación ICONTEC dentro del marco del Plan de Capacitación Sembrando Saberes.</t>
  </si>
  <si>
    <t>La meta se cumplió al 100%, teniendo en cuenta que el Sistema de Gestión Integrado (SGI) y su componente de Gestión de la Calidad se encuentra implementado y operando dentro de lo planificado, y el mismo fue re certificado por ICONTEC.
Para el mantenimiento del SIG se ejecutó el respectivo cronograma de trabajo de la vigencia</t>
  </si>
  <si>
    <t>La meta se cumplió al 100%, teniendo en cuenta que el Sistema de Gestión Integrado y su componente de Seguridad y Salud en el Trabajo se encuentra implementado y operando dentro de lo planificado, y el mismo fue re certificado por ICONTEC, como se señaló en la acción estratégica anterior.
Las evidencias de mantenimiento y mejora del SGI relacionadas con este componente de Gestión de la SST, se muestran en detalle en el presente informe a través del Programa 5.2 Seguridad y Salud en el Trabajo.</t>
  </si>
  <si>
    <t xml:space="preserve">La meta se cumplió al 100%, teniendo en cuenta que el SGI y su componente de Gestión Ambiental se encuentra implementado y operando dentro de lo planificado, y el mismo fue re certificado por ICONTEC.
Para el alcance de la meta, el equipo del SGI estableció un cronograma de actividades para la presente vigencia, que se ejecutó conforme a lo planificado, permitiendo el logro alcanzado.
Se destacan algunas de las actividades planificadas desarrolladas por la Corporación, algunas en cooperación con entidades sin animo de lucro como Fundación Natura, Fundación Puntos Verdes, RECOILS entre otras. </t>
  </si>
  <si>
    <t>Para dar cumplimiento a la meta, se elaboró el documento Guía para la adquisición de servicios de calibración y medición en la CRA. La guía tiene el objetivo de brindar lineamientos e instrucciones a  las dependencias de  la corporación  para incorporar adecuadamente los criterios aplicables de la norma ISO 17025:2017 en la contratación de servicios de calibración y medición de variables físicas.
Con las acciones desarrolladas se da cumplimiento a 100% de la meta programada en la vigencia.</t>
  </si>
  <si>
    <t>A través del proceso de diseño, implementación y mantenimiento del Sistema de Gestión Integrado se desarrollaron las actividades de cada una de las siete (7) dimensiones del Modelo  Integrado  de  Planeación  y  Gestión  –  MIPG.  Para  el  logro,  se  adoptó  la metodología de autodiagnóstico del modelo propuesto en el micrositio de MIPG en la página de la función pública.
Es importante señalar, que con base al artículo 2.2.22.3.14 del Decreto 1083 de 2015 adicionado por el artículo 1 del Decreto 612 de 2018, el Modelo Integrado de Planeación y Gestión MIPG encuentra sus bases en el establecimiento e implementación de doce (12) planes institucionales y estratégicos que permiten operativizar las siete dimensiones del modelo, a lo cual la entidad dio el respectivo cumplimiento.
En este orden de ideas, la Corporación logró el 100% de la meta programada en la vigencia 2023.</t>
  </si>
  <si>
    <t xml:space="preserve">La meta del cuatrienio se encuentra cumplida y superada frente a la establecida para la vigencia 2023, logrando el 92,5% de documentos custodiados en condiciones de espacio y medioambientales adecuadas de seguridad, medición de temperatura y humedad relativa, uso y manejo de extintores, alarmas contra incendio y personal especializado para el desarrollo de todas las actividades, cumpliendo con todos los requerimientos exigidos por el Archivo General de la Nación.
Lo anterior, teniendo en cuenta que del total de 4.000 cajas que conforman el archivo central de la corporación, se encuentran en las bodegas del contratista MERCADATOS SA 3700 cajas lo que representa el 92.5% antes señalado.
</t>
  </si>
  <si>
    <t>Se dio cumplimiento a la meta de la vigencia 2023, del 20% de documentos digitalizados correspondientes a áreas misionales y estratégicas.
Para el logro, se realizó digitalización continua en el archivo de gestión de la Subdirección Ambiental; así mismo, se mantuvo de manera constante la digitalización de la información radicada por los usuarios que era allegada en soporte papel en la recepción de la Corporación.</t>
  </si>
  <si>
    <t xml:space="preserve">A 31 de diciembre de 2023 se actualizaron los inventarios documentales del Archivo de Gestión y Archivo Central, lo que representa el cumplimento del 100% de la meta de la actual vigencia.
Los inventarios documentales son instrumentos de recuperación de información que describen de manera exacta y precisa las series o asuntos de un fondo documental.
</t>
  </si>
  <si>
    <t>La meta se encuentra cumplida al 100% según lo programado para la vigencia 2023. Durante la vigencia se  han apoyado  a las  Subdirecciones y Oficinas  Asesoras de Dirección en las diferentes inquietudes y/o requerimientos de las mismas frente a los procesos de digitalización, verificación de las transferencias documentales; préstamo, acceso y consulta de la información:
1.	Subdirección de Planeación (hoy Oficina Asesora de Planeación)
2.	Subdirección Financiera
3.	Subdirección Ambiental 
4.	Control Interno
5.	Secretaría General 
6.	Dirección General
7.	Oficina Asesora Juríca</t>
  </si>
  <si>
    <t>Para  el  avance  de la  meta,  la  entidad  en  el  desarrollo  del proceso  de  revisión y actualización de expedientes de saneamiento ambiental, logró que de un total de 1810 cajas con expedientes que se tenian en el área de saneamiento, se organizaran (revisiron y actualizaron) 1.742 cajas, las cuales contenian alrededor de 12.194 carpetas.
Lo anteriormente señalado representa el avance de la meta de la vigencia del 96,24% de expedientes con saneamiento a corte 31 de diciembre del 2023.</t>
  </si>
  <si>
    <t>Las acciones judiciales instauradas ante la Corporación se atendieron en su totalidad, dándole a cada una el impulso correspondiente por el abogado asignado, cumpliendo con la meta de atención del 100% de las acciones judiciales presentadas en la vigencia 2023.
Cada una de las actuaciones o trámites procesales se registraron en la base de datos de la oficina jurídica. Entre el 1ero de Enero y el 31 de diciembre del año 2023 se atendieron (54) procesos.</t>
  </si>
  <si>
    <t>El propósito de la implementación de la política del daño antijurídico es prevenir la ocurrencia de cualquier situación interna o externa que le implique responsabilidades jurídicas a la Corporación Autónoma Regional del Atlántico, teniendo en cuenta los efectos patrimoniales, que implican costos a cargo de los recursos públicos. En tal sentido la Agencia Nacional de Defensa Jurídica del Estado, ha propuesto la metodología para la formulación de la política de prevención del Daño antijurídico.
En cumplimiento de lo anteriormente señalado, el equipo de Soporte Jurídico / Defensa de los Intereses de la Corporación, realizó las siguientes actuaciones, en el marco de acta No. 01 de 2023 donde se adopta e implementa la política del daño antijurídico para la vigencia 2022-2023”.</t>
  </si>
  <si>
    <t xml:space="preserve">Durante la vigencia se asignaron a la Oficina Jurídica por parte de la Dirección General un total de 1.784 derechos de petición de los cuales han sido atendidos 1.720, lo que corresponde a un cumplimiento del 96,41% de la meta de la vigencia 2023.
</t>
  </si>
  <si>
    <t>Terminado y 157 liquidado</t>
  </si>
  <si>
    <t>En el proceso de Adquisición de Bienes y Servicios (Contratación Estatal) a corte 31 de diciembre del 2023, se registra un cumplimiento de la meta del 100%.
En el periodo del 1 de enero al 31 de diciembre del año 2023, se recibió la solicitud de 303 trámites procesales contractuales requeridos por la Dirección de la entidad, los cuales fueron atendidos y tramitados conforme al reglamento interno y al Estatuto de Contratación Estatal, hasta el perfeccionamiento de los 303 contratos.
A efectos de establecer las evidencias y por ser bastante numerosa la información generada en los procesos contractuales, la misma puede ser consultada en la plataforma del SECOP II, donde se encuentran los datos correspondientes al número de contrato, objeto, valor, tiempo de ejecución y demás información relevante de cada uno de lo procesos contractuales.</t>
  </si>
  <si>
    <t>Dado que la Auditoría energética no pudo ser realizada en la vigencia 2023, se tiene planificada para su incorporación en el PAI 2024-2027.</t>
  </si>
  <si>
    <t>De acuerdo con el cronograma establecido para realizar las actividades de mantenimiento a la infraestructura de la Corporación Autónoma Regional del Atlántico y sus sedes, se realizó el 100% de los mantenimientos requeridos.
Se realizaron mantenimientos a los mobiliarios, aires acondicionados, motobombas, extintores, reparaciones locativas, entre otros, dando cumplimiento a lo proyectado en el cronograma.</t>
  </si>
  <si>
    <t>A corte 31 de diciembre del 2023 se han realizado los mantenimientos correctivos y reparaciones locativas menores en las dos sedes de la Corporación, garantizando el buen funcionamiento de la infraestructura de la entidad, los cuales se relacionan a en el documento word.</t>
  </si>
  <si>
    <t xml:space="preserve">Durante el 2021, a través de Resolución 691 del 2021 se adoptaron los PORH de las ciénagas de Sabanagrande, Santo Tomás y Palmar de Varela que se formularon en el 2020
Para la vigencia 2022, se formuló el PORH Ciénaga de Malambo, el cual tenía programación de ejecución para vigencia 2021, siendo adoptado en el 2023 cumpliéndose en rezago (Res.0589 de 2023). 
Para la vigencia 2023, se formuló y se adoptó el PORH de la Ciénaga La Bahía (Res 01095 de 2023). </t>
  </si>
  <si>
    <t>La jurisdicción de la CRA se integra por 23 municipios, incluído el distrito de Barranquilla. Sin embargo, solo 22 tienen PSMV aprobado objeto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</si>
</sst>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 #,##0.00_-;\-&quot;$&quot;\ * #,##0.00_-;_-&quot;$&quot;\ * &quot;-&quot;??_-;_-@_-"/>
    <numFmt numFmtId="43" formatCode="_-* #,##0.00_-;\-* #,##0.00_-;_-* &quot;-&quot;??_-;_-@_-"/>
    <numFmt numFmtId="164" formatCode="0.0"/>
    <numFmt numFmtId="165" formatCode="_-* #,##0_-;\-* #,##0_-;_-* &quot;-&quot;??_-;_-@_-"/>
    <numFmt numFmtId="166" formatCode="_(* #,##0_);_(* \(#,##0\);_(* &quot;-&quot;??_);_(@_)"/>
    <numFmt numFmtId="167" formatCode="0.0%"/>
    <numFmt numFmtId="168" formatCode="[$$-240A]\ #,##0"/>
    <numFmt numFmtId="169" formatCode="&quot;$&quot;\ #,##0"/>
    <numFmt numFmtId="170" formatCode="_-&quot;$&quot;\ * #,##0_-;\-&quot;$&quot;\ * #,##0_-;_-&quot;$&quot;\ * &quot;-&quot;??_-;_-@_-"/>
    <numFmt numFmtId="171" formatCode="[$$-240A]\ #,##0.00"/>
    <numFmt numFmtId="172" formatCode="#,##0.0"/>
    <numFmt numFmtId="173" formatCode="[$$-240A]\ #,##0.0"/>
    <numFmt numFmtId="174" formatCode="0.000"/>
    <numFmt numFmtId="175" formatCode="_-* #,##0.00\ _€_-;\-* #,##0.00\ _€_-;_-* &quot;-&quot;??\ _€_-;_-@_-"/>
  </numFmts>
  <fonts count="102">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18"/>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b/>
      <sz val="10"/>
      <name val="Arial"/>
      <family val="2"/>
    </font>
    <font>
      <sz val="10"/>
      <name val="Arial"/>
      <family val="2"/>
    </font>
    <font>
      <b/>
      <sz val="11"/>
      <color theme="1"/>
      <name val="Arial Narrow"/>
      <family val="2"/>
    </font>
    <font>
      <b/>
      <sz val="9"/>
      <color theme="1"/>
      <name val="Verdana"/>
      <family val="2"/>
    </font>
    <font>
      <b/>
      <sz val="9"/>
      <name val="Verdana"/>
      <family val="2"/>
    </font>
    <font>
      <sz val="9"/>
      <color theme="1"/>
      <name val="Verdana"/>
      <family val="2"/>
    </font>
    <font>
      <sz val="10"/>
      <color theme="1"/>
      <name val="Arial Narrow"/>
      <family val="2"/>
    </font>
    <font>
      <b/>
      <sz val="10"/>
      <color theme="1"/>
      <name val="Arial Narrow"/>
      <family val="2"/>
    </font>
    <font>
      <sz val="10"/>
      <color rgb="FF000000"/>
      <name val="Arial Narrow"/>
      <family val="2"/>
    </font>
    <font>
      <sz val="8"/>
      <name val="Calibri"/>
      <family val="2"/>
      <scheme val="minor"/>
    </font>
    <font>
      <sz val="9"/>
      <color indexed="81"/>
      <name val="Tahoma"/>
      <family val="2"/>
    </font>
    <font>
      <b/>
      <sz val="9"/>
      <color indexed="81"/>
      <name val="Tahoma"/>
      <family val="2"/>
    </font>
    <font>
      <sz val="11"/>
      <color rgb="FFFF0000"/>
      <name val="Calibri"/>
      <family val="2"/>
      <scheme val="minor"/>
    </font>
    <font>
      <sz val="10"/>
      <name val="Calibri"/>
      <family val="2"/>
      <scheme val="minor"/>
    </font>
    <font>
      <sz val="9"/>
      <color rgb="FF000000"/>
      <name val="Calibri "/>
    </font>
    <font>
      <sz val="9"/>
      <color theme="1"/>
      <name val="Calibri "/>
    </font>
    <font>
      <u/>
      <sz val="11"/>
      <color rgb="FF0070C0"/>
      <name val="Calibri"/>
      <family val="2"/>
      <scheme val="minor"/>
    </font>
    <font>
      <sz val="9"/>
      <color rgb="FF000000"/>
      <name val="Calibri Light"/>
      <family val="2"/>
      <scheme val="major"/>
    </font>
    <font>
      <sz val="9"/>
      <color theme="1"/>
      <name val="Calibri Light"/>
      <family val="2"/>
      <scheme val="major"/>
    </font>
    <font>
      <b/>
      <sz val="10"/>
      <color theme="1"/>
      <name val="Calibri"/>
      <family val="2"/>
      <scheme val="minor"/>
    </font>
    <font>
      <b/>
      <sz val="8"/>
      <color theme="1"/>
      <name val="Calibri"/>
      <family val="2"/>
      <scheme val="minor"/>
    </font>
    <font>
      <b/>
      <sz val="9"/>
      <color rgb="FFC00000"/>
      <name val="Calibri"/>
      <family val="2"/>
      <scheme val="minor"/>
    </font>
    <font>
      <b/>
      <sz val="8"/>
      <color rgb="FFC00000"/>
      <name val="Calibri"/>
      <family val="2"/>
      <scheme val="minor"/>
    </font>
    <font>
      <b/>
      <sz val="14"/>
      <color rgb="FF000000"/>
      <name val="Calibri"/>
      <family val="2"/>
      <scheme val="minor"/>
    </font>
    <font>
      <b/>
      <sz val="16"/>
      <color rgb="FF000000"/>
      <name val="Calibri"/>
      <family val="2"/>
      <scheme val="minor"/>
    </font>
    <font>
      <sz val="10"/>
      <color rgb="FF000000"/>
      <name val="Arial  N"/>
    </font>
    <font>
      <b/>
      <sz val="18"/>
      <color rgb="FF000000"/>
      <name val="Calibri"/>
      <family val="2"/>
      <scheme val="minor"/>
    </font>
    <font>
      <b/>
      <sz val="14"/>
      <name val="Calibri"/>
      <family val="2"/>
      <scheme val="minor"/>
    </font>
    <font>
      <b/>
      <sz val="16"/>
      <name val="Calibri"/>
      <family val="2"/>
      <scheme val="minor"/>
    </font>
    <font>
      <sz val="9"/>
      <name val="Calibri"/>
      <family val="2"/>
      <scheme val="minor"/>
    </font>
    <font>
      <sz val="8"/>
      <name val="Arial Narrow"/>
      <family val="2"/>
    </font>
    <font>
      <b/>
      <sz val="8"/>
      <name val="Arial Narrow"/>
      <family val="2"/>
    </font>
    <font>
      <b/>
      <sz val="14"/>
      <color rgb="FFC00000"/>
      <name val="Calibri"/>
      <family val="2"/>
      <scheme val="minor"/>
    </font>
    <font>
      <sz val="8"/>
      <color theme="1"/>
      <name val="Arial"/>
      <family val="2"/>
    </font>
    <font>
      <sz val="8"/>
      <color rgb="FF000000"/>
      <name val="Calibri "/>
    </font>
    <font>
      <b/>
      <sz val="10"/>
      <color rgb="FF006100"/>
      <name val="Calibri"/>
      <family val="2"/>
      <scheme val="minor"/>
    </font>
    <font>
      <i/>
      <sz val="9"/>
      <color theme="1" tint="4.9989318521683403E-2"/>
      <name val="Calibri"/>
      <family val="2"/>
      <scheme val="minor"/>
    </font>
    <font>
      <sz val="10"/>
      <color rgb="FFFF0000"/>
      <name val="Arial Narrow"/>
      <family val="2"/>
    </font>
    <font>
      <b/>
      <sz val="9"/>
      <color theme="1"/>
      <name val="Calibri"/>
      <family val="2"/>
      <scheme val="minor"/>
    </font>
    <font>
      <sz val="10"/>
      <color rgb="FFFF0000"/>
      <name val="Calibri"/>
      <family val="2"/>
      <scheme val="minor"/>
    </font>
    <font>
      <b/>
      <sz val="9"/>
      <name val="Calibri"/>
      <family val="2"/>
      <scheme val="minor"/>
    </font>
    <font>
      <b/>
      <sz val="8"/>
      <name val="Calibri"/>
      <family val="2"/>
      <scheme val="minor"/>
    </font>
    <font>
      <sz val="11"/>
      <name val="Calibri"/>
      <family val="2"/>
    </font>
    <font>
      <b/>
      <sz val="20"/>
      <name val="Arial Narrow"/>
      <family val="2"/>
    </font>
    <font>
      <b/>
      <sz val="14"/>
      <name val="Arial Narrow"/>
      <family val="2"/>
    </font>
    <font>
      <sz val="11"/>
      <name val="Calibri"/>
      <family val="2"/>
      <scheme val="minor"/>
    </font>
    <font>
      <b/>
      <sz val="10"/>
      <color indexed="8"/>
      <name val="Arial Narrow"/>
      <family val="2"/>
    </font>
    <font>
      <b/>
      <sz val="14"/>
      <color rgb="FFC00000"/>
      <name val="Arial Narrow"/>
      <family val="2"/>
    </font>
    <font>
      <sz val="10"/>
      <color rgb="FF000000"/>
      <name val="Arial"/>
      <family val="2"/>
    </font>
    <font>
      <sz val="10"/>
      <color theme="1"/>
      <name val="Arial"/>
      <family val="2"/>
    </font>
    <font>
      <sz val="11"/>
      <name val="Arial"/>
      <family val="2"/>
    </font>
    <font>
      <sz val="10"/>
      <color theme="1"/>
      <name val="Calibri"/>
      <family val="2"/>
    </font>
    <font>
      <sz val="10"/>
      <color rgb="FFFF0000"/>
      <name val="Arial"/>
      <family val="2"/>
    </font>
    <font>
      <sz val="12"/>
      <color theme="1"/>
      <name val="Arial"/>
      <family val="2"/>
    </font>
    <font>
      <sz val="10"/>
      <name val="Calibri"/>
      <family val="2"/>
    </font>
    <font>
      <sz val="10"/>
      <color theme="1"/>
      <name val="Arial  N"/>
    </font>
    <font>
      <sz val="10"/>
      <color rgb="FF000000"/>
      <name val="Arial, sans-serif"/>
    </font>
    <font>
      <sz val="10"/>
      <color rgb="FFFF0000"/>
      <name val="Arial, sans-serif"/>
    </font>
    <font>
      <sz val="10"/>
      <name val="Arial  N"/>
    </font>
    <font>
      <sz val="10"/>
      <color rgb="FF444444"/>
      <name val="Arial Narrow"/>
      <family val="2"/>
    </font>
    <font>
      <b/>
      <sz val="10"/>
      <color indexed="10"/>
      <name val="Arial Narrow"/>
      <family val="2"/>
    </font>
    <font>
      <b/>
      <sz val="10"/>
      <color rgb="FFFF0000"/>
      <name val="Arial Narrow"/>
      <family val="2"/>
    </font>
    <font>
      <sz val="11"/>
      <color theme="1"/>
      <name val="Arial"/>
      <family val="2"/>
    </font>
    <font>
      <b/>
      <sz val="9"/>
      <name val="Arial Narrow"/>
      <family val="2"/>
    </font>
    <font>
      <b/>
      <sz val="7"/>
      <name val="Arial Narrow"/>
      <family val="2"/>
    </font>
    <font>
      <sz val="7"/>
      <name val="Arial Narrow"/>
      <family val="2"/>
    </font>
    <font>
      <u/>
      <sz val="7"/>
      <name val="Arial Narrow"/>
      <family val="2"/>
    </font>
    <font>
      <sz val="6"/>
      <color theme="1"/>
      <name val="Arial"/>
      <family val="2"/>
    </font>
  </fonts>
  <fills count="98">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rgb="FF9FC5E8"/>
      </patternFill>
    </fill>
    <fill>
      <patternFill patternType="solid">
        <fgColor rgb="FFFFFF00"/>
        <bgColor rgb="FFC4F7A2"/>
      </patternFill>
    </fill>
    <fill>
      <patternFill patternType="solid">
        <fgColor rgb="FFFFFF00"/>
        <bgColor rgb="FFCFE2F3"/>
      </patternFill>
    </fill>
    <fill>
      <patternFill patternType="solid">
        <fgColor rgb="FFFFFF00"/>
        <bgColor rgb="FFFFFEA4"/>
      </patternFill>
    </fill>
    <fill>
      <patternFill patternType="solid">
        <fgColor rgb="FFFFFF00"/>
        <bgColor rgb="FFFAC7F3"/>
      </patternFill>
    </fill>
    <fill>
      <patternFill patternType="solid">
        <fgColor rgb="FFFFFF00"/>
        <bgColor rgb="FFFDFDC3"/>
      </patternFill>
    </fill>
    <fill>
      <patternFill patternType="solid">
        <fgColor rgb="FFFFFF00"/>
        <bgColor rgb="FFFF53D2"/>
      </patternFill>
    </fill>
    <fill>
      <patternFill patternType="solid">
        <fgColor rgb="FFFFFF00"/>
        <bgColor rgb="FFFF98E4"/>
      </patternFill>
    </fill>
    <fill>
      <patternFill patternType="solid">
        <fgColor rgb="FFFFFF99"/>
        <bgColor indexed="64"/>
      </patternFill>
    </fill>
    <fill>
      <patternFill patternType="solid">
        <fgColor theme="3" tint="0.79998168889431442"/>
        <bgColor indexed="64"/>
      </patternFill>
    </fill>
    <fill>
      <patternFill patternType="solid">
        <fgColor theme="0"/>
        <bgColor rgb="FFC4F7A2"/>
      </patternFill>
    </fill>
    <fill>
      <patternFill patternType="solid">
        <fgColor theme="0"/>
        <bgColor rgb="FFFFFE83"/>
      </patternFill>
    </fill>
    <fill>
      <patternFill patternType="solid">
        <fgColor theme="0"/>
        <bgColor rgb="FFFFFEA4"/>
      </patternFill>
    </fill>
    <fill>
      <patternFill patternType="solid">
        <fgColor theme="0"/>
        <bgColor rgb="FFFDFDC3"/>
      </patternFill>
    </fill>
    <fill>
      <patternFill patternType="solid">
        <fgColor rgb="FFFFFF00"/>
        <bgColor rgb="FFFFFE83"/>
      </patternFill>
    </fill>
    <fill>
      <patternFill patternType="solid">
        <fgColor theme="2" tint="-9.9978637043366805E-2"/>
        <bgColor indexed="64"/>
      </patternFill>
    </fill>
    <fill>
      <patternFill patternType="solid">
        <fgColor rgb="FFFFFF00"/>
        <bgColor rgb="FFFAAAE5"/>
      </patternFill>
    </fill>
    <fill>
      <patternFill patternType="solid">
        <fgColor rgb="FFFFFF00"/>
        <bgColor rgb="FFE0FACD"/>
      </patternFill>
    </fill>
    <fill>
      <patternFill patternType="solid">
        <fgColor rgb="FFFFFF00"/>
        <bgColor rgb="FFFFCBF1"/>
      </patternFill>
    </fill>
    <fill>
      <patternFill patternType="solid">
        <fgColor rgb="FFFFFF00"/>
        <bgColor rgb="FFFFD966"/>
      </patternFill>
    </fill>
    <fill>
      <patternFill patternType="solid">
        <fgColor rgb="FFFFFF00"/>
        <bgColor rgb="FFFF8EE1"/>
      </patternFill>
    </fill>
    <fill>
      <patternFill patternType="solid">
        <fgColor theme="6" tint="0.79998168889431442"/>
        <bgColor indexed="64"/>
      </patternFill>
    </fill>
    <fill>
      <patternFill patternType="solid">
        <fgColor rgb="FF2E75B5"/>
        <bgColor rgb="FF2E75B5"/>
      </patternFill>
    </fill>
    <fill>
      <patternFill patternType="solid">
        <fgColor rgb="FFCCFFFF"/>
        <bgColor rgb="FFCCFFFF"/>
      </patternFill>
    </fill>
    <fill>
      <patternFill patternType="solid">
        <fgColor rgb="FFCCFFCC"/>
        <bgColor rgb="FFCCFFCC"/>
      </patternFill>
    </fill>
    <fill>
      <patternFill patternType="solid">
        <fgColor rgb="FFFFCC99"/>
        <bgColor rgb="FFFFCC99"/>
      </patternFill>
    </fill>
    <fill>
      <patternFill patternType="solid">
        <fgColor rgb="FFCCFFCC"/>
        <bgColor indexed="64"/>
      </patternFill>
    </fill>
    <fill>
      <patternFill patternType="solid">
        <fgColor rgb="FFFFFF99"/>
        <bgColor rgb="FFFFFF99"/>
      </patternFill>
    </fill>
    <fill>
      <patternFill patternType="solid">
        <fgColor indexed="43"/>
        <bgColor indexed="64"/>
      </patternFill>
    </fill>
    <fill>
      <patternFill patternType="solid">
        <fgColor rgb="FFFFFF00"/>
        <bgColor rgb="FFFFFF00"/>
      </patternFill>
    </fill>
    <fill>
      <patternFill patternType="solid">
        <fgColor theme="7" tint="0.59999389629810485"/>
        <bgColor rgb="FFFF99CC"/>
      </patternFill>
    </fill>
    <fill>
      <patternFill patternType="solid">
        <fgColor theme="7" tint="0.59999389629810485"/>
        <bgColor rgb="FFFFFF00"/>
      </patternFill>
    </fill>
    <fill>
      <patternFill patternType="solid">
        <fgColor rgb="FFFF99CC"/>
        <bgColor rgb="FFFF99CC"/>
      </patternFill>
    </fill>
    <fill>
      <patternFill patternType="solid">
        <fgColor rgb="FFFF00FF"/>
        <bgColor rgb="FFFF00FF"/>
      </patternFill>
    </fill>
    <fill>
      <patternFill patternType="solid">
        <fgColor indexed="11"/>
        <bgColor indexed="64"/>
      </patternFill>
    </fill>
    <fill>
      <patternFill patternType="solid">
        <fgColor rgb="FF92D050"/>
        <bgColor rgb="FFA8D08D"/>
      </patternFill>
    </fill>
    <fill>
      <patternFill patternType="solid">
        <fgColor rgb="FF92D050"/>
        <bgColor indexed="64"/>
      </patternFill>
    </fill>
    <fill>
      <patternFill patternType="solid">
        <fgColor rgb="FF99FF99"/>
        <bgColor rgb="FFA8D08D"/>
      </patternFill>
    </fill>
    <fill>
      <patternFill patternType="solid">
        <fgColor rgb="FF99FF99"/>
        <bgColor indexed="64"/>
      </patternFill>
    </fill>
    <fill>
      <patternFill patternType="solid">
        <fgColor rgb="FFCCFFCC"/>
        <bgColor rgb="FFA8D08D"/>
      </patternFill>
    </fill>
    <fill>
      <patternFill patternType="solid">
        <fgColor theme="0"/>
        <bgColor rgb="FF9FC5E8"/>
      </patternFill>
    </fill>
    <fill>
      <patternFill patternType="solid">
        <fgColor theme="0"/>
        <bgColor rgb="FFB7B7B7"/>
      </patternFill>
    </fill>
    <fill>
      <patternFill patternType="solid">
        <fgColor rgb="FFFFFFFF"/>
        <bgColor indexed="64"/>
      </patternFill>
    </fill>
    <fill>
      <patternFill patternType="solid">
        <fgColor theme="0"/>
        <bgColor rgb="FFCFE2F3"/>
      </patternFill>
    </fill>
    <fill>
      <patternFill patternType="solid">
        <fgColor rgb="FFE1FFE1"/>
        <bgColor indexed="64"/>
      </patternFill>
    </fill>
    <fill>
      <patternFill patternType="solid">
        <fgColor theme="0"/>
        <bgColor rgb="FFE7F4FF"/>
      </patternFill>
    </fill>
    <fill>
      <patternFill patternType="solid">
        <fgColor theme="0"/>
        <bgColor rgb="FFF1C232"/>
      </patternFill>
    </fill>
    <fill>
      <patternFill patternType="solid">
        <fgColor theme="0"/>
        <bgColor rgb="FFFF9900"/>
      </patternFill>
    </fill>
    <fill>
      <patternFill patternType="solid">
        <fgColor rgb="FF66FF66"/>
        <bgColor indexed="64"/>
      </patternFill>
    </fill>
    <fill>
      <patternFill patternType="solid">
        <fgColor rgb="FF00B0F0"/>
        <bgColor rgb="FFC4F7A2"/>
      </patternFill>
    </fill>
    <fill>
      <patternFill patternType="solid">
        <fgColor theme="0"/>
        <bgColor rgb="FFD5F8BD"/>
      </patternFill>
    </fill>
    <fill>
      <patternFill patternType="solid">
        <fgColor theme="0"/>
        <bgColor rgb="FFE0FACD"/>
      </patternFill>
    </fill>
    <fill>
      <patternFill patternType="solid">
        <fgColor theme="0"/>
        <bgColor rgb="FFDFFCCB"/>
      </patternFill>
    </fill>
    <fill>
      <patternFill patternType="solid">
        <fgColor theme="0"/>
        <bgColor rgb="FFECF8E3"/>
      </patternFill>
    </fill>
    <fill>
      <patternFill patternType="solid">
        <fgColor theme="0"/>
        <bgColor rgb="FFCCF1B0"/>
      </patternFill>
    </fill>
    <fill>
      <patternFill patternType="solid">
        <fgColor theme="0"/>
        <bgColor rgb="FFEDFFE0"/>
      </patternFill>
    </fill>
    <fill>
      <patternFill patternType="solid">
        <fgColor rgb="FF00B0F0"/>
        <bgColor indexed="64"/>
      </patternFill>
    </fill>
    <fill>
      <patternFill patternType="solid">
        <fgColor theme="0"/>
        <bgColor rgb="FFFF53D2"/>
      </patternFill>
    </fill>
    <fill>
      <patternFill patternType="solid">
        <fgColor theme="0"/>
        <bgColor rgb="FFFAAAE5"/>
      </patternFill>
    </fill>
    <fill>
      <patternFill patternType="solid">
        <fgColor theme="0"/>
        <bgColor rgb="FFFF98E4"/>
      </patternFill>
    </fill>
    <fill>
      <patternFill patternType="solid">
        <fgColor theme="0"/>
        <bgColor rgb="FFFFCBF1"/>
      </patternFill>
    </fill>
    <fill>
      <patternFill patternType="solid">
        <fgColor theme="0"/>
        <bgColor rgb="FFFFD966"/>
      </patternFill>
    </fill>
    <fill>
      <patternFill patternType="solid">
        <fgColor theme="0"/>
        <bgColor rgb="FFFFF2CC"/>
      </patternFill>
    </fill>
    <fill>
      <patternFill patternType="solid">
        <fgColor rgb="FFFF0000"/>
        <bgColor rgb="FFFAAAE5"/>
      </patternFill>
    </fill>
    <fill>
      <patternFill patternType="solid">
        <fgColor theme="7" tint="0.79998168889431442"/>
        <bgColor rgb="FFFFCBF1"/>
      </patternFill>
    </fill>
    <fill>
      <patternFill patternType="solid">
        <fgColor theme="0"/>
        <bgColor rgb="FFFFE599"/>
      </patternFill>
    </fill>
    <fill>
      <patternFill patternType="solid">
        <fgColor theme="0"/>
        <bgColor rgb="FFFF8EE1"/>
      </patternFill>
    </fill>
    <fill>
      <patternFill patternType="solid">
        <fgColor theme="0"/>
        <bgColor rgb="FFF191E4"/>
      </patternFill>
    </fill>
    <fill>
      <patternFill patternType="solid">
        <fgColor theme="0"/>
        <bgColor rgb="FFFAC7F3"/>
      </patternFill>
    </fill>
    <fill>
      <patternFill patternType="solid">
        <fgColor theme="7" tint="0.79998168889431442"/>
        <bgColor rgb="FFFFFEA4"/>
      </patternFill>
    </fill>
    <fill>
      <patternFill patternType="solid">
        <fgColor theme="7" tint="0.79998168889431442"/>
        <bgColor rgb="FFB7B7B7"/>
      </patternFill>
    </fill>
    <fill>
      <patternFill patternType="solid">
        <fgColor rgb="FFFFFF00"/>
        <bgColor rgb="FFB7B7B7"/>
      </patternFill>
    </fill>
    <fill>
      <patternFill patternType="solid">
        <fgColor theme="0"/>
        <bgColor rgb="FFCCCCCC"/>
      </patternFill>
    </fill>
    <fill>
      <patternFill patternType="solid">
        <fgColor theme="0"/>
        <bgColor rgb="FFEFEFEF"/>
      </patternFill>
    </fill>
    <fill>
      <patternFill patternType="solid">
        <fgColor theme="0"/>
        <bgColor rgb="FFB3CEFA"/>
      </patternFill>
    </fill>
    <fill>
      <patternFill patternType="solid">
        <fgColor theme="7" tint="0.79998168889431442"/>
        <bgColor rgb="FFCCCCCC"/>
      </patternFill>
    </fill>
    <fill>
      <patternFill patternType="solid">
        <fgColor theme="0"/>
        <bgColor rgb="FFA8D08D"/>
      </patternFill>
    </fill>
    <fill>
      <patternFill patternType="solid">
        <fgColor rgb="FF66FFFF"/>
        <bgColor indexed="64"/>
      </patternFill>
    </fill>
    <fill>
      <patternFill patternType="solid">
        <fgColor rgb="FF99FFCC"/>
        <bgColor indexed="64"/>
      </patternFill>
    </fill>
  </fills>
  <borders count="7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medium">
        <color indexed="64"/>
      </left>
      <right style="medium">
        <color indexed="64"/>
      </right>
      <top/>
      <bottom style="thin">
        <color rgb="FF000000"/>
      </bottom>
      <diagonal/>
    </border>
    <border>
      <left/>
      <right style="medium">
        <color indexed="64"/>
      </right>
      <top/>
      <bottom style="thin">
        <color rgb="FF000000"/>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thin">
        <color rgb="FF000000"/>
      </bottom>
      <diagonal/>
    </border>
    <border>
      <left/>
      <right/>
      <top style="thin">
        <color rgb="FF000000"/>
      </top>
      <bottom style="thin">
        <color rgb="FF000000"/>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rgb="FF000000"/>
      </left>
      <right/>
      <top/>
      <bottom/>
      <diagonal/>
    </border>
    <border>
      <left style="medium">
        <color rgb="FF000000"/>
      </left>
      <right/>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8"/>
      </right>
      <top style="medium">
        <color indexed="64"/>
      </top>
      <bottom/>
      <diagonal/>
    </border>
  </borders>
  <cellStyleXfs count="12">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2" fillId="0" borderId="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cellStyleXfs>
  <cellXfs count="1764">
    <xf numFmtId="0" fontId="0" fillId="0" borderId="0" xfId="0"/>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Alignment="1">
      <alignment vertical="top"/>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Border="1" applyAlignment="1" applyProtection="1">
      <alignment vertical="top"/>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4" borderId="8" xfId="0" applyFont="1" applyFill="1" applyBorder="1" applyAlignment="1">
      <alignment vertical="top"/>
    </xf>
    <xf numFmtId="0" fontId="4" fillId="0" borderId="7" xfId="0" applyFont="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0" fillId="3" borderId="16" xfId="0" applyFill="1" applyBorder="1" applyAlignment="1">
      <alignment vertical="top"/>
    </xf>
    <xf numFmtId="0" fontId="20" fillId="0" borderId="0" xfId="0" applyFont="1" applyAlignment="1">
      <alignment vertical="top"/>
    </xf>
    <xf numFmtId="0" fontId="4" fillId="0" borderId="0" xfId="0" applyFont="1" applyAlignment="1">
      <alignment horizontal="center" vertical="top"/>
    </xf>
    <xf numFmtId="0" fontId="6" fillId="0" borderId="0" xfId="0" applyFont="1" applyAlignment="1">
      <alignment horizontal="center" vertical="top" wrapText="1"/>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12" fillId="0" borderId="0" xfId="0" applyFont="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14" fillId="0" borderId="8" xfId="0" applyFont="1" applyBorder="1" applyAlignment="1">
      <alignment horizontal="center" vertical="top"/>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4" fillId="4" borderId="13" xfId="0" applyFont="1" applyFill="1" applyBorder="1" applyAlignment="1">
      <alignment horizontal="left" vertical="center" wrapText="1"/>
    </xf>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xf>
    <xf numFmtId="0" fontId="3" fillId="0" borderId="1" xfId="0" applyFont="1" applyBorder="1" applyAlignment="1">
      <alignment vertical="top" wrapText="1"/>
    </xf>
    <xf numFmtId="0" fontId="4" fillId="0" borderId="0" xfId="0" applyFont="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3" fontId="4" fillId="4" borderId="8" xfId="0" applyNumberFormat="1" applyFont="1" applyFill="1" applyBorder="1" applyAlignment="1">
      <alignment vertical="top"/>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Alignment="1">
      <alignment horizontal="left" vertical="top" wrapText="1"/>
    </xf>
    <xf numFmtId="0" fontId="22" fillId="0" borderId="0" xfId="0" applyFont="1"/>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9" fontId="25" fillId="6" borderId="8" xfId="0" applyNumberFormat="1" applyFont="1" applyFill="1" applyBorder="1" applyAlignment="1">
      <alignment horizontal="center" vertical="top"/>
    </xf>
    <xf numFmtId="9" fontId="4" fillId="4" borderId="14" xfId="0" applyNumberFormat="1" applyFont="1" applyFill="1" applyBorder="1" applyAlignment="1">
      <alignment horizontal="right" vertical="top"/>
    </xf>
    <xf numFmtId="9" fontId="26" fillId="4" borderId="8" xfId="0" applyNumberFormat="1" applyFont="1" applyFill="1" applyBorder="1" applyAlignment="1">
      <alignmen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9" fontId="25" fillId="6" borderId="8" xfId="3"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5"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4" fillId="0" borderId="6" xfId="0" applyFont="1" applyBorder="1" applyAlignment="1" applyProtection="1">
      <alignment horizontal="center" vertical="top" wrapText="1"/>
      <protection locked="0"/>
    </xf>
    <xf numFmtId="0" fontId="0" fillId="7" borderId="20" xfId="0" applyFill="1" applyBorder="1" applyAlignment="1">
      <alignment vertical="top"/>
    </xf>
    <xf numFmtId="0" fontId="4" fillId="6" borderId="8" xfId="0" applyFont="1" applyFill="1" applyBorder="1" applyAlignment="1" applyProtection="1">
      <alignment horizontal="left" vertical="top"/>
      <protection locked="0"/>
    </xf>
    <xf numFmtId="0" fontId="2" fillId="0" borderId="0" xfId="0" applyFont="1" applyAlignment="1">
      <alignment vertical="top"/>
    </xf>
    <xf numFmtId="0" fontId="2" fillId="0" borderId="0" xfId="0" applyFont="1" applyAlignment="1">
      <alignment horizontal="center" vertical="top"/>
    </xf>
    <xf numFmtId="0" fontId="1" fillId="6" borderId="20" xfId="1" applyFill="1" applyBorder="1" applyAlignment="1" applyProtection="1">
      <alignment vertical="top"/>
    </xf>
    <xf numFmtId="0" fontId="4" fillId="0" borderId="1" xfId="0" applyFont="1" applyBorder="1" applyAlignment="1">
      <alignment vertical="top" wrapText="1"/>
    </xf>
    <xf numFmtId="0" fontId="4" fillId="3" borderId="8" xfId="0" applyFont="1" applyFill="1" applyBorder="1" applyAlignment="1">
      <alignment vertical="top"/>
    </xf>
    <xf numFmtId="0" fontId="4" fillId="0" borderId="14" xfId="0" applyFont="1" applyBorder="1" applyAlignment="1">
      <alignment horizontal="center" vertical="top" wrapText="1"/>
    </xf>
    <xf numFmtId="0" fontId="4" fillId="0" borderId="9" xfId="0" applyFont="1" applyBorder="1" applyAlignment="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9" fontId="4" fillId="9" borderId="12" xfId="3" applyFont="1" applyFill="1" applyBorder="1" applyAlignment="1" applyProtection="1">
      <alignment horizontal="center" vertical="top"/>
    </xf>
    <xf numFmtId="0" fontId="12" fillId="0" borderId="14" xfId="0" applyFont="1" applyBorder="1" applyAlignment="1">
      <alignment horizontal="center" vertical="top"/>
    </xf>
    <xf numFmtId="0" fontId="4" fillId="5" borderId="8" xfId="0" applyFont="1" applyFill="1" applyBorder="1" applyAlignment="1" applyProtection="1">
      <alignment vertical="top"/>
      <protection locked="0"/>
    </xf>
    <xf numFmtId="0" fontId="0" fillId="0" borderId="7" xfId="0" applyBorder="1" applyAlignment="1">
      <alignment vertical="top"/>
    </xf>
    <xf numFmtId="0" fontId="5" fillId="0" borderId="14" xfId="0" applyFont="1" applyBorder="1" applyAlignment="1">
      <alignment vertical="top" wrapText="1"/>
    </xf>
    <xf numFmtId="0" fontId="0" fillId="0" borderId="4" xfId="0" applyBorder="1" applyAlignment="1">
      <alignment vertical="top"/>
    </xf>
    <xf numFmtId="0" fontId="4" fillId="0" borderId="14" xfId="0" applyFont="1" applyBorder="1" applyAlignment="1">
      <alignment vertical="top" wrapText="1"/>
    </xf>
    <xf numFmtId="0" fontId="7" fillId="0" borderId="11" xfId="0" applyFont="1" applyBorder="1" applyAlignment="1">
      <alignment vertical="top" wrapText="1"/>
    </xf>
    <xf numFmtId="0" fontId="5" fillId="0" borderId="14" xfId="0" applyFont="1" applyBorder="1" applyAlignment="1">
      <alignment vertical="top"/>
    </xf>
    <xf numFmtId="0" fontId="4" fillId="0" borderId="10" xfId="0" applyFont="1" applyBorder="1" applyAlignment="1">
      <alignment vertical="top" wrapText="1"/>
    </xf>
    <xf numFmtId="0" fontId="4" fillId="0" borderId="11" xfId="0" applyFont="1" applyBorder="1" applyAlignment="1">
      <alignment horizontal="center" vertical="top" wrapText="1"/>
    </xf>
    <xf numFmtId="0" fontId="4" fillId="0" borderId="15" xfId="0" applyFont="1" applyBorder="1" applyAlignment="1">
      <alignment vertical="top" wrapText="1"/>
    </xf>
    <xf numFmtId="0" fontId="14" fillId="0" borderId="0" xfId="0" applyFont="1" applyAlignment="1">
      <alignment vertical="top" wrapText="1"/>
    </xf>
    <xf numFmtId="0" fontId="14" fillId="0" borderId="0" xfId="0" applyFont="1" applyAlignment="1">
      <alignment horizontal="center" vertical="top" wrapText="1"/>
    </xf>
    <xf numFmtId="0" fontId="4" fillId="3" borderId="7" xfId="0" applyFont="1" applyFill="1" applyBorder="1" applyAlignment="1" applyProtection="1">
      <alignment vertical="top"/>
      <protection locked="0"/>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lignment vertical="top"/>
    </xf>
    <xf numFmtId="0" fontId="4" fillId="0" borderId="8" xfId="0" applyFont="1" applyBorder="1" applyAlignment="1">
      <alignment horizontal="left" vertical="top" wrapText="1"/>
    </xf>
    <xf numFmtId="0" fontId="17" fillId="0" borderId="8" xfId="2" applyBorder="1" applyAlignment="1" applyProtection="1">
      <alignment vertical="top" wrapText="1"/>
    </xf>
    <xf numFmtId="0" fontId="3" fillId="0" borderId="7" xfId="0" applyFont="1" applyBorder="1" applyAlignment="1">
      <alignment horizontal="center" vertical="top" wrapText="1"/>
    </xf>
    <xf numFmtId="0" fontId="4" fillId="6" borderId="8" xfId="0" applyFont="1" applyFill="1" applyBorder="1" applyAlignment="1">
      <alignment vertical="top"/>
    </xf>
    <xf numFmtId="9" fontId="4" fillId="6" borderId="8" xfId="0" applyNumberFormat="1" applyFont="1" applyFill="1" applyBorder="1" applyAlignment="1">
      <alignment horizontal="center" vertical="top"/>
    </xf>
    <xf numFmtId="0" fontId="3" fillId="0" borderId="12" xfId="0" applyFont="1" applyBorder="1" applyAlignment="1">
      <alignment horizontal="center" vertical="top" wrapText="1"/>
    </xf>
    <xf numFmtId="0" fontId="12" fillId="0" borderId="4" xfId="0" applyFont="1" applyBorder="1" applyAlignment="1">
      <alignment vertical="top"/>
    </xf>
    <xf numFmtId="0" fontId="12" fillId="0" borderId="12" xfId="0" applyFont="1" applyBorder="1" applyAlignment="1">
      <alignment vertical="top"/>
    </xf>
    <xf numFmtId="9" fontId="4" fillId="5" borderId="8" xfId="0" applyNumberFormat="1" applyFont="1" applyFill="1" applyBorder="1" applyAlignment="1">
      <alignment vertical="top" wrapText="1"/>
    </xf>
    <xf numFmtId="9" fontId="0" fillId="0" borderId="0" xfId="0" applyNumberFormat="1" applyAlignment="1">
      <alignment vertical="top"/>
    </xf>
    <xf numFmtId="0" fontId="8" fillId="0" borderId="5" xfId="0" applyFont="1" applyBorder="1" applyAlignment="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0" fontId="3" fillId="0" borderId="9" xfId="0" applyFont="1" applyBorder="1" applyAlignment="1">
      <alignment vertical="top"/>
    </xf>
    <xf numFmtId="3" fontId="4" fillId="9" borderId="13" xfId="0" applyNumberFormat="1" applyFont="1" applyFill="1" applyBorder="1" applyAlignment="1">
      <alignment horizontal="right" vertical="top"/>
    </xf>
    <xf numFmtId="3" fontId="4" fillId="9" borderId="13" xfId="0" applyNumberFormat="1" applyFont="1" applyFill="1" applyBorder="1" applyAlignment="1">
      <alignment horizontal="center" vertical="top"/>
    </xf>
    <xf numFmtId="0" fontId="4" fillId="9" borderId="8" xfId="0" applyFont="1" applyFill="1" applyBorder="1" applyAlignment="1">
      <alignment vertical="top"/>
    </xf>
    <xf numFmtId="0" fontId="4" fillId="0" borderId="31" xfId="0" applyFont="1" applyBorder="1" applyAlignment="1">
      <alignment vertical="top"/>
    </xf>
    <xf numFmtId="0" fontId="4" fillId="0" borderId="32" xfId="0" applyFont="1" applyBorder="1" applyAlignment="1">
      <alignment vertical="top"/>
    </xf>
    <xf numFmtId="0" fontId="4" fillId="0" borderId="33" xfId="0" applyFont="1" applyBorder="1" applyAlignment="1">
      <alignment vertical="top"/>
    </xf>
    <xf numFmtId="0" fontId="4" fillId="0" borderId="34" xfId="0" applyFont="1" applyBorder="1" applyAlignment="1">
      <alignment vertical="top"/>
    </xf>
    <xf numFmtId="3" fontId="4" fillId="6" borderId="16" xfId="0" applyNumberFormat="1" applyFont="1" applyFill="1" applyBorder="1" applyAlignment="1">
      <alignment horizontal="center" vertical="top"/>
    </xf>
    <xf numFmtId="3" fontId="4" fillId="6" borderId="35" xfId="0" applyNumberFormat="1" applyFont="1" applyFill="1" applyBorder="1" applyAlignment="1">
      <alignment horizontal="center" vertical="top"/>
    </xf>
    <xf numFmtId="0" fontId="4" fillId="0" borderId="34" xfId="0" applyFont="1" applyBorder="1" applyAlignment="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lignment vertical="top"/>
    </xf>
    <xf numFmtId="0" fontId="0" fillId="0" borderId="3" xfId="0" applyBorder="1"/>
    <xf numFmtId="0" fontId="0" fillId="0" borderId="4" xfId="0" applyBorder="1"/>
    <xf numFmtId="3" fontId="4" fillId="0" borderId="8" xfId="0" applyNumberFormat="1" applyFont="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8" fillId="0" borderId="16" xfId="0" applyFont="1" applyBorder="1" applyAlignment="1">
      <alignment vertical="top"/>
    </xf>
    <xf numFmtId="9" fontId="4" fillId="0" borderId="16" xfId="0" applyNumberFormat="1" applyFont="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0" fontId="8" fillId="0" borderId="0" xfId="0" applyFont="1" applyAlignment="1">
      <alignment vertical="top" wrapText="1"/>
    </xf>
    <xf numFmtId="0" fontId="8" fillId="0" borderId="12" xfId="0" applyFont="1" applyBorder="1" applyAlignment="1">
      <alignment vertical="top" wrapText="1"/>
    </xf>
    <xf numFmtId="9" fontId="0" fillId="6" borderId="12" xfId="3" applyFont="1" applyFill="1" applyBorder="1" applyAlignment="1">
      <alignment horizontal="center" vertical="top"/>
    </xf>
    <xf numFmtId="0" fontId="3" fillId="0" borderId="3" xfId="0" applyFont="1" applyBorder="1" applyAlignment="1">
      <alignment vertical="top" wrapText="1"/>
    </xf>
    <xf numFmtId="0" fontId="28" fillId="0" borderId="16" xfId="0" applyFont="1" applyBorder="1" applyAlignment="1">
      <alignment vertical="top" wrapText="1"/>
    </xf>
    <xf numFmtId="9" fontId="4" fillId="4" borderId="12" xfId="0" applyNumberFormat="1" applyFont="1" applyFill="1" applyBorder="1" applyAlignment="1">
      <alignment horizontal="right" vertical="top"/>
    </xf>
    <xf numFmtId="0" fontId="0" fillId="0" borderId="6" xfId="0" applyBorder="1" applyAlignment="1">
      <alignment horizontal="center" vertical="top"/>
    </xf>
    <xf numFmtId="3" fontId="4" fillId="4" borderId="8" xfId="0" applyNumberFormat="1" applyFont="1" applyFill="1" applyBorder="1" applyAlignment="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2" xfId="0" applyFont="1" applyBorder="1" applyAlignment="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9" fontId="4" fillId="4" borderId="14" xfId="3" applyFont="1" applyFill="1" applyBorder="1" applyAlignment="1">
      <alignment horizontal="center" vertical="center"/>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lignment vertical="top" wrapText="1"/>
    </xf>
    <xf numFmtId="0" fontId="4" fillId="3" borderId="8" xfId="0" applyFont="1" applyFill="1" applyBorder="1" applyAlignment="1" applyProtection="1">
      <alignment horizontal="left" vertical="top" wrapText="1"/>
      <protection locked="0"/>
    </xf>
    <xf numFmtId="0" fontId="3" fillId="3" borderId="8" xfId="0" applyFont="1" applyFill="1" applyBorder="1" applyAlignment="1" applyProtection="1">
      <alignment vertical="top" wrapText="1"/>
      <protection locked="0"/>
    </xf>
    <xf numFmtId="9" fontId="3" fillId="3" borderId="8" xfId="0" applyNumberFormat="1" applyFont="1" applyFill="1" applyBorder="1" applyAlignment="1" applyProtection="1">
      <alignment horizontal="center" vertical="top"/>
      <protection locked="0"/>
    </xf>
    <xf numFmtId="0" fontId="29" fillId="0" borderId="1" xfId="0" applyFont="1" applyBorder="1" applyAlignment="1">
      <alignment vertical="top" wrapText="1"/>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0" fontId="4" fillId="3" borderId="6" xfId="0" applyFont="1" applyFill="1" applyBorder="1" applyAlignment="1" applyProtection="1">
      <alignment vertical="top"/>
      <protection locked="0"/>
    </xf>
    <xf numFmtId="0" fontId="4" fillId="3" borderId="6" xfId="0" applyFont="1" applyFill="1" applyBorder="1" applyAlignment="1" applyProtection="1">
      <alignment horizontal="left" vertical="center"/>
      <protection locked="0"/>
    </xf>
    <xf numFmtId="9" fontId="4" fillId="4" borderId="13" xfId="3" applyFont="1" applyFill="1" applyBorder="1" applyAlignment="1">
      <alignment horizontal="center" vertical="top" wrapText="1"/>
    </xf>
    <xf numFmtId="0" fontId="4" fillId="3" borderId="32" xfId="0" applyFont="1" applyFill="1" applyBorder="1" applyAlignment="1" applyProtection="1">
      <alignment vertical="top"/>
      <protection locked="0"/>
    </xf>
    <xf numFmtId="0" fontId="4" fillId="3" borderId="33" xfId="0" applyFont="1" applyFill="1" applyBorder="1" applyAlignment="1" applyProtection="1">
      <alignment vertical="top"/>
      <protection locked="0"/>
    </xf>
    <xf numFmtId="0" fontId="0" fillId="3" borderId="35"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9" fontId="4" fillId="3" borderId="12" xfId="3" applyFont="1" applyFill="1" applyBorder="1" applyAlignment="1" applyProtection="1">
      <alignment horizontal="center" vertical="top"/>
      <protection locked="0"/>
    </xf>
    <xf numFmtId="0" fontId="17" fillId="0" borderId="0" xfId="2" applyFill="1"/>
    <xf numFmtId="0" fontId="0" fillId="0" borderId="16" xfId="0" applyBorder="1" applyAlignment="1">
      <alignment horizontal="center"/>
    </xf>
    <xf numFmtId="0" fontId="17" fillId="0" borderId="0" xfId="2" applyFill="1" applyBorder="1"/>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lignment horizontal="center" vertical="center"/>
    </xf>
    <xf numFmtId="0" fontId="0" fillId="0" borderId="16" xfId="0" applyBorder="1" applyAlignment="1">
      <alignment vertical="center"/>
    </xf>
    <xf numFmtId="0" fontId="0" fillId="0" borderId="16" xfId="0" applyBorder="1" applyAlignment="1">
      <alignment horizontal="center" vertical="center"/>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0" fontId="4" fillId="0" borderId="6" xfId="0" applyFont="1" applyBorder="1" applyAlignment="1">
      <alignment horizontal="center" vertical="top"/>
    </xf>
    <xf numFmtId="0" fontId="4" fillId="3" borderId="7" xfId="0" applyFont="1" applyFill="1" applyBorder="1" applyAlignment="1">
      <alignment horizontal="center" vertical="top"/>
    </xf>
    <xf numFmtId="0" fontId="4" fillId="0" borderId="0" xfId="0" applyFont="1" applyAlignment="1">
      <alignment horizontal="right" vertical="top" wrapText="1"/>
    </xf>
    <xf numFmtId="0" fontId="30" fillId="0" borderId="0" xfId="0" applyFont="1" applyAlignment="1">
      <alignment vertical="center" wrapText="1"/>
    </xf>
    <xf numFmtId="0" fontId="30" fillId="0" borderId="0" xfId="0" applyFont="1" applyAlignment="1">
      <alignment vertical="center"/>
    </xf>
    <xf numFmtId="0" fontId="0" fillId="0" borderId="0" xfId="0" applyAlignment="1">
      <alignment vertical="center"/>
    </xf>
    <xf numFmtId="0" fontId="22" fillId="0" borderId="31" xfId="0" applyFont="1"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1" fillId="12" borderId="15" xfId="5" applyFont="1" applyFill="1" applyBorder="1" applyAlignment="1">
      <alignment vertical="center" wrapText="1"/>
    </xf>
    <xf numFmtId="0" fontId="31" fillId="12" borderId="15" xfId="0" applyFont="1" applyFill="1" applyBorder="1" applyAlignment="1">
      <alignment vertical="center" wrapText="1"/>
    </xf>
    <xf numFmtId="0" fontId="31" fillId="12" borderId="7" xfId="0" applyFont="1" applyFill="1" applyBorder="1" applyAlignment="1">
      <alignment vertical="center" wrapText="1"/>
    </xf>
    <xf numFmtId="0" fontId="30" fillId="11" borderId="14" xfId="0" applyFont="1" applyFill="1" applyBorder="1" applyAlignment="1">
      <alignment vertical="center" wrapText="1"/>
    </xf>
    <xf numFmtId="0" fontId="30" fillId="11" borderId="15" xfId="0" applyFont="1" applyFill="1" applyBorder="1" applyAlignment="1">
      <alignment vertical="center" wrapText="1"/>
    </xf>
    <xf numFmtId="0" fontId="30" fillId="11" borderId="7" xfId="0" applyFont="1" applyFill="1" applyBorder="1" applyAlignment="1">
      <alignment vertical="center" wrapText="1"/>
    </xf>
    <xf numFmtId="0" fontId="4" fillId="3" borderId="30" xfId="0" applyFont="1" applyFill="1" applyBorder="1" applyAlignment="1">
      <alignment vertical="top" wrapText="1"/>
    </xf>
    <xf numFmtId="49" fontId="37" fillId="0" borderId="46" xfId="5" applyNumberFormat="1" applyFont="1" applyBorder="1" applyAlignment="1">
      <alignment vertical="center" wrapText="1"/>
    </xf>
    <xf numFmtId="49" fontId="37" fillId="0" borderId="46" xfId="5" quotePrefix="1" applyNumberFormat="1" applyFont="1" applyBorder="1" applyAlignment="1">
      <alignment vertical="center" wrapText="1"/>
    </xf>
    <xf numFmtId="0" fontId="37" fillId="0" borderId="46" xfId="5" applyFont="1" applyBorder="1" applyAlignment="1">
      <alignment vertical="center" wrapText="1"/>
    </xf>
    <xf numFmtId="49" fontId="37" fillId="0" borderId="45" xfId="5" applyNumberFormat="1" applyFont="1" applyBorder="1" applyAlignment="1">
      <alignment horizontal="center" vertical="center" wrapText="1"/>
    </xf>
    <xf numFmtId="49" fontId="38" fillId="0" borderId="45" xfId="5" applyNumberFormat="1" applyFont="1" applyBorder="1" applyAlignment="1">
      <alignment horizontal="center" vertical="center" wrapText="1"/>
    </xf>
    <xf numFmtId="49" fontId="37" fillId="9" borderId="45" xfId="5" applyNumberFormat="1" applyFont="1" applyFill="1" applyBorder="1" applyAlignment="1">
      <alignment horizontal="center" vertical="center" wrapText="1"/>
    </xf>
    <xf numFmtId="0" fontId="22" fillId="0" borderId="0" xfId="0" applyFont="1" applyAlignment="1">
      <alignment horizontal="center" wrapText="1"/>
    </xf>
    <xf numFmtId="49" fontId="37" fillId="14" borderId="45" xfId="5" applyNumberFormat="1" applyFont="1" applyFill="1" applyBorder="1" applyAlignment="1">
      <alignment horizontal="center" vertical="center"/>
    </xf>
    <xf numFmtId="49" fontId="39" fillId="14" borderId="45" xfId="5" applyNumberFormat="1" applyFont="1" applyFill="1" applyBorder="1" applyAlignment="1">
      <alignment horizontal="center" vertical="center"/>
    </xf>
    <xf numFmtId="0" fontId="39" fillId="14" borderId="45" xfId="5" applyFont="1" applyFill="1" applyBorder="1" applyAlignment="1">
      <alignment horizontal="left" vertical="center"/>
    </xf>
    <xf numFmtId="0" fontId="37" fillId="14" borderId="45" xfId="5" applyFont="1" applyFill="1" applyBorder="1" applyAlignment="1">
      <alignment horizontal="left" vertical="center"/>
    </xf>
    <xf numFmtId="166" fontId="37" fillId="14" borderId="45" xfId="4" applyNumberFormat="1" applyFont="1" applyFill="1" applyBorder="1" applyAlignment="1">
      <alignment horizontal="right" vertical="center"/>
    </xf>
    <xf numFmtId="10" fontId="37" fillId="14" borderId="45" xfId="3" applyNumberFormat="1" applyFont="1" applyFill="1" applyBorder="1" applyAlignment="1">
      <alignment horizontal="right" vertical="center"/>
    </xf>
    <xf numFmtId="49" fontId="37" fillId="0" borderId="0" xfId="5" applyNumberFormat="1" applyFont="1" applyAlignment="1">
      <alignment horizontal="center" vertical="center"/>
    </xf>
    <xf numFmtId="0" fontId="37" fillId="15" borderId="45" xfId="5" applyFont="1" applyFill="1" applyBorder="1" applyAlignment="1">
      <alignment horizontal="center" vertical="center"/>
    </xf>
    <xf numFmtId="49" fontId="37" fillId="15" borderId="45" xfId="5" applyNumberFormat="1" applyFont="1" applyFill="1" applyBorder="1" applyAlignment="1">
      <alignment horizontal="center" vertical="center"/>
    </xf>
    <xf numFmtId="49" fontId="39" fillId="15" borderId="45" xfId="5" applyNumberFormat="1" applyFont="1" applyFill="1" applyBorder="1" applyAlignment="1">
      <alignment horizontal="center" vertical="center"/>
    </xf>
    <xf numFmtId="0" fontId="37" fillId="15" borderId="45" xfId="5" applyFont="1" applyFill="1" applyBorder="1" applyAlignment="1">
      <alignment horizontal="left" vertical="center"/>
    </xf>
    <xf numFmtId="166" fontId="37" fillId="15" borderId="45" xfId="4" applyNumberFormat="1" applyFont="1" applyFill="1" applyBorder="1" applyAlignment="1">
      <alignment horizontal="right" vertical="center"/>
    </xf>
    <xf numFmtId="10" fontId="37" fillId="15" borderId="45" xfId="3" applyNumberFormat="1" applyFont="1" applyFill="1" applyBorder="1" applyAlignment="1">
      <alignment horizontal="right" vertical="center"/>
    </xf>
    <xf numFmtId="0" fontId="37" fillId="16" borderId="45" xfId="5" applyFont="1" applyFill="1" applyBorder="1" applyAlignment="1">
      <alignment horizontal="center" vertical="center"/>
    </xf>
    <xf numFmtId="49" fontId="37" fillId="16" borderId="45" xfId="5" applyNumberFormat="1" applyFont="1" applyFill="1" applyBorder="1" applyAlignment="1">
      <alignment horizontal="center" vertical="center"/>
    </xf>
    <xf numFmtId="49" fontId="39" fillId="16" borderId="45" xfId="5" applyNumberFormat="1" applyFont="1" applyFill="1" applyBorder="1" applyAlignment="1">
      <alignment horizontal="center" vertical="center"/>
    </xf>
    <xf numFmtId="0" fontId="37" fillId="16" borderId="45" xfId="5" applyFont="1" applyFill="1" applyBorder="1" applyAlignment="1">
      <alignment horizontal="left" vertical="center"/>
    </xf>
    <xf numFmtId="166" fontId="37" fillId="16" borderId="45" xfId="4" applyNumberFormat="1" applyFont="1" applyFill="1" applyBorder="1" applyAlignment="1">
      <alignment horizontal="right" vertical="center"/>
    </xf>
    <xf numFmtId="10" fontId="37" fillId="16" borderId="45" xfId="3" applyNumberFormat="1" applyFont="1" applyFill="1" applyBorder="1" applyAlignment="1">
      <alignment horizontal="right" vertical="center"/>
    </xf>
    <xf numFmtId="0" fontId="37" fillId="17" borderId="45" xfId="5" applyFont="1" applyFill="1" applyBorder="1" applyAlignment="1">
      <alignment horizontal="center" vertical="center"/>
    </xf>
    <xf numFmtId="49" fontId="37" fillId="17" borderId="45" xfId="5" applyNumberFormat="1" applyFont="1" applyFill="1" applyBorder="1" applyAlignment="1">
      <alignment horizontal="center" vertical="center"/>
    </xf>
    <xf numFmtId="49" fontId="39" fillId="17" borderId="45" xfId="5" applyNumberFormat="1" applyFont="1" applyFill="1" applyBorder="1" applyAlignment="1">
      <alignment horizontal="center" vertical="center"/>
    </xf>
    <xf numFmtId="0" fontId="37" fillId="17" borderId="45" xfId="5" applyFont="1" applyFill="1" applyBorder="1" applyAlignment="1">
      <alignment horizontal="left" vertical="center"/>
    </xf>
    <xf numFmtId="166" fontId="37" fillId="17" borderId="45" xfId="4" applyNumberFormat="1" applyFont="1" applyFill="1" applyBorder="1" applyAlignment="1">
      <alignment horizontal="right" vertical="center"/>
    </xf>
    <xf numFmtId="10" fontId="37" fillId="17" borderId="45" xfId="3" applyNumberFormat="1" applyFont="1" applyFill="1" applyBorder="1" applyAlignment="1">
      <alignment horizontal="right" vertical="center"/>
    </xf>
    <xf numFmtId="49" fontId="37" fillId="0" borderId="45" xfId="5" applyNumberFormat="1" applyFont="1" applyBorder="1" applyAlignment="1">
      <alignment horizontal="center" vertical="center"/>
    </xf>
    <xf numFmtId="49" fontId="39" fillId="0" borderId="45" xfId="5" applyNumberFormat="1" applyFont="1" applyBorder="1" applyAlignment="1">
      <alignment horizontal="center" vertical="center"/>
    </xf>
    <xf numFmtId="0" fontId="37" fillId="0" borderId="45" xfId="5" applyFont="1" applyBorder="1" applyAlignment="1">
      <alignment horizontal="left" vertical="center"/>
    </xf>
    <xf numFmtId="166" fontId="37" fillId="0" borderId="45" xfId="4" applyNumberFormat="1" applyFont="1" applyBorder="1" applyAlignment="1">
      <alignment horizontal="right" vertical="center"/>
    </xf>
    <xf numFmtId="10" fontId="37" fillId="0" borderId="45" xfId="3" applyNumberFormat="1" applyFont="1" applyBorder="1" applyAlignment="1">
      <alignment horizontal="right" vertical="center"/>
    </xf>
    <xf numFmtId="0" fontId="37" fillId="0" borderId="45" xfId="5" applyFont="1" applyBorder="1" applyAlignment="1">
      <alignment horizontal="center" vertical="center"/>
    </xf>
    <xf numFmtId="0" fontId="39" fillId="0" borderId="45" xfId="5" applyFont="1" applyBorder="1" applyAlignment="1">
      <alignment horizontal="left" vertical="center"/>
    </xf>
    <xf numFmtId="166" fontId="39" fillId="0" borderId="45" xfId="4" applyNumberFormat="1" applyFont="1" applyBorder="1" applyAlignment="1">
      <alignment horizontal="right" vertical="center"/>
    </xf>
    <xf numFmtId="10" fontId="39" fillId="0" borderId="45" xfId="3" applyNumberFormat="1" applyFont="1" applyBorder="1" applyAlignment="1">
      <alignment horizontal="right" vertical="center"/>
    </xf>
    <xf numFmtId="0" fontId="39" fillId="0" borderId="45" xfId="5" applyFont="1" applyBorder="1" applyAlignment="1">
      <alignment horizontal="center" vertical="center"/>
    </xf>
    <xf numFmtId="166" fontId="37" fillId="0" borderId="45" xfId="4" applyNumberFormat="1" applyFont="1" applyFill="1" applyBorder="1" applyAlignment="1">
      <alignment horizontal="right" vertical="center"/>
    </xf>
    <xf numFmtId="10" fontId="37" fillId="0" borderId="45" xfId="3" applyNumberFormat="1" applyFont="1" applyFill="1" applyBorder="1" applyAlignment="1">
      <alignment horizontal="right" vertical="center"/>
    </xf>
    <xf numFmtId="166" fontId="39" fillId="0" borderId="45" xfId="4" applyNumberFormat="1" applyFont="1" applyFill="1" applyBorder="1" applyAlignment="1">
      <alignment horizontal="right" vertical="center"/>
    </xf>
    <xf numFmtId="10" fontId="39" fillId="0" borderId="45" xfId="3" applyNumberFormat="1" applyFont="1" applyFill="1" applyBorder="1" applyAlignment="1">
      <alignment horizontal="right" vertical="center"/>
    </xf>
    <xf numFmtId="49" fontId="39" fillId="0" borderId="0" xfId="5" applyNumberFormat="1" applyFont="1" applyAlignment="1">
      <alignment horizontal="center" vertical="center"/>
    </xf>
    <xf numFmtId="43" fontId="37" fillId="17" borderId="45" xfId="4" applyFont="1" applyFill="1" applyBorder="1" applyAlignment="1">
      <alignment horizontal="right" vertical="center"/>
    </xf>
    <xf numFmtId="43" fontId="37" fillId="0" borderId="45" xfId="4" applyFont="1" applyFill="1" applyBorder="1" applyAlignment="1">
      <alignment horizontal="right" vertical="center"/>
    </xf>
    <xf numFmtId="43" fontId="39" fillId="0" borderId="45" xfId="4" applyFont="1" applyFill="1" applyBorder="1" applyAlignment="1">
      <alignment horizontal="right" vertical="center"/>
    </xf>
    <xf numFmtId="43" fontId="37" fillId="0" borderId="45" xfId="4" applyFont="1" applyBorder="1" applyAlignment="1">
      <alignment horizontal="right" vertical="center"/>
    </xf>
    <xf numFmtId="43" fontId="39" fillId="0" borderId="45" xfId="4" applyFont="1" applyBorder="1" applyAlignment="1">
      <alignment horizontal="right" vertical="center"/>
    </xf>
    <xf numFmtId="43" fontId="37" fillId="16" borderId="45" xfId="4" applyFont="1" applyFill="1" applyBorder="1" applyAlignment="1">
      <alignment horizontal="right" vertical="center"/>
    </xf>
    <xf numFmtId="43" fontId="37" fillId="0" borderId="45" xfId="4" applyFont="1" applyBorder="1" applyAlignment="1">
      <alignment horizontal="left" vertical="center"/>
    </xf>
    <xf numFmtId="10" fontId="37" fillId="0" borderId="45" xfId="3" applyNumberFormat="1" applyFont="1" applyBorder="1" applyAlignment="1">
      <alignment horizontal="left" vertical="center"/>
    </xf>
    <xf numFmtId="43" fontId="39" fillId="0" borderId="45" xfId="4" applyFont="1" applyBorder="1" applyAlignment="1">
      <alignment horizontal="left" vertical="center"/>
    </xf>
    <xf numFmtId="10" fontId="39" fillId="0" borderId="45" xfId="3" applyNumberFormat="1" applyFont="1" applyBorder="1" applyAlignment="1">
      <alignment horizontal="left" vertical="center"/>
    </xf>
    <xf numFmtId="43" fontId="37" fillId="17" borderId="45" xfId="4" applyFont="1" applyFill="1" applyBorder="1" applyAlignment="1">
      <alignment horizontal="left" vertical="center"/>
    </xf>
    <xf numFmtId="10" fontId="37" fillId="17" borderId="45" xfId="3" applyNumberFormat="1" applyFont="1" applyFill="1" applyBorder="1" applyAlignment="1">
      <alignment horizontal="left" vertical="center"/>
    </xf>
    <xf numFmtId="49" fontId="37" fillId="16" borderId="45" xfId="5" applyNumberFormat="1" applyFont="1" applyFill="1" applyBorder="1" applyAlignment="1">
      <alignment horizontal="left" vertical="center"/>
    </xf>
    <xf numFmtId="43" fontId="37" fillId="16" borderId="45" xfId="4" applyFont="1" applyFill="1" applyBorder="1" applyAlignment="1">
      <alignment horizontal="center" vertical="center"/>
    </xf>
    <xf numFmtId="10" fontId="37" fillId="16" borderId="45" xfId="3" applyNumberFormat="1" applyFont="1" applyFill="1" applyBorder="1" applyAlignment="1">
      <alignment horizontal="center" vertical="center"/>
    </xf>
    <xf numFmtId="43" fontId="39" fillId="0" borderId="45" xfId="4" applyFont="1" applyFill="1" applyBorder="1" applyAlignment="1">
      <alignment horizontal="left" vertical="center"/>
    </xf>
    <xf numFmtId="10" fontId="39" fillId="0" borderId="45" xfId="3" applyNumberFormat="1" applyFont="1" applyFill="1" applyBorder="1" applyAlignment="1">
      <alignment horizontal="left" vertical="center"/>
    </xf>
    <xf numFmtId="43" fontId="37" fillId="0" borderId="45" xfId="4" applyFont="1" applyFill="1" applyBorder="1" applyAlignment="1">
      <alignment horizontal="left" vertical="center"/>
    </xf>
    <xf numFmtId="10" fontId="37" fillId="0" borderId="45" xfId="3" applyNumberFormat="1" applyFont="1" applyFill="1" applyBorder="1" applyAlignment="1">
      <alignment horizontal="left" vertical="center"/>
    </xf>
    <xf numFmtId="43" fontId="37" fillId="16" borderId="45" xfId="4" applyFont="1" applyFill="1" applyBorder="1" applyAlignment="1">
      <alignment horizontal="left" vertical="center"/>
    </xf>
    <xf numFmtId="10" fontId="37" fillId="16" borderId="45" xfId="3" applyNumberFormat="1" applyFont="1" applyFill="1" applyBorder="1" applyAlignment="1">
      <alignment horizontal="left" vertical="center"/>
    </xf>
    <xf numFmtId="0" fontId="40" fillId="0" borderId="0" xfId="0" applyFont="1" applyAlignment="1">
      <alignment horizontal="left" vertical="center"/>
    </xf>
    <xf numFmtId="0" fontId="33" fillId="13" borderId="12" xfId="5" applyFont="1" applyFill="1" applyBorder="1" applyAlignment="1">
      <alignment horizontal="center" vertical="center" wrapText="1"/>
    </xf>
    <xf numFmtId="49" fontId="41" fillId="0" borderId="42" xfId="5" quotePrefix="1" applyNumberFormat="1" applyFont="1" applyBorder="1" applyAlignment="1">
      <alignment horizontal="left" vertical="center" wrapText="1"/>
    </xf>
    <xf numFmtId="0" fontId="42" fillId="0" borderId="42" xfId="0" quotePrefix="1" applyFont="1" applyBorder="1" applyAlignment="1">
      <alignment horizontal="left" vertical="center" wrapText="1"/>
    </xf>
    <xf numFmtId="49" fontId="41" fillId="0" borderId="45" xfId="5" applyNumberFormat="1" applyFont="1" applyBorder="1" applyAlignment="1">
      <alignment horizontal="left" vertical="center" wrapText="1"/>
    </xf>
    <xf numFmtId="0" fontId="42" fillId="0" borderId="42" xfId="0" applyFont="1" applyBorder="1" applyAlignment="1">
      <alignment vertical="center" wrapText="1"/>
    </xf>
    <xf numFmtId="49" fontId="33" fillId="0" borderId="45" xfId="5" applyNumberFormat="1" applyFont="1" applyBorder="1" applyAlignment="1">
      <alignment horizontal="left" vertical="center" wrapText="1"/>
    </xf>
    <xf numFmtId="49" fontId="41" fillId="9" borderId="45" xfId="5" applyNumberFormat="1" applyFont="1" applyFill="1" applyBorder="1" applyAlignment="1">
      <alignment horizontal="left" vertical="center" wrapText="1"/>
    </xf>
    <xf numFmtId="49" fontId="41" fillId="9" borderId="46" xfId="5" applyNumberFormat="1" applyFont="1" applyFill="1" applyBorder="1" applyAlignment="1">
      <alignment horizontal="left" vertical="center" wrapText="1"/>
    </xf>
    <xf numFmtId="49" fontId="41" fillId="0" borderId="46" xfId="5" applyNumberFormat="1" applyFont="1" applyBorder="1" applyAlignment="1">
      <alignment horizontal="left" vertical="center" wrapText="1"/>
    </xf>
    <xf numFmtId="49" fontId="40" fillId="0" borderId="45" xfId="5" quotePrefix="1" applyNumberFormat="1" applyFont="1" applyBorder="1" applyAlignment="1">
      <alignment horizontal="left" vertical="center" wrapText="1"/>
    </xf>
    <xf numFmtId="0" fontId="40" fillId="0" borderId="0" xfId="0" applyFont="1"/>
    <xf numFmtId="0" fontId="30" fillId="0" borderId="16" xfId="2" applyFont="1" applyBorder="1" applyAlignment="1" applyProtection="1">
      <alignment horizontal="left" vertical="top"/>
    </xf>
    <xf numFmtId="9" fontId="4" fillId="3" borderId="7" xfId="0" applyNumberFormat="1" applyFont="1" applyFill="1" applyBorder="1" applyAlignment="1" applyProtection="1">
      <alignment vertical="top"/>
      <protection locked="0"/>
    </xf>
    <xf numFmtId="167" fontId="4" fillId="6" borderId="8" xfId="0" applyNumberFormat="1" applyFont="1" applyFill="1" applyBorder="1" applyAlignment="1">
      <alignment horizontal="center" vertical="top"/>
    </xf>
    <xf numFmtId="10" fontId="4" fillId="4" borderId="8" xfId="0" applyNumberFormat="1" applyFont="1" applyFill="1" applyBorder="1" applyAlignment="1">
      <alignment horizontal="center" vertical="top"/>
    </xf>
    <xf numFmtId="10" fontId="25" fillId="6" borderId="8" xfId="0" applyNumberFormat="1" applyFont="1" applyFill="1" applyBorder="1" applyAlignment="1">
      <alignment horizontal="center" vertical="top"/>
    </xf>
    <xf numFmtId="0" fontId="39" fillId="18" borderId="45" xfId="5" applyFont="1" applyFill="1" applyBorder="1" applyAlignment="1">
      <alignment horizontal="center" vertical="center"/>
    </xf>
    <xf numFmtId="49" fontId="39" fillId="18" borderId="45" xfId="5" applyNumberFormat="1" applyFont="1" applyFill="1" applyBorder="1" applyAlignment="1">
      <alignment horizontal="center" vertical="center"/>
    </xf>
    <xf numFmtId="49" fontId="37" fillId="18" borderId="45" xfId="5" applyNumberFormat="1" applyFont="1" applyFill="1" applyBorder="1" applyAlignment="1">
      <alignment horizontal="center" vertical="center"/>
    </xf>
    <xf numFmtId="0" fontId="37" fillId="18" borderId="45" xfId="5" applyFont="1" applyFill="1" applyBorder="1" applyAlignment="1">
      <alignment horizontal="left" vertical="center"/>
    </xf>
    <xf numFmtId="43" fontId="39" fillId="18" borderId="45" xfId="4" applyFont="1" applyFill="1" applyBorder="1" applyAlignment="1">
      <alignment horizontal="right" vertical="center"/>
    </xf>
    <xf numFmtId="10" fontId="39" fillId="18" borderId="45" xfId="3" applyNumberFormat="1" applyFont="1" applyFill="1" applyBorder="1" applyAlignment="1">
      <alignment horizontal="right" vertical="center"/>
    </xf>
    <xf numFmtId="49" fontId="37" fillId="18" borderId="0" xfId="5" applyNumberFormat="1" applyFont="1" applyFill="1" applyAlignment="1">
      <alignment horizontal="center" vertical="center"/>
    </xf>
    <xf numFmtId="0" fontId="0" fillId="18" borderId="0" xfId="0" applyFill="1"/>
    <xf numFmtId="0" fontId="37" fillId="18" borderId="45" xfId="5" applyFont="1" applyFill="1" applyBorder="1" applyAlignment="1">
      <alignment horizontal="center" vertical="center"/>
    </xf>
    <xf numFmtId="43" fontId="37" fillId="18" borderId="45" xfId="4" applyFont="1" applyFill="1" applyBorder="1" applyAlignment="1">
      <alignment horizontal="right" vertical="center"/>
    </xf>
    <xf numFmtId="10" fontId="37" fillId="18" borderId="45" xfId="3" applyNumberFormat="1" applyFont="1" applyFill="1" applyBorder="1" applyAlignment="1">
      <alignment horizontal="right" vertical="center"/>
    </xf>
    <xf numFmtId="0" fontId="22" fillId="18" borderId="0" xfId="0" applyFont="1" applyFill="1"/>
    <xf numFmtId="0" fontId="37" fillId="9" borderId="45" xfId="5" applyFont="1" applyFill="1" applyBorder="1" applyAlignment="1">
      <alignment horizontal="left" vertical="center"/>
    </xf>
    <xf numFmtId="0" fontId="39" fillId="9" borderId="45" xfId="5" applyFont="1" applyFill="1" applyBorder="1" applyAlignment="1">
      <alignment horizontal="left" vertical="center"/>
    </xf>
    <xf numFmtId="0" fontId="31" fillId="12" borderId="15" xfId="5" applyFont="1" applyFill="1" applyBorder="1" applyAlignment="1">
      <alignment horizontal="left" vertical="center" wrapText="1"/>
    </xf>
    <xf numFmtId="0" fontId="0" fillId="0" borderId="16" xfId="0" applyBorder="1" applyAlignment="1" applyProtection="1">
      <alignment horizontal="center" vertical="center"/>
      <protection locked="0"/>
    </xf>
    <xf numFmtId="0" fontId="14" fillId="0" borderId="16" xfId="0" applyFont="1" applyBorder="1" applyAlignment="1">
      <alignment horizontal="left" vertical="center"/>
    </xf>
    <xf numFmtId="0" fontId="24" fillId="0" borderId="16" xfId="2" applyFont="1" applyBorder="1" applyAlignment="1" applyProtection="1">
      <alignment horizontal="left" vertical="center" wrapText="1"/>
    </xf>
    <xf numFmtId="9" fontId="0" fillId="6" borderId="0" xfId="3" applyFont="1" applyFill="1" applyAlignment="1" applyProtection="1">
      <alignment horizontal="center" vertical="center"/>
      <protection hidden="1"/>
    </xf>
    <xf numFmtId="0" fontId="0" fillId="6" borderId="16" xfId="3" applyNumberFormat="1" applyFont="1" applyFill="1" applyBorder="1" applyAlignment="1" applyProtection="1">
      <alignment horizontal="left" vertical="center"/>
    </xf>
    <xf numFmtId="0" fontId="7" fillId="6" borderId="16" xfId="3" applyNumberFormat="1" applyFont="1" applyFill="1" applyBorder="1" applyAlignment="1" applyProtection="1">
      <alignment horizontal="left" vertical="center" wrapText="1"/>
      <protection hidden="1"/>
    </xf>
    <xf numFmtId="0" fontId="7" fillId="6" borderId="18" xfId="3" applyNumberFormat="1" applyFont="1" applyFill="1" applyBorder="1" applyAlignment="1" applyProtection="1">
      <alignment horizontal="left" vertical="center" wrapText="1"/>
      <protection hidden="1"/>
    </xf>
    <xf numFmtId="0" fontId="7" fillId="6" borderId="19" xfId="3" applyNumberFormat="1" applyFont="1" applyFill="1" applyBorder="1" applyAlignment="1" applyProtection="1">
      <alignment horizontal="left" vertical="center"/>
    </xf>
    <xf numFmtId="9" fontId="0" fillId="6" borderId="16" xfId="3" applyFont="1" applyFill="1" applyBorder="1" applyAlignment="1" applyProtection="1">
      <alignment horizontal="center" vertical="center"/>
      <protection hidden="1"/>
    </xf>
    <xf numFmtId="9" fontId="0" fillId="6" borderId="16" xfId="3" applyFont="1" applyFill="1" applyBorder="1" applyAlignment="1" applyProtection="1">
      <alignment horizontal="center" vertical="center" wrapText="1"/>
      <protection hidden="1"/>
    </xf>
    <xf numFmtId="0" fontId="17" fillId="0" borderId="35" xfId="2" applyBorder="1" applyAlignment="1">
      <alignment vertical="center"/>
    </xf>
    <xf numFmtId="0" fontId="4" fillId="3" borderId="7" xfId="0" applyFont="1" applyFill="1" applyBorder="1" applyAlignment="1" applyProtection="1">
      <alignment horizontal="center" vertical="center"/>
      <protection locked="0"/>
    </xf>
    <xf numFmtId="0" fontId="4"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3" borderId="11" xfId="0" applyFont="1" applyFill="1" applyBorder="1" applyAlignment="1" applyProtection="1">
      <alignment horizontal="left" vertical="center"/>
      <protection locked="0"/>
    </xf>
    <xf numFmtId="0" fontId="8" fillId="3" borderId="8" xfId="0" applyFont="1" applyFill="1" applyBorder="1" applyAlignment="1" applyProtection="1">
      <alignment vertical="top" wrapText="1"/>
      <protection locked="0"/>
    </xf>
    <xf numFmtId="9" fontId="4" fillId="3" borderId="8" xfId="0" applyNumberFormat="1" applyFont="1" applyFill="1" applyBorder="1" applyAlignment="1" applyProtection="1">
      <alignment vertical="center"/>
      <protection locked="0"/>
    </xf>
    <xf numFmtId="0" fontId="0" fillId="0" borderId="5" xfId="0" applyBorder="1" applyAlignment="1" applyProtection="1">
      <alignment vertical="center"/>
      <protection locked="0"/>
    </xf>
    <xf numFmtId="0" fontId="17" fillId="3" borderId="8" xfId="2" applyFill="1" applyBorder="1" applyAlignment="1" applyProtection="1">
      <alignment horizontal="left" vertical="top" wrapText="1"/>
      <protection locked="0"/>
    </xf>
    <xf numFmtId="0" fontId="8" fillId="3" borderId="8" xfId="0" applyFont="1" applyFill="1" applyBorder="1" applyAlignment="1" applyProtection="1">
      <alignment horizontal="left" vertical="center"/>
      <protection locked="0"/>
    </xf>
    <xf numFmtId="3" fontId="8" fillId="3" borderId="8" xfId="0" applyNumberFormat="1" applyFont="1" applyFill="1" applyBorder="1" applyAlignment="1" applyProtection="1">
      <alignment vertical="center" wrapText="1"/>
      <protection locked="0"/>
    </xf>
    <xf numFmtId="0" fontId="8" fillId="3" borderId="8" xfId="0" applyFont="1" applyFill="1" applyBorder="1" applyAlignment="1" applyProtection="1">
      <alignment vertical="center" wrapText="1"/>
      <protection locked="0"/>
    </xf>
    <xf numFmtId="9" fontId="8" fillId="3" borderId="13" xfId="0" applyNumberFormat="1" applyFont="1" applyFill="1" applyBorder="1" applyAlignment="1" applyProtection="1">
      <alignment horizontal="center" vertical="center" wrapText="1"/>
      <protection locked="0"/>
    </xf>
    <xf numFmtId="0" fontId="8" fillId="3" borderId="12"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justify" vertical="center"/>
      <protection locked="0"/>
    </xf>
    <xf numFmtId="0" fontId="0" fillId="0" borderId="0" xfId="0" applyAlignment="1" applyProtection="1">
      <alignment vertical="center"/>
      <protection locked="0"/>
    </xf>
    <xf numFmtId="0" fontId="8" fillId="0" borderId="5" xfId="0" applyFont="1" applyBorder="1" applyAlignment="1" applyProtection="1">
      <alignment vertical="center" wrapText="1"/>
      <protection locked="0"/>
    </xf>
    <xf numFmtId="0" fontId="4" fillId="0" borderId="8" xfId="0" applyFont="1" applyBorder="1" applyAlignment="1" applyProtection="1">
      <alignment horizontal="center" vertical="center" wrapText="1"/>
      <protection locked="0"/>
    </xf>
    <xf numFmtId="0" fontId="0" fillId="0" borderId="13" xfId="0" applyBorder="1" applyAlignment="1" applyProtection="1">
      <alignment vertical="center"/>
      <protection locked="0"/>
    </xf>
    <xf numFmtId="0" fontId="28" fillId="0" borderId="5" xfId="0" applyFont="1" applyBorder="1" applyAlignment="1" applyProtection="1">
      <alignment vertical="center"/>
      <protection locked="0"/>
    </xf>
    <xf numFmtId="0" fontId="28" fillId="3" borderId="12" xfId="0" applyFont="1" applyFill="1" applyBorder="1" applyAlignment="1" applyProtection="1">
      <alignment vertical="center" wrapText="1"/>
      <protection locked="0"/>
    </xf>
    <xf numFmtId="9" fontId="8" fillId="3" borderId="8" xfId="0" applyNumberFormat="1" applyFont="1" applyFill="1" applyBorder="1" applyAlignment="1" applyProtection="1">
      <alignment horizontal="center" vertical="center"/>
      <protection locked="0"/>
    </xf>
    <xf numFmtId="9" fontId="4" fillId="3" borderId="8" xfId="0" applyNumberFormat="1" applyFont="1" applyFill="1" applyBorder="1" applyAlignment="1" applyProtection="1">
      <alignment horizontal="center" vertical="center"/>
      <protection locked="0"/>
    </xf>
    <xf numFmtId="0" fontId="8" fillId="6" borderId="8" xfId="0" applyFont="1" applyFill="1" applyBorder="1" applyAlignment="1" applyProtection="1">
      <alignment horizontal="left" vertical="center"/>
      <protection locked="0"/>
    </xf>
    <xf numFmtId="0" fontId="8" fillId="6" borderId="8" xfId="0" applyFont="1" applyFill="1" applyBorder="1" applyAlignment="1" applyProtection="1">
      <alignment horizontal="left" vertical="center" wrapText="1"/>
      <protection locked="0"/>
    </xf>
    <xf numFmtId="0" fontId="46" fillId="0" borderId="1" xfId="0" applyFont="1" applyBorder="1" applyAlignment="1">
      <alignment vertical="top"/>
    </xf>
    <xf numFmtId="0" fontId="4" fillId="0" borderId="0" xfId="0" applyFont="1" applyAlignment="1">
      <alignment vertical="center"/>
    </xf>
    <xf numFmtId="0" fontId="4" fillId="0" borderId="0" xfId="0" applyFont="1" applyAlignment="1">
      <alignment horizontal="center" vertical="center"/>
    </xf>
    <xf numFmtId="0" fontId="0" fillId="3" borderId="16" xfId="0" applyFill="1" applyBorder="1" applyAlignment="1">
      <alignment vertical="center"/>
    </xf>
    <xf numFmtId="0" fontId="20" fillId="0" borderId="0" xfId="0" applyFont="1" applyAlignment="1">
      <alignment vertical="center"/>
    </xf>
    <xf numFmtId="0" fontId="0" fillId="7" borderId="16" xfId="0" applyFill="1" applyBorder="1" applyAlignment="1">
      <alignment vertical="center"/>
    </xf>
    <xf numFmtId="0" fontId="4" fillId="0" borderId="0" xfId="0" applyFont="1" applyAlignment="1">
      <alignment horizontal="right" vertical="center"/>
    </xf>
    <xf numFmtId="9" fontId="7" fillId="6" borderId="12" xfId="0" applyNumberFormat="1" applyFont="1" applyFill="1" applyBorder="1" applyAlignment="1">
      <alignment horizontal="center" vertical="center"/>
    </xf>
    <xf numFmtId="0" fontId="0" fillId="6" borderId="20" xfId="0" applyFill="1" applyBorder="1" applyAlignment="1">
      <alignment vertical="center"/>
    </xf>
    <xf numFmtId="0" fontId="17" fillId="0" borderId="0" xfId="2" applyFill="1" applyAlignment="1">
      <alignment vertical="center"/>
    </xf>
    <xf numFmtId="0" fontId="0" fillId="0" borderId="0" xfId="0" applyAlignment="1">
      <alignment horizontal="center" vertical="center"/>
    </xf>
    <xf numFmtId="0" fontId="7" fillId="0" borderId="0" xfId="0" applyFont="1" applyAlignment="1">
      <alignment vertical="center" wrapText="1"/>
    </xf>
    <xf numFmtId="0" fontId="4" fillId="3" borderId="16" xfId="0" applyFont="1" applyFill="1" applyBorder="1" applyAlignment="1" applyProtection="1">
      <alignment horizontal="center" vertical="center" wrapText="1"/>
      <protection locked="0"/>
    </xf>
    <xf numFmtId="0" fontId="17" fillId="0" borderId="0" xfId="2" applyFill="1" applyBorder="1" applyAlignment="1">
      <alignment vertical="center"/>
    </xf>
    <xf numFmtId="0" fontId="7" fillId="0" borderId="0" xfId="0" applyFont="1" applyAlignment="1">
      <alignment horizontal="center" vertical="center"/>
    </xf>
    <xf numFmtId="0" fontId="7" fillId="3" borderId="16" xfId="0"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vertical="center" wrapText="1"/>
    </xf>
    <xf numFmtId="0" fontId="0" fillId="0" borderId="6" xfId="0" applyBorder="1" applyAlignment="1">
      <alignment vertical="center"/>
    </xf>
    <xf numFmtId="0" fontId="4" fillId="0" borderId="8" xfId="0" applyFont="1" applyBorder="1" applyAlignment="1">
      <alignment vertical="center" wrapText="1"/>
    </xf>
    <xf numFmtId="0" fontId="4" fillId="0" borderId="9" xfId="0" applyFont="1" applyBorder="1" applyAlignment="1">
      <alignment horizontal="center" vertical="center" wrapText="1"/>
    </xf>
    <xf numFmtId="0" fontId="4" fillId="0" borderId="7" xfId="0" applyFont="1" applyBorder="1" applyAlignment="1">
      <alignment vertical="center"/>
    </xf>
    <xf numFmtId="0" fontId="0" fillId="0" borderId="1" xfId="0" applyBorder="1" applyAlignment="1" applyProtection="1">
      <alignment vertical="center"/>
      <protection locked="0"/>
    </xf>
    <xf numFmtId="9" fontId="4" fillId="4" borderId="12" xfId="3" applyFont="1" applyFill="1" applyBorder="1" applyAlignment="1" applyProtection="1">
      <alignment horizontal="center" vertical="center"/>
    </xf>
    <xf numFmtId="0" fontId="4" fillId="0" borderId="13" xfId="0" applyFont="1" applyBorder="1" applyAlignment="1">
      <alignment vertical="center" wrapText="1"/>
    </xf>
    <xf numFmtId="0" fontId="4" fillId="0" borderId="10" xfId="0" applyFont="1" applyBorder="1" applyAlignment="1">
      <alignment horizontal="center" vertical="center" wrapText="1"/>
    </xf>
    <xf numFmtId="0" fontId="5" fillId="0" borderId="8" xfId="0" applyFont="1" applyBorder="1" applyAlignment="1">
      <alignment vertical="center" wrapText="1"/>
    </xf>
    <xf numFmtId="0" fontId="4" fillId="3" borderId="8" xfId="0" applyFont="1" applyFill="1" applyBorder="1" applyAlignment="1" applyProtection="1">
      <alignment vertical="center"/>
      <protection locked="0"/>
    </xf>
    <xf numFmtId="0" fontId="4" fillId="0" borderId="8" xfId="0" applyFont="1" applyBorder="1" applyAlignment="1" applyProtection="1">
      <alignment horizontal="left" vertical="center"/>
      <protection locked="0"/>
    </xf>
    <xf numFmtId="0" fontId="4" fillId="5" borderId="8" xfId="0" applyFont="1" applyFill="1" applyBorder="1" applyAlignment="1" applyProtection="1">
      <alignment vertical="center" wrapText="1"/>
      <protection locked="0"/>
    </xf>
    <xf numFmtId="0" fontId="12" fillId="0" borderId="14" xfId="0" applyFont="1" applyBorder="1" applyAlignment="1">
      <alignment vertical="center"/>
    </xf>
    <xf numFmtId="0" fontId="12" fillId="0" borderId="15" xfId="0" applyFont="1" applyBorder="1" applyAlignment="1">
      <alignment vertical="center"/>
    </xf>
    <xf numFmtId="0" fontId="12" fillId="0" borderId="7" xfId="0" applyFont="1" applyBorder="1" applyAlignment="1">
      <alignment vertical="center"/>
    </xf>
    <xf numFmtId="0" fontId="4" fillId="0" borderId="8" xfId="0" applyFont="1" applyBorder="1" applyAlignment="1">
      <alignment vertical="center"/>
    </xf>
    <xf numFmtId="17" fontId="4" fillId="0" borderId="13" xfId="0" applyNumberFormat="1" applyFont="1" applyBorder="1" applyAlignment="1">
      <alignment vertical="center" wrapText="1"/>
    </xf>
    <xf numFmtId="0" fontId="6" fillId="0" borderId="8"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4" fillId="0" borderId="12" xfId="0" applyFont="1" applyBorder="1" applyAlignment="1">
      <alignment vertical="center" wrapText="1"/>
    </xf>
    <xf numFmtId="0" fontId="4" fillId="0" borderId="14" xfId="0" applyFont="1" applyBorder="1" applyAlignment="1">
      <alignment horizontal="center" vertical="center" wrapText="1"/>
    </xf>
    <xf numFmtId="0" fontId="17" fillId="3" borderId="8" xfId="2" applyFill="1" applyBorder="1" applyAlignment="1" applyProtection="1">
      <alignment vertical="top" wrapText="1"/>
      <protection locked="0"/>
    </xf>
    <xf numFmtId="0" fontId="4" fillId="3" borderId="8" xfId="0" applyFont="1" applyFill="1" applyBorder="1" applyAlignment="1" applyProtection="1">
      <alignment vertical="center" wrapText="1"/>
      <protection locked="0"/>
    </xf>
    <xf numFmtId="0" fontId="7" fillId="0" borderId="0" xfId="0" applyFont="1"/>
    <xf numFmtId="0" fontId="8" fillId="19" borderId="47" xfId="0" applyFont="1" applyFill="1" applyBorder="1" applyAlignment="1">
      <alignment vertical="center" wrapText="1"/>
    </xf>
    <xf numFmtId="3" fontId="43" fillId="3" borderId="49" xfId="5" applyNumberFormat="1" applyFont="1" applyFill="1" applyBorder="1" applyAlignment="1">
      <alignment vertical="center" wrapText="1"/>
    </xf>
    <xf numFmtId="0" fontId="4" fillId="3" borderId="7" xfId="0" applyFont="1" applyFill="1" applyBorder="1" applyAlignment="1" applyProtection="1">
      <alignment horizontal="center" vertical="center" wrapText="1"/>
      <protection locked="0"/>
    </xf>
    <xf numFmtId="3" fontId="4" fillId="3" borderId="8" xfId="0" applyNumberFormat="1" applyFont="1" applyFill="1" applyBorder="1" applyAlignment="1" applyProtection="1">
      <alignment vertical="center"/>
      <protection locked="0"/>
    </xf>
    <xf numFmtId="3" fontId="4" fillId="3" borderId="8" xfId="0" applyNumberFormat="1" applyFont="1" applyFill="1" applyBorder="1" applyAlignment="1" applyProtection="1">
      <alignment horizontal="center" vertical="center"/>
      <protection locked="0"/>
    </xf>
    <xf numFmtId="3" fontId="4" fillId="4" borderId="8" xfId="0" applyNumberFormat="1" applyFont="1" applyFill="1" applyBorder="1" applyAlignment="1" applyProtection="1">
      <alignment horizontal="center" vertical="center"/>
      <protection locked="0"/>
    </xf>
    <xf numFmtId="0" fontId="4" fillId="3" borderId="7" xfId="0" applyFont="1" applyFill="1" applyBorder="1" applyAlignment="1" applyProtection="1">
      <alignment vertical="center"/>
      <protection locked="0"/>
    </xf>
    <xf numFmtId="0" fontId="4" fillId="3" borderId="7" xfId="0" applyFont="1" applyFill="1" applyBorder="1" applyAlignment="1" applyProtection="1">
      <alignment horizontal="right" vertical="center"/>
      <protection locked="0"/>
    </xf>
    <xf numFmtId="3" fontId="4" fillId="3" borderId="8" xfId="0" applyNumberFormat="1" applyFont="1" applyFill="1" applyBorder="1" applyAlignment="1" applyProtection="1">
      <alignment horizontal="right" vertical="center"/>
      <protection locked="0"/>
    </xf>
    <xf numFmtId="0" fontId="4" fillId="0" borderId="4" xfId="0" applyFont="1" applyBorder="1" applyAlignment="1">
      <alignment vertical="center" wrapText="1"/>
    </xf>
    <xf numFmtId="0" fontId="46" fillId="0" borderId="0" xfId="0" applyFont="1" applyAlignment="1">
      <alignment vertical="top"/>
    </xf>
    <xf numFmtId="1" fontId="4" fillId="4" borderId="12" xfId="3" applyNumberFormat="1" applyFont="1" applyFill="1" applyBorder="1" applyAlignment="1">
      <alignment horizontal="center" vertical="center"/>
    </xf>
    <xf numFmtId="0" fontId="4" fillId="4" borderId="8" xfId="0" applyFont="1" applyFill="1" applyBorder="1" applyAlignment="1">
      <alignment horizontal="center" vertical="center"/>
    </xf>
    <xf numFmtId="0" fontId="9" fillId="3" borderId="14" xfId="0" applyFont="1" applyFill="1" applyBorder="1" applyAlignment="1">
      <alignment vertical="center" wrapText="1"/>
    </xf>
    <xf numFmtId="0" fontId="4" fillId="3" borderId="12" xfId="0" applyFont="1" applyFill="1" applyBorder="1" applyAlignment="1" applyProtection="1">
      <alignment vertical="center"/>
      <protection locked="0"/>
    </xf>
    <xf numFmtId="9" fontId="4" fillId="4" borderId="12" xfId="3" applyFont="1" applyFill="1" applyBorder="1" applyAlignment="1">
      <alignment vertical="center" wrapText="1"/>
    </xf>
    <xf numFmtId="3" fontId="4" fillId="3" borderId="8" xfId="0" applyNumberFormat="1" applyFont="1" applyFill="1" applyBorder="1" applyAlignment="1" applyProtection="1">
      <alignment horizontal="center" vertical="center" wrapText="1"/>
      <protection locked="0"/>
    </xf>
    <xf numFmtId="3" fontId="4" fillId="3" borderId="13" xfId="0" applyNumberFormat="1" applyFont="1" applyFill="1" applyBorder="1" applyAlignment="1" applyProtection="1">
      <alignment horizontal="center" vertical="center" wrapText="1"/>
      <protection locked="0"/>
    </xf>
    <xf numFmtId="0" fontId="50" fillId="3" borderId="8" xfId="2" applyFont="1" applyFill="1" applyBorder="1" applyAlignment="1" applyProtection="1">
      <alignment vertical="top" wrapText="1"/>
      <protection locked="0"/>
    </xf>
    <xf numFmtId="0" fontId="51" fillId="3" borderId="8" xfId="0" applyFont="1" applyFill="1" applyBorder="1" applyAlignment="1" applyProtection="1">
      <alignment vertical="top"/>
      <protection locked="0"/>
    </xf>
    <xf numFmtId="0" fontId="51" fillId="3" borderId="8" xfId="0" applyFont="1" applyFill="1" applyBorder="1" applyAlignment="1" applyProtection="1">
      <alignment horizontal="left" vertical="top" wrapText="1"/>
      <protection locked="0"/>
    </xf>
    <xf numFmtId="3" fontId="51" fillId="3" borderId="8" xfId="0" applyNumberFormat="1" applyFont="1" applyFill="1" applyBorder="1" applyAlignment="1" applyProtection="1">
      <alignment vertical="top"/>
      <protection locked="0"/>
    </xf>
    <xf numFmtId="0" fontId="51" fillId="0" borderId="8" xfId="0" applyFont="1" applyBorder="1" applyAlignment="1">
      <alignment vertical="top"/>
    </xf>
    <xf numFmtId="0" fontId="51" fillId="0" borderId="8" xfId="0" applyFont="1" applyBorder="1" applyAlignment="1">
      <alignment vertical="top" wrapText="1"/>
    </xf>
    <xf numFmtId="0" fontId="4" fillId="0" borderId="7" xfId="0" applyFont="1" applyBorder="1" applyAlignment="1">
      <alignment horizontal="center" vertical="center"/>
    </xf>
    <xf numFmtId="9" fontId="7" fillId="3" borderId="16" xfId="0" applyNumberFormat="1" applyFont="1" applyFill="1" applyBorder="1" applyAlignment="1">
      <alignment horizontal="right" vertical="center"/>
    </xf>
    <xf numFmtId="9" fontId="4" fillId="4" borderId="8" xfId="3" applyFont="1" applyFill="1" applyBorder="1" applyAlignment="1">
      <alignment horizontal="center" vertical="center" wrapText="1"/>
    </xf>
    <xf numFmtId="3" fontId="4" fillId="3" borderId="8" xfId="0" applyNumberFormat="1" applyFont="1" applyFill="1" applyBorder="1" applyAlignment="1" applyProtection="1">
      <alignment vertical="center" wrapText="1"/>
      <protection locked="0"/>
    </xf>
    <xf numFmtId="0" fontId="4" fillId="3" borderId="8"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protection locked="0"/>
    </xf>
    <xf numFmtId="0" fontId="4" fillId="9" borderId="8" xfId="0" applyFont="1" applyFill="1" applyBorder="1" applyAlignment="1">
      <alignment vertical="top" wrapText="1"/>
    </xf>
    <xf numFmtId="0" fontId="4" fillId="3" borderId="8" xfId="0" applyFont="1" applyFill="1" applyBorder="1" applyAlignment="1">
      <alignment horizontal="left" vertical="top" wrapText="1"/>
    </xf>
    <xf numFmtId="164" fontId="4" fillId="4" borderId="8" xfId="0" applyNumberFormat="1" applyFont="1" applyFill="1" applyBorder="1" applyAlignment="1">
      <alignment horizontal="center" vertical="center"/>
    </xf>
    <xf numFmtId="164" fontId="4" fillId="3" borderId="8" xfId="0" applyNumberFormat="1" applyFont="1" applyFill="1" applyBorder="1" applyAlignment="1" applyProtection="1">
      <alignment horizontal="center" vertical="center"/>
      <protection locked="0"/>
    </xf>
    <xf numFmtId="3" fontId="4" fillId="3" borderId="7" xfId="0" applyNumberFormat="1" applyFont="1" applyFill="1" applyBorder="1" applyAlignment="1" applyProtection="1">
      <alignment horizontal="center" vertical="center" wrapText="1"/>
      <protection locked="0"/>
    </xf>
    <xf numFmtId="3" fontId="4" fillId="3" borderId="7" xfId="0" applyNumberFormat="1" applyFont="1" applyFill="1" applyBorder="1" applyAlignment="1" applyProtection="1">
      <alignment horizontal="right" vertical="center" wrapText="1"/>
      <protection locked="0"/>
    </xf>
    <xf numFmtId="3" fontId="4" fillId="4" borderId="8" xfId="0" applyNumberFormat="1" applyFont="1" applyFill="1" applyBorder="1" applyAlignment="1">
      <alignment horizontal="center" vertical="center"/>
    </xf>
    <xf numFmtId="3" fontId="4" fillId="4" borderId="8" xfId="0" applyNumberFormat="1" applyFont="1" applyFill="1" applyBorder="1" applyAlignment="1">
      <alignment horizontal="center" vertical="center" wrapText="1"/>
    </xf>
    <xf numFmtId="9" fontId="4" fillId="3" borderId="12" xfId="0" applyNumberFormat="1" applyFont="1" applyFill="1" applyBorder="1" applyAlignment="1" applyProtection="1">
      <alignment horizontal="center" vertical="center"/>
      <protection locked="0"/>
    </xf>
    <xf numFmtId="9" fontId="4" fillId="4" borderId="12" xfId="0" applyNumberFormat="1" applyFont="1" applyFill="1" applyBorder="1" applyAlignment="1">
      <alignment horizontal="center" vertical="center"/>
    </xf>
    <xf numFmtId="9" fontId="4" fillId="4" borderId="8" xfId="3" applyFont="1" applyFill="1" applyBorder="1" applyAlignment="1" applyProtection="1">
      <alignment horizontal="center" vertical="center"/>
    </xf>
    <xf numFmtId="0" fontId="4" fillId="3" borderId="15" xfId="0" applyFont="1" applyFill="1" applyBorder="1" applyAlignment="1" applyProtection="1">
      <alignment horizontal="center" vertical="center" wrapText="1"/>
      <protection locked="0"/>
    </xf>
    <xf numFmtId="0" fontId="7" fillId="3" borderId="12" xfId="0" applyFont="1" applyFill="1" applyBorder="1" applyAlignment="1">
      <alignment vertical="center" wrapText="1"/>
    </xf>
    <xf numFmtId="0" fontId="4" fillId="6" borderId="8" xfId="0" applyFont="1" applyFill="1" applyBorder="1" applyAlignment="1">
      <alignment horizontal="center" vertical="center" wrapText="1"/>
    </xf>
    <xf numFmtId="0" fontId="4" fillId="0" borderId="8" xfId="0" applyFont="1" applyBorder="1" applyAlignment="1">
      <alignment horizontal="center" vertical="center"/>
    </xf>
    <xf numFmtId="9" fontId="4" fillId="4" borderId="8" xfId="0" applyNumberFormat="1" applyFont="1" applyFill="1" applyBorder="1" applyAlignment="1">
      <alignment horizontal="center" vertical="center"/>
    </xf>
    <xf numFmtId="3" fontId="4" fillId="4" borderId="8" xfId="0" applyNumberFormat="1" applyFont="1" applyFill="1" applyBorder="1" applyAlignment="1">
      <alignment horizontal="right" vertical="center"/>
    </xf>
    <xf numFmtId="0" fontId="31" fillId="12" borderId="15" xfId="5" applyFont="1" applyFill="1" applyBorder="1" applyAlignment="1">
      <alignment horizontal="center" vertical="center" wrapText="1"/>
    </xf>
    <xf numFmtId="0" fontId="46" fillId="0" borderId="5" xfId="0" applyFont="1" applyBorder="1" applyAlignment="1" applyProtection="1">
      <alignment vertical="top"/>
      <protection locked="0"/>
    </xf>
    <xf numFmtId="0" fontId="46" fillId="0" borderId="6" xfId="0" applyFont="1" applyBorder="1"/>
    <xf numFmtId="3" fontId="4" fillId="4" borderId="8" xfId="0" applyNumberFormat="1" applyFont="1" applyFill="1" applyBorder="1" applyAlignment="1">
      <alignment vertical="center"/>
    </xf>
    <xf numFmtId="0" fontId="8" fillId="0" borderId="5" xfId="0" applyFont="1" applyBorder="1" applyAlignment="1">
      <alignment horizontal="center" vertical="center" wrapText="1"/>
    </xf>
    <xf numFmtId="0" fontId="46" fillId="0" borderId="1" xfId="0" applyFont="1" applyBorder="1" applyAlignment="1">
      <alignment horizontal="center" vertical="center"/>
    </xf>
    <xf numFmtId="0" fontId="4" fillId="6" borderId="8" xfId="0" applyFont="1" applyFill="1" applyBorder="1" applyAlignment="1">
      <alignment vertical="top" wrapText="1"/>
    </xf>
    <xf numFmtId="0" fontId="46" fillId="0" borderId="0" xfId="0" applyFont="1"/>
    <xf numFmtId="0" fontId="4" fillId="0" borderId="8" xfId="0" applyFont="1" applyBorder="1" applyAlignment="1" applyProtection="1">
      <alignment horizontal="left" vertical="top" wrapText="1"/>
      <protection locked="0"/>
    </xf>
    <xf numFmtId="0" fontId="12" fillId="0" borderId="0" xfId="0" applyFont="1" applyAlignment="1">
      <alignment vertical="top"/>
    </xf>
    <xf numFmtId="0" fontId="23" fillId="6" borderId="12" xfId="0" applyFont="1" applyFill="1" applyBorder="1" applyAlignment="1">
      <alignment vertical="top"/>
    </xf>
    <xf numFmtId="0" fontId="23" fillId="6" borderId="12" xfId="0" applyFont="1" applyFill="1" applyBorder="1" applyAlignment="1">
      <alignment horizontal="center" vertical="top"/>
    </xf>
    <xf numFmtId="0" fontId="4" fillId="0" borderId="11" xfId="0" applyFont="1" applyBorder="1" applyAlignment="1">
      <alignment horizontal="center" vertical="top"/>
    </xf>
    <xf numFmtId="0" fontId="48" fillId="3" borderId="37" xfId="0" applyFont="1" applyFill="1" applyBorder="1" applyAlignment="1" applyProtection="1">
      <alignment vertical="center"/>
      <protection locked="0"/>
    </xf>
    <xf numFmtId="0" fontId="48" fillId="3" borderId="57" xfId="0" applyFont="1" applyFill="1" applyBorder="1" applyAlignment="1" applyProtection="1">
      <alignment vertical="center" wrapText="1"/>
      <protection locked="0"/>
    </xf>
    <xf numFmtId="0" fontId="14" fillId="0" borderId="8" xfId="0" applyFont="1" applyBorder="1" applyAlignment="1">
      <alignment vertical="center"/>
    </xf>
    <xf numFmtId="3" fontId="4" fillId="4" borderId="13" xfId="0" applyNumberFormat="1" applyFont="1" applyFill="1" applyBorder="1" applyAlignment="1">
      <alignment vertical="center"/>
    </xf>
    <xf numFmtId="0" fontId="0" fillId="0" borderId="13" xfId="0" applyBorder="1" applyAlignment="1">
      <alignment vertical="center"/>
    </xf>
    <xf numFmtId="0" fontId="55" fillId="0" borderId="7" xfId="0" applyFont="1" applyBorder="1" applyAlignment="1">
      <alignment horizontal="center" vertical="top" wrapText="1"/>
    </xf>
    <xf numFmtId="0" fontId="56" fillId="0" borderId="4" xfId="0" applyFont="1" applyBorder="1" applyAlignment="1">
      <alignment horizontal="center" vertical="center" wrapText="1"/>
    </xf>
    <xf numFmtId="0" fontId="56" fillId="0" borderId="8" xfId="0" applyFont="1" applyBorder="1" applyAlignment="1">
      <alignment horizontal="center" vertical="center" wrapText="1"/>
    </xf>
    <xf numFmtId="0" fontId="57" fillId="3" borderId="8" xfId="0" applyFont="1" applyFill="1" applyBorder="1" applyAlignment="1" applyProtection="1">
      <alignment horizontal="center" vertical="center"/>
      <protection locked="0"/>
    </xf>
    <xf numFmtId="0" fontId="46" fillId="0" borderId="6" xfId="0" applyFont="1" applyBorder="1" applyAlignment="1">
      <alignment horizontal="center"/>
    </xf>
    <xf numFmtId="0" fontId="58" fillId="3" borderId="8" xfId="0" applyFont="1" applyFill="1" applyBorder="1" applyAlignment="1" applyProtection="1">
      <alignment horizontal="center" vertical="center"/>
      <protection locked="0"/>
    </xf>
    <xf numFmtId="0" fontId="55" fillId="0" borderId="7" xfId="0" applyFont="1" applyBorder="1" applyAlignment="1">
      <alignment horizontal="center" vertical="top"/>
    </xf>
    <xf numFmtId="0" fontId="56" fillId="0" borderId="6" xfId="0" applyFont="1" applyBorder="1" applyAlignment="1">
      <alignment horizontal="center" vertical="center" wrapText="1"/>
    </xf>
    <xf numFmtId="0" fontId="4" fillId="3" borderId="11" xfId="0" applyFont="1" applyFill="1" applyBorder="1" applyAlignment="1" applyProtection="1">
      <alignment vertical="top"/>
      <protection locked="0"/>
    </xf>
    <xf numFmtId="3" fontId="51" fillId="3" borderId="11" xfId="0" applyNumberFormat="1" applyFont="1" applyFill="1" applyBorder="1" applyAlignment="1" applyProtection="1">
      <alignment vertical="top"/>
      <protection locked="0"/>
    </xf>
    <xf numFmtId="168" fontId="59" fillId="30" borderId="5" xfId="0" applyNumberFormat="1" applyFont="1" applyFill="1" applyBorder="1" applyAlignment="1">
      <alignment horizontal="right" vertical="center"/>
    </xf>
    <xf numFmtId="168" fontId="42" fillId="31" borderId="5" xfId="0" applyNumberFormat="1" applyFont="1" applyFill="1" applyBorder="1" applyAlignment="1">
      <alignment horizontal="right" vertical="center"/>
    </xf>
    <xf numFmtId="168" fontId="42" fillId="32" borderId="5" xfId="0" applyNumberFormat="1" applyFont="1" applyFill="1" applyBorder="1" applyAlignment="1">
      <alignment horizontal="right" vertical="center"/>
    </xf>
    <xf numFmtId="0" fontId="55" fillId="0" borderId="7" xfId="0" applyFont="1" applyBorder="1" applyAlignment="1">
      <alignment horizontal="center" vertical="center"/>
    </xf>
    <xf numFmtId="4" fontId="0" fillId="0" borderId="0" xfId="0" applyNumberFormat="1" applyAlignment="1">
      <alignment vertical="top"/>
    </xf>
    <xf numFmtId="0" fontId="4" fillId="3" borderId="31" xfId="0" applyFont="1" applyFill="1" applyBorder="1" applyAlignment="1">
      <alignment vertical="top" wrapText="1"/>
    </xf>
    <xf numFmtId="0" fontId="4" fillId="3" borderId="32" xfId="0" applyFont="1" applyFill="1" applyBorder="1" applyAlignment="1">
      <alignment vertical="top" wrapText="1"/>
    </xf>
    <xf numFmtId="0" fontId="4" fillId="3" borderId="11" xfId="0" applyFont="1" applyFill="1" applyBorder="1" applyAlignment="1">
      <alignment horizontal="center" vertical="top"/>
    </xf>
    <xf numFmtId="9" fontId="4" fillId="4" borderId="10" xfId="0" applyNumberFormat="1" applyFont="1" applyFill="1" applyBorder="1" applyAlignment="1">
      <alignment horizontal="right" vertical="top"/>
    </xf>
    <xf numFmtId="0" fontId="4" fillId="3" borderId="16" xfId="0" applyFont="1" applyFill="1" applyBorder="1" applyAlignment="1">
      <alignment vertical="top" wrapText="1"/>
    </xf>
    <xf numFmtId="0" fontId="4" fillId="3" borderId="16" xfId="0" applyFont="1" applyFill="1" applyBorder="1" applyAlignment="1">
      <alignment vertical="center" wrapText="1"/>
    </xf>
    <xf numFmtId="0" fontId="4" fillId="3" borderId="34" xfId="0" applyFont="1" applyFill="1" applyBorder="1" applyAlignment="1">
      <alignment vertical="top" wrapText="1"/>
    </xf>
    <xf numFmtId="0" fontId="4" fillId="21" borderId="34" xfId="0" applyFont="1" applyFill="1" applyBorder="1" applyAlignment="1">
      <alignment vertical="center" wrapText="1"/>
    </xf>
    <xf numFmtId="9" fontId="4" fillId="4" borderId="35" xfId="3" applyFont="1" applyFill="1" applyBorder="1" applyAlignment="1">
      <alignment horizontal="center" vertical="center" wrapText="1"/>
    </xf>
    <xf numFmtId="0" fontId="4" fillId="19" borderId="34" xfId="0" applyFont="1" applyFill="1" applyBorder="1" applyAlignment="1">
      <alignment vertical="center" wrapText="1"/>
    </xf>
    <xf numFmtId="0" fontId="4" fillId="25" borderId="34" xfId="0" applyFont="1" applyFill="1" applyBorder="1" applyAlignment="1">
      <alignment vertical="center" wrapText="1"/>
    </xf>
    <xf numFmtId="0" fontId="4" fillId="26" borderId="34" xfId="0" applyFont="1" applyFill="1" applyBorder="1" applyAlignment="1">
      <alignment vertical="center" wrapText="1"/>
    </xf>
    <xf numFmtId="0" fontId="4" fillId="22" borderId="38" xfId="0" applyFont="1" applyFill="1" applyBorder="1" applyAlignment="1">
      <alignment vertical="center" wrapText="1"/>
    </xf>
    <xf numFmtId="0" fontId="4" fillId="3" borderId="36" xfId="0" applyFont="1" applyFill="1" applyBorder="1" applyAlignment="1">
      <alignment vertical="center" wrapText="1"/>
    </xf>
    <xf numFmtId="9" fontId="7" fillId="3" borderId="36" xfId="0" applyNumberFormat="1" applyFont="1" applyFill="1" applyBorder="1" applyAlignment="1">
      <alignment horizontal="right" vertical="center"/>
    </xf>
    <xf numFmtId="9" fontId="4" fillId="4" borderId="39" xfId="3" applyFont="1" applyFill="1" applyBorder="1" applyAlignment="1">
      <alignment horizontal="center" vertical="center" wrapText="1"/>
    </xf>
    <xf numFmtId="0" fontId="4" fillId="3" borderId="11" xfId="0" applyFont="1" applyFill="1" applyBorder="1" applyAlignment="1">
      <alignment horizontal="center" vertical="top" wrapText="1"/>
    </xf>
    <xf numFmtId="0" fontId="14" fillId="3" borderId="11" xfId="0" applyFont="1" applyFill="1" applyBorder="1" applyAlignment="1" applyProtection="1">
      <alignment horizontal="center" vertical="top"/>
      <protection locked="0"/>
    </xf>
    <xf numFmtId="0" fontId="4" fillId="3" borderId="11" xfId="0" applyFont="1" applyFill="1" applyBorder="1" applyAlignment="1" applyProtection="1">
      <alignment horizontal="center" vertical="top"/>
      <protection locked="0"/>
    </xf>
    <xf numFmtId="0" fontId="4" fillId="3" borderId="34" xfId="0" applyFont="1" applyFill="1" applyBorder="1" applyAlignment="1">
      <alignment vertical="center" wrapText="1"/>
    </xf>
    <xf numFmtId="9" fontId="4" fillId="34" borderId="8" xfId="3" applyFont="1" applyFill="1" applyBorder="1" applyAlignment="1">
      <alignment horizontal="center" vertical="center" wrapText="1"/>
    </xf>
    <xf numFmtId="0" fontId="4" fillId="0" borderId="12" xfId="0" applyFont="1" applyBorder="1" applyAlignment="1" applyProtection="1">
      <alignment horizontal="left" vertical="top" wrapText="1"/>
      <protection locked="0"/>
    </xf>
    <xf numFmtId="0" fontId="55" fillId="0" borderId="15" xfId="0" applyFont="1" applyBorder="1" applyAlignment="1">
      <alignment horizontal="center" vertical="center"/>
    </xf>
    <xf numFmtId="0" fontId="4" fillId="3" borderId="55" xfId="0" applyFont="1" applyFill="1" applyBorder="1" applyAlignment="1" applyProtection="1">
      <alignment vertical="top"/>
      <protection locked="0"/>
    </xf>
    <xf numFmtId="0" fontId="0" fillId="3" borderId="20"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4" fillId="3" borderId="12" xfId="0" applyFont="1" applyFill="1" applyBorder="1" applyAlignment="1" applyProtection="1">
      <alignment horizontal="center" vertical="top" wrapText="1"/>
      <protection locked="0"/>
    </xf>
    <xf numFmtId="0" fontId="0" fillId="3" borderId="51" xfId="0" applyFill="1" applyBorder="1" applyAlignment="1" applyProtection="1">
      <alignment horizontal="center" vertical="center"/>
      <protection locked="0"/>
    </xf>
    <xf numFmtId="0" fontId="62" fillId="3" borderId="8" xfId="0" applyFont="1" applyFill="1" applyBorder="1" applyAlignment="1" applyProtection="1">
      <alignment horizontal="left" vertical="top"/>
      <protection locked="0"/>
    </xf>
    <xf numFmtId="0" fontId="4" fillId="6" borderId="14" xfId="0" applyFont="1" applyFill="1" applyBorder="1" applyAlignment="1">
      <alignment horizontal="center" vertical="center"/>
    </xf>
    <xf numFmtId="0" fontId="4" fillId="6" borderId="12" xfId="0" applyFont="1" applyFill="1" applyBorder="1" applyAlignment="1">
      <alignment horizontal="center" vertical="center"/>
    </xf>
    <xf numFmtId="3" fontId="4" fillId="4" borderId="13" xfId="0" applyNumberFormat="1" applyFont="1" applyFill="1" applyBorder="1" applyAlignment="1">
      <alignment horizontal="center" vertical="center"/>
    </xf>
    <xf numFmtId="0" fontId="0" fillId="0" borderId="0" xfId="0" applyAlignment="1" applyProtection="1">
      <alignment horizontal="center" vertical="center"/>
      <protection locked="0"/>
    </xf>
    <xf numFmtId="0" fontId="4" fillId="3" borderId="8" xfId="0" applyFont="1" applyFill="1" applyBorder="1" applyAlignment="1" applyProtection="1">
      <alignment horizontal="left" vertical="center" wrapText="1"/>
      <protection locked="0"/>
    </xf>
    <xf numFmtId="0" fontId="4" fillId="25" borderId="63" xfId="0" applyFont="1" applyFill="1" applyBorder="1" applyAlignment="1">
      <alignment vertical="center" wrapText="1"/>
    </xf>
    <xf numFmtId="0" fontId="4" fillId="39" borderId="63" xfId="0" applyFont="1" applyFill="1" applyBorder="1" applyAlignment="1">
      <alignment vertical="center" wrapText="1"/>
    </xf>
    <xf numFmtId="9" fontId="4" fillId="6" borderId="8" xfId="0" applyNumberFormat="1" applyFont="1" applyFill="1" applyBorder="1" applyAlignment="1">
      <alignment horizontal="center" vertical="center"/>
    </xf>
    <xf numFmtId="9" fontId="4" fillId="4" borderId="8" xfId="3" applyFont="1" applyFill="1" applyBorder="1" applyAlignment="1" applyProtection="1">
      <alignment vertical="center"/>
    </xf>
    <xf numFmtId="9" fontId="0" fillId="0" borderId="0" xfId="0" applyNumberFormat="1" applyAlignment="1">
      <alignment vertical="center"/>
    </xf>
    <xf numFmtId="0" fontId="4" fillId="3" borderId="13"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right" vertical="center"/>
    </xf>
    <xf numFmtId="0" fontId="23" fillId="6" borderId="12" xfId="0" applyFont="1" applyFill="1" applyBorder="1" applyAlignment="1">
      <alignment vertical="center"/>
    </xf>
    <xf numFmtId="9" fontId="0" fillId="6" borderId="12" xfId="0" applyNumberFormat="1" applyFill="1" applyBorder="1" applyAlignment="1">
      <alignment horizontal="center" vertical="center"/>
    </xf>
    <xf numFmtId="0" fontId="17" fillId="0" borderId="0" xfId="2" applyFill="1" applyAlignment="1" applyProtection="1">
      <alignment vertical="center"/>
    </xf>
    <xf numFmtId="0" fontId="17" fillId="0" borderId="0" xfId="2" applyFill="1" applyBorder="1" applyAlignment="1" applyProtection="1">
      <alignment vertical="center"/>
    </xf>
    <xf numFmtId="0" fontId="46" fillId="0" borderId="0" xfId="0" applyFont="1" applyAlignment="1" applyProtection="1">
      <alignment vertical="center"/>
      <protection locked="0"/>
    </xf>
    <xf numFmtId="0" fontId="4" fillId="3" borderId="12" xfId="0" applyFont="1" applyFill="1" applyBorder="1" applyAlignment="1">
      <alignment horizontal="center" vertical="center"/>
    </xf>
    <xf numFmtId="0" fontId="4" fillId="3" borderId="10" xfId="0" applyFont="1" applyFill="1" applyBorder="1" applyAlignment="1" applyProtection="1">
      <alignment horizontal="center" vertical="center"/>
      <protection locked="0"/>
    </xf>
    <xf numFmtId="9" fontId="4" fillId="4" borderId="14" xfId="0" applyNumberFormat="1" applyFont="1" applyFill="1" applyBorder="1" applyAlignment="1">
      <alignment horizontal="center" vertical="center"/>
    </xf>
    <xf numFmtId="9" fontId="0" fillId="0" borderId="0" xfId="3" applyFont="1" applyAlignment="1" applyProtection="1">
      <alignment vertical="center"/>
    </xf>
    <xf numFmtId="0" fontId="4" fillId="0" borderId="13" xfId="0" applyFont="1" applyBorder="1" applyAlignment="1" applyProtection="1">
      <alignment vertical="center" wrapText="1"/>
      <protection locked="0"/>
    </xf>
    <xf numFmtId="0" fontId="4" fillId="0" borderId="10" xfId="0" applyFont="1" applyBorder="1" applyAlignment="1" applyProtection="1">
      <alignment horizontal="center"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5" fillId="0" borderId="8"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17" fillId="3" borderId="8" xfId="2" applyFill="1" applyBorder="1" applyAlignment="1" applyProtection="1">
      <alignment horizontal="left" vertical="center" wrapText="1"/>
      <protection locked="0"/>
    </xf>
    <xf numFmtId="0" fontId="7" fillId="0" borderId="0" xfId="0" applyFont="1" applyAlignment="1" applyProtection="1">
      <alignment vertical="center"/>
      <protection locked="0"/>
    </xf>
    <xf numFmtId="0" fontId="4" fillId="5" borderId="8" xfId="0" applyFont="1" applyFill="1" applyBorder="1" applyAlignment="1" applyProtection="1">
      <alignment horizontal="left" vertical="center"/>
      <protection locked="0"/>
    </xf>
    <xf numFmtId="0" fontId="12" fillId="0" borderId="14" xfId="0" applyFont="1" applyBorder="1" applyAlignment="1" applyProtection="1">
      <alignment vertical="center" wrapText="1"/>
      <protection locked="0"/>
    </xf>
    <xf numFmtId="0" fontId="12" fillId="0" borderId="15" xfId="0" applyFont="1" applyBorder="1" applyAlignment="1" applyProtection="1">
      <alignment vertical="center" wrapText="1"/>
      <protection locked="0"/>
    </xf>
    <xf numFmtId="0" fontId="12" fillId="0" borderId="7" xfId="0" applyFont="1" applyBorder="1" applyAlignment="1" applyProtection="1">
      <alignment vertical="center" wrapText="1"/>
      <protection locked="0"/>
    </xf>
    <xf numFmtId="17" fontId="4" fillId="0" borderId="13" xfId="0" applyNumberFormat="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0" xfId="0" applyFont="1" applyAlignment="1" applyProtection="1">
      <alignment horizontal="center" vertical="center" wrapText="1"/>
      <protection locked="0"/>
    </xf>
    <xf numFmtId="0" fontId="12" fillId="0" borderId="12" xfId="0" applyFont="1" applyBorder="1" applyAlignment="1" applyProtection="1">
      <alignment vertical="center" wrapText="1"/>
      <protection locked="0"/>
    </xf>
    <xf numFmtId="0" fontId="12"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4" fillId="0" borderId="12" xfId="0" applyFont="1" applyBorder="1" applyAlignment="1" applyProtection="1">
      <alignment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0" fillId="0" borderId="6" xfId="0"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65" fillId="12" borderId="15" xfId="5" applyFont="1" applyFill="1" applyBorder="1" applyAlignment="1">
      <alignment wrapText="1"/>
    </xf>
    <xf numFmtId="0" fontId="28" fillId="0" borderId="0" xfId="0" applyFont="1"/>
    <xf numFmtId="0" fontId="28" fillId="0" borderId="6" xfId="0" applyFont="1" applyBorder="1"/>
    <xf numFmtId="3" fontId="8" fillId="3" borderId="8" xfId="0" applyNumberFormat="1" applyFont="1" applyFill="1" applyBorder="1" applyAlignment="1" applyProtection="1">
      <alignment horizontal="center" wrapText="1"/>
      <protection locked="0"/>
    </xf>
    <xf numFmtId="0" fontId="28" fillId="0" borderId="8" xfId="0" applyFont="1" applyBorder="1"/>
    <xf numFmtId="0" fontId="28" fillId="0" borderId="0" xfId="0" applyFont="1" applyProtection="1">
      <protection locked="0"/>
    </xf>
    <xf numFmtId="0" fontId="23" fillId="6" borderId="12" xfId="1" applyFont="1" applyFill="1" applyBorder="1" applyAlignment="1" applyProtection="1">
      <alignment vertical="top"/>
    </xf>
    <xf numFmtId="0" fontId="8" fillId="3" borderId="11"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9" fontId="8" fillId="3" borderId="14" xfId="0" applyNumberFormat="1" applyFont="1" applyFill="1" applyBorder="1" applyAlignment="1" applyProtection="1">
      <alignment vertical="center"/>
      <protection locked="0"/>
    </xf>
    <xf numFmtId="9" fontId="8" fillId="3" borderId="12" xfId="0" applyNumberFormat="1" applyFont="1" applyFill="1" applyBorder="1" applyAlignment="1" applyProtection="1">
      <alignment vertical="center"/>
      <protection locked="0"/>
    </xf>
    <xf numFmtId="0" fontId="4" fillId="9" borderId="7" xfId="0" applyFont="1" applyFill="1" applyBorder="1" applyAlignment="1">
      <alignment horizontal="center" vertical="center"/>
    </xf>
    <xf numFmtId="0" fontId="7" fillId="0" borderId="0" xfId="0" applyFont="1" applyAlignment="1">
      <alignment wrapText="1"/>
    </xf>
    <xf numFmtId="0" fontId="66" fillId="0" borderId="33" xfId="0" applyFont="1" applyBorder="1" applyAlignment="1">
      <alignment vertical="center"/>
    </xf>
    <xf numFmtId="0" fontId="3" fillId="0" borderId="13" xfId="0" applyFont="1" applyBorder="1" applyAlignment="1">
      <alignment vertical="top"/>
    </xf>
    <xf numFmtId="0" fontId="4" fillId="3" borderId="31" xfId="0" applyFont="1" applyFill="1" applyBorder="1" applyAlignment="1" applyProtection="1">
      <alignment horizontal="center" vertical="center" wrapText="1"/>
      <protection locked="0"/>
    </xf>
    <xf numFmtId="0" fontId="7" fillId="3" borderId="66" xfId="0" applyFont="1" applyFill="1" applyBorder="1" applyAlignment="1" applyProtection="1">
      <alignment horizontal="center" vertical="center"/>
      <protection locked="0"/>
    </xf>
    <xf numFmtId="0" fontId="0" fillId="0" borderId="8" xfId="0" applyBorder="1" applyAlignment="1">
      <alignment vertical="center"/>
    </xf>
    <xf numFmtId="3" fontId="8" fillId="3" borderId="8" xfId="0" applyNumberFormat="1" applyFont="1" applyFill="1" applyBorder="1" applyAlignment="1" applyProtection="1">
      <alignment vertical="top" wrapText="1"/>
      <protection locked="0"/>
    </xf>
    <xf numFmtId="3" fontId="68" fillId="3" borderId="54" xfId="0" applyNumberFormat="1" applyFont="1" applyFill="1" applyBorder="1" applyAlignment="1" applyProtection="1">
      <alignment vertical="center" wrapText="1"/>
      <protection locked="0"/>
    </xf>
    <xf numFmtId="3" fontId="68" fillId="3" borderId="39" xfId="0" applyNumberFormat="1" applyFont="1" applyFill="1" applyBorder="1" applyAlignment="1" applyProtection="1">
      <alignment vertical="center" wrapText="1"/>
      <protection locked="0"/>
    </xf>
    <xf numFmtId="0" fontId="9" fillId="3" borderId="12" xfId="0" applyFont="1" applyFill="1" applyBorder="1" applyAlignment="1">
      <alignment wrapText="1"/>
    </xf>
    <xf numFmtId="0" fontId="9" fillId="3" borderId="12" xfId="0" applyFont="1" applyFill="1" applyBorder="1" applyAlignment="1">
      <alignment vertical="center" wrapText="1"/>
    </xf>
    <xf numFmtId="0" fontId="8" fillId="3" borderId="12" xfId="0" applyFont="1" applyFill="1" applyBorder="1" applyAlignment="1" applyProtection="1">
      <alignment vertical="top" wrapText="1"/>
      <protection locked="0"/>
    </xf>
    <xf numFmtId="0" fontId="51" fillId="22" borderId="50" xfId="0" applyFont="1" applyFill="1" applyBorder="1" applyAlignment="1">
      <alignment vertical="center" wrapText="1"/>
    </xf>
    <xf numFmtId="0" fontId="51" fillId="3" borderId="50" xfId="0" applyFont="1" applyFill="1" applyBorder="1" applyAlignment="1" applyProtection="1">
      <alignment vertical="top" wrapText="1"/>
      <protection locked="0"/>
    </xf>
    <xf numFmtId="0" fontId="51" fillId="24" borderId="51" xfId="0" applyFont="1" applyFill="1" applyBorder="1" applyAlignment="1">
      <alignment vertical="center" wrapText="1"/>
    </xf>
    <xf numFmtId="0" fontId="52" fillId="23" borderId="19" xfId="0" applyFont="1" applyFill="1" applyBorder="1" applyAlignment="1">
      <alignment horizontal="center" vertical="center" wrapText="1"/>
    </xf>
    <xf numFmtId="0" fontId="51" fillId="3" borderId="19" xfId="0" applyFont="1" applyFill="1" applyBorder="1" applyAlignment="1" applyProtection="1">
      <alignment horizontal="center" vertical="top" wrapText="1"/>
      <protection locked="0"/>
    </xf>
    <xf numFmtId="0" fontId="51" fillId="3" borderId="53" xfId="0" applyFont="1" applyFill="1" applyBorder="1" applyAlignment="1" applyProtection="1">
      <alignment horizontal="center" vertical="center" wrapText="1"/>
      <protection locked="0"/>
    </xf>
    <xf numFmtId="0" fontId="51" fillId="3" borderId="50" xfId="0" applyFont="1" applyFill="1" applyBorder="1" applyAlignment="1" applyProtection="1">
      <alignment horizontal="center" vertical="center"/>
      <protection locked="0"/>
    </xf>
    <xf numFmtId="0" fontId="51" fillId="3" borderId="51" xfId="0" applyFont="1" applyFill="1" applyBorder="1" applyAlignment="1" applyProtection="1">
      <alignment horizontal="center" vertical="center"/>
      <protection locked="0"/>
    </xf>
    <xf numFmtId="9" fontId="4" fillId="6" borderId="8" xfId="3" applyFont="1" applyFill="1" applyBorder="1" applyAlignment="1">
      <alignment horizontal="center" vertical="center"/>
    </xf>
    <xf numFmtId="9" fontId="4" fillId="4" borderId="8" xfId="3" applyFont="1" applyFill="1" applyBorder="1" applyAlignment="1">
      <alignment horizontal="center" vertical="center"/>
    </xf>
    <xf numFmtId="0" fontId="4" fillId="37" borderId="0" xfId="0" applyFont="1" applyFill="1" applyAlignment="1">
      <alignment horizontal="left" vertical="center" wrapText="1"/>
    </xf>
    <xf numFmtId="0" fontId="4" fillId="37" borderId="64" xfId="0" applyFont="1" applyFill="1" applyBorder="1" applyAlignment="1">
      <alignment horizontal="left" vertical="center" wrapText="1"/>
    </xf>
    <xf numFmtId="0" fontId="4" fillId="37" borderId="63" xfId="0" applyFont="1" applyFill="1" applyBorder="1" applyAlignment="1">
      <alignment vertical="center" wrapText="1"/>
    </xf>
    <xf numFmtId="0" fontId="4" fillId="35" borderId="63" xfId="0" applyFont="1" applyFill="1" applyBorder="1" applyAlignment="1">
      <alignment vertical="center" wrapText="1"/>
    </xf>
    <xf numFmtId="0" fontId="29" fillId="0" borderId="4" xfId="0" applyFont="1" applyBorder="1" applyAlignment="1">
      <alignment horizontal="center" vertical="center" wrapText="1"/>
    </xf>
    <xf numFmtId="0" fontId="29" fillId="0" borderId="8" xfId="0" applyFont="1" applyBorder="1" applyAlignment="1">
      <alignment horizontal="center" vertical="center" wrapText="1"/>
    </xf>
    <xf numFmtId="169" fontId="4" fillId="3" borderId="8" xfId="0" applyNumberFormat="1" applyFont="1" applyFill="1" applyBorder="1" applyAlignment="1" applyProtection="1">
      <alignment vertical="center" wrapText="1"/>
      <protection locked="0"/>
    </xf>
    <xf numFmtId="10" fontId="4" fillId="3" borderId="32" xfId="0" applyNumberFormat="1" applyFont="1" applyFill="1" applyBorder="1" applyAlignment="1">
      <alignment horizontal="center" vertical="center" wrapText="1"/>
    </xf>
    <xf numFmtId="0" fontId="4" fillId="3" borderId="30" xfId="0" applyFont="1" applyFill="1" applyBorder="1" applyAlignment="1">
      <alignment vertical="center" wrapText="1"/>
    </xf>
    <xf numFmtId="9" fontId="4" fillId="34" borderId="69" xfId="3" applyFont="1" applyFill="1" applyBorder="1" applyAlignment="1">
      <alignment horizontal="center" vertical="center" wrapText="1"/>
    </xf>
    <xf numFmtId="0" fontId="4" fillId="3" borderId="70" xfId="0" applyFont="1" applyFill="1" applyBorder="1" applyAlignment="1">
      <alignment vertical="top" wrapText="1"/>
    </xf>
    <xf numFmtId="0" fontId="4" fillId="21" borderId="26" xfId="0" applyFont="1" applyFill="1" applyBorder="1" applyAlignment="1">
      <alignment vertical="center" wrapText="1"/>
    </xf>
    <xf numFmtId="0" fontId="14" fillId="3" borderId="12" xfId="0" applyFont="1" applyFill="1" applyBorder="1" applyAlignment="1" applyProtection="1">
      <alignment horizontal="center" vertical="top"/>
      <protection locked="0"/>
    </xf>
    <xf numFmtId="169" fontId="7" fillId="3" borderId="30" xfId="0" applyNumberFormat="1" applyFont="1" applyFill="1" applyBorder="1" applyAlignment="1" applyProtection="1">
      <alignment horizontal="right" vertical="center"/>
      <protection locked="0"/>
    </xf>
    <xf numFmtId="169" fontId="7" fillId="3" borderId="16" xfId="0" applyNumberFormat="1" applyFont="1" applyFill="1" applyBorder="1" applyAlignment="1" applyProtection="1">
      <alignment horizontal="right" vertical="center"/>
      <protection locked="0"/>
    </xf>
    <xf numFmtId="169" fontId="7" fillId="3" borderId="36" xfId="0" applyNumberFormat="1" applyFont="1" applyFill="1" applyBorder="1" applyAlignment="1" applyProtection="1">
      <alignment horizontal="right" vertical="center"/>
      <protection locked="0"/>
    </xf>
    <xf numFmtId="0" fontId="8" fillId="9" borderId="8" xfId="0" applyFont="1" applyFill="1" applyBorder="1" applyAlignment="1">
      <alignment horizontal="center" vertical="center" wrapText="1"/>
    </xf>
    <xf numFmtId="0" fontId="7" fillId="40" borderId="12" xfId="0" applyFont="1" applyFill="1" applyBorder="1" applyAlignment="1">
      <alignment vertical="top" wrapText="1"/>
    </xf>
    <xf numFmtId="0" fontId="0" fillId="40" borderId="12" xfId="0" applyFill="1" applyBorder="1" applyAlignment="1">
      <alignment vertical="top" wrapText="1"/>
    </xf>
    <xf numFmtId="0" fontId="0" fillId="40" borderId="12" xfId="0" applyFill="1" applyBorder="1" applyAlignment="1">
      <alignment vertical="center" wrapText="1"/>
    </xf>
    <xf numFmtId="0" fontId="7" fillId="40" borderId="12" xfId="0" applyFont="1" applyFill="1" applyBorder="1" applyAlignment="1">
      <alignment vertical="center"/>
    </xf>
    <xf numFmtId="0" fontId="7" fillId="40" borderId="12" xfId="0" applyFont="1" applyFill="1" applyBorder="1" applyAlignment="1">
      <alignment vertical="center" wrapText="1"/>
    </xf>
    <xf numFmtId="0" fontId="3" fillId="40" borderId="7" xfId="0" applyFont="1" applyFill="1" applyBorder="1" applyAlignment="1">
      <alignment horizontal="center" vertical="center" wrapText="1"/>
    </xf>
    <xf numFmtId="0" fontId="8" fillId="21" borderId="5" xfId="0" applyFont="1" applyFill="1" applyBorder="1" applyAlignment="1">
      <alignment vertical="center" wrapText="1"/>
    </xf>
    <xf numFmtId="0" fontId="8" fillId="3" borderId="6" xfId="0" applyFont="1" applyFill="1" applyBorder="1" applyAlignment="1" applyProtection="1">
      <alignment horizontal="left" vertical="center" wrapText="1"/>
      <protection locked="0"/>
    </xf>
    <xf numFmtId="3" fontId="43" fillId="3" borderId="62" xfId="5" applyNumberFormat="1" applyFont="1" applyFill="1" applyBorder="1" applyAlignment="1">
      <alignment vertical="center" wrapText="1"/>
    </xf>
    <xf numFmtId="3" fontId="3" fillId="4" borderId="12" xfId="0" applyNumberFormat="1" applyFont="1" applyFill="1" applyBorder="1" applyAlignment="1">
      <alignment horizontal="center" vertical="top"/>
    </xf>
    <xf numFmtId="0" fontId="3" fillId="3" borderId="7" xfId="0" applyFont="1" applyFill="1" applyBorder="1" applyAlignment="1" applyProtection="1">
      <alignment vertical="top"/>
      <protection locked="0"/>
    </xf>
    <xf numFmtId="3" fontId="3" fillId="4" borderId="13" xfId="0" applyNumberFormat="1" applyFont="1" applyFill="1" applyBorder="1" applyAlignment="1">
      <alignment horizontal="center" vertical="top"/>
    </xf>
    <xf numFmtId="3" fontId="4" fillId="4" borderId="12" xfId="0" applyNumberFormat="1" applyFont="1" applyFill="1" applyBorder="1" applyAlignment="1">
      <alignment vertical="center"/>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59"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pplyProtection="1">
      <alignment horizontal="center" vertical="center"/>
      <protection locked="0"/>
    </xf>
    <xf numFmtId="0" fontId="7" fillId="6" borderId="34" xfId="3" applyNumberFormat="1" applyFont="1" applyFill="1" applyBorder="1" applyAlignment="1" applyProtection="1">
      <alignment horizontal="left" vertical="center" wrapText="1"/>
      <protection hidden="1"/>
    </xf>
    <xf numFmtId="0" fontId="7" fillId="6" borderId="71" xfId="3" applyNumberFormat="1" applyFont="1" applyFill="1" applyBorder="1" applyAlignment="1" applyProtection="1">
      <alignment horizontal="left" vertical="center"/>
      <protection locked="0"/>
    </xf>
    <xf numFmtId="0" fontId="7" fillId="6" borderId="38" xfId="3" applyNumberFormat="1" applyFont="1" applyFill="1" applyBorder="1" applyAlignment="1" applyProtection="1">
      <alignment horizontal="left" vertical="center" wrapText="1"/>
      <protection hidden="1"/>
    </xf>
    <xf numFmtId="0" fontId="7" fillId="6" borderId="36" xfId="3" applyNumberFormat="1" applyFont="1" applyFill="1" applyBorder="1" applyAlignment="1" applyProtection="1">
      <alignment horizontal="left" vertical="center" wrapText="1"/>
      <protection hidden="1"/>
    </xf>
    <xf numFmtId="0" fontId="7" fillId="6" borderId="60" xfId="3" applyNumberFormat="1" applyFont="1" applyFill="1" applyBorder="1" applyAlignment="1" applyProtection="1">
      <alignment horizontal="left" vertical="center" wrapText="1"/>
      <protection hidden="1"/>
    </xf>
    <xf numFmtId="0" fontId="7" fillId="6" borderId="53" xfId="3" applyNumberFormat="1" applyFont="1" applyFill="1" applyBorder="1" applyAlignment="1" applyProtection="1">
      <alignment horizontal="left" vertical="center"/>
    </xf>
    <xf numFmtId="0" fontId="7" fillId="6" borderId="61" xfId="3" applyNumberFormat="1" applyFont="1" applyFill="1" applyBorder="1" applyAlignment="1" applyProtection="1">
      <alignment horizontal="left" vertical="center"/>
      <protection locked="0"/>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0" fillId="6" borderId="34" xfId="3" applyNumberFormat="1" applyFont="1" applyFill="1" applyBorder="1" applyAlignment="1" applyProtection="1">
      <alignment horizontal="left" vertical="center"/>
    </xf>
    <xf numFmtId="0" fontId="0" fillId="6" borderId="35" xfId="3" applyNumberFormat="1" applyFont="1" applyFill="1" applyBorder="1" applyAlignment="1" applyProtection="1">
      <alignment horizontal="left" vertical="center"/>
    </xf>
    <xf numFmtId="0" fontId="0" fillId="6" borderId="38" xfId="3" applyNumberFormat="1" applyFont="1" applyFill="1" applyBorder="1" applyAlignment="1" applyProtection="1">
      <alignment horizontal="left" vertical="center"/>
    </xf>
    <xf numFmtId="0" fontId="0" fillId="6" borderId="36" xfId="3" applyNumberFormat="1" applyFont="1" applyFill="1" applyBorder="1" applyAlignment="1" applyProtection="1">
      <alignment horizontal="left" vertical="center"/>
    </xf>
    <xf numFmtId="0" fontId="0" fillId="6" borderId="39" xfId="3" applyNumberFormat="1" applyFont="1" applyFill="1" applyBorder="1" applyAlignment="1" applyProtection="1">
      <alignment horizontal="left" vertical="center"/>
    </xf>
    <xf numFmtId="0" fontId="69" fillId="6" borderId="12" xfId="0" applyFont="1" applyFill="1" applyBorder="1" applyAlignment="1">
      <alignment vertical="top"/>
    </xf>
    <xf numFmtId="9" fontId="0" fillId="28" borderId="16" xfId="3" applyFont="1" applyFill="1" applyBorder="1" applyAlignment="1" applyProtection="1">
      <alignment horizontal="center" vertical="center"/>
      <protection hidden="1"/>
    </xf>
    <xf numFmtId="0" fontId="4" fillId="28" borderId="8" xfId="0" applyFont="1" applyFill="1" applyBorder="1" applyAlignment="1">
      <alignment vertical="top" wrapText="1"/>
    </xf>
    <xf numFmtId="0" fontId="4" fillId="0" borderId="8" xfId="0" applyFont="1" applyBorder="1" applyAlignment="1" applyProtection="1">
      <alignment vertical="top" wrapText="1"/>
      <protection locked="0"/>
    </xf>
    <xf numFmtId="9" fontId="8" fillId="3" borderId="7" xfId="0" applyNumberFormat="1" applyFont="1" applyFill="1" applyBorder="1" applyAlignment="1" applyProtection="1">
      <alignment horizontal="center" vertical="center"/>
      <protection locked="0"/>
    </xf>
    <xf numFmtId="0" fontId="70" fillId="0" borderId="0" xfId="0" applyFont="1" applyAlignment="1">
      <alignment vertical="center"/>
    </xf>
    <xf numFmtId="0" fontId="4" fillId="3" borderId="51" xfId="0" applyFont="1" applyFill="1" applyBorder="1" applyAlignment="1" applyProtection="1">
      <alignment horizontal="left" vertical="center" wrapText="1"/>
      <protection locked="0"/>
    </xf>
    <xf numFmtId="0" fontId="58" fillId="0" borderId="8" xfId="0" applyFont="1" applyBorder="1" applyAlignment="1">
      <alignment vertical="center"/>
    </xf>
    <xf numFmtId="9" fontId="4" fillId="4" borderId="12" xfId="3" applyFont="1" applyFill="1" applyBorder="1" applyAlignment="1">
      <alignment horizontal="center" vertical="center" wrapText="1"/>
    </xf>
    <xf numFmtId="0" fontId="4" fillId="3" borderId="58" xfId="0" applyFont="1" applyFill="1" applyBorder="1" applyAlignment="1">
      <alignment vertical="center" wrapText="1"/>
    </xf>
    <xf numFmtId="9" fontId="4" fillId="4" borderId="69" xfId="3" applyFont="1" applyFill="1" applyBorder="1" applyAlignment="1">
      <alignment horizontal="center" vertical="center" wrapText="1"/>
    </xf>
    <xf numFmtId="0" fontId="4" fillId="3" borderId="50" xfId="0" applyFont="1" applyFill="1" applyBorder="1" applyAlignment="1" applyProtection="1">
      <alignment vertical="center" wrapText="1"/>
      <protection locked="0"/>
    </xf>
    <xf numFmtId="0" fontId="4" fillId="3" borderId="68" xfId="0" applyFont="1" applyFill="1" applyBorder="1" applyAlignment="1">
      <alignment vertical="center" wrapText="1"/>
    </xf>
    <xf numFmtId="0" fontId="4" fillId="3" borderId="50" xfId="0" applyFont="1" applyFill="1" applyBorder="1" applyAlignment="1">
      <alignment vertical="center" wrapText="1"/>
    </xf>
    <xf numFmtId="9" fontId="4" fillId="3" borderId="16" xfId="0" applyNumberFormat="1" applyFont="1" applyFill="1" applyBorder="1" applyAlignment="1">
      <alignment horizontal="right" vertical="center" wrapText="1"/>
    </xf>
    <xf numFmtId="10" fontId="4" fillId="3" borderId="30" xfId="0" applyNumberFormat="1" applyFont="1" applyFill="1" applyBorder="1" applyAlignment="1">
      <alignment horizontal="center" vertical="center" wrapText="1"/>
    </xf>
    <xf numFmtId="0" fontId="63" fillId="35" borderId="63" xfId="0" applyFont="1" applyFill="1" applyBorder="1" applyAlignment="1">
      <alignment vertical="center" wrapText="1"/>
    </xf>
    <xf numFmtId="0" fontId="63" fillId="35" borderId="64" xfId="0" applyFont="1" applyFill="1" applyBorder="1" applyAlignment="1">
      <alignment horizontal="left" vertical="center" wrapText="1"/>
    </xf>
    <xf numFmtId="0" fontId="63" fillId="35" borderId="63" xfId="0" applyFont="1" applyFill="1" applyBorder="1" applyAlignment="1">
      <alignment horizontal="left" vertical="center" wrapText="1"/>
    </xf>
    <xf numFmtId="0" fontId="4" fillId="25" borderId="0" xfId="0" applyFont="1" applyFill="1" applyAlignment="1">
      <alignment vertical="center" wrapText="1"/>
    </xf>
    <xf numFmtId="0" fontId="4" fillId="26" borderId="19" xfId="0" applyFont="1" applyFill="1" applyBorder="1" applyAlignment="1">
      <alignment vertical="center" wrapText="1"/>
    </xf>
    <xf numFmtId="0" fontId="63" fillId="35" borderId="0" xfId="0" applyFont="1" applyFill="1" applyAlignment="1">
      <alignment horizontal="left" vertical="center" wrapText="1"/>
    </xf>
    <xf numFmtId="3" fontId="64" fillId="3" borderId="58" xfId="5" applyNumberFormat="1" applyFont="1" applyFill="1" applyBorder="1" applyAlignment="1">
      <alignment vertical="center" wrapText="1"/>
    </xf>
    <xf numFmtId="0" fontId="67" fillId="3" borderId="71" xfId="0" applyFont="1" applyFill="1" applyBorder="1" applyAlignment="1">
      <alignment wrapText="1"/>
    </xf>
    <xf numFmtId="0" fontId="28" fillId="3" borderId="71" xfId="0" applyFont="1" applyFill="1" applyBorder="1" applyAlignment="1">
      <alignment vertical="center"/>
    </xf>
    <xf numFmtId="0" fontId="67" fillId="3" borderId="71" xfId="0" applyFont="1" applyFill="1" applyBorder="1" applyAlignment="1">
      <alignment vertical="center" wrapText="1"/>
    </xf>
    <xf numFmtId="3" fontId="64" fillId="3" borderId="71" xfId="5" applyNumberFormat="1" applyFont="1" applyFill="1" applyBorder="1" applyAlignment="1">
      <alignment wrapText="1"/>
    </xf>
    <xf numFmtId="0" fontId="67" fillId="3" borderId="71" xfId="0" applyFont="1" applyFill="1" applyBorder="1" applyAlignment="1">
      <alignment horizontal="justify" vertical="center" wrapText="1"/>
    </xf>
    <xf numFmtId="3" fontId="64" fillId="3" borderId="72" xfId="5" applyNumberFormat="1" applyFont="1" applyFill="1" applyBorder="1" applyAlignment="1">
      <alignment vertical="center" wrapText="1"/>
    </xf>
    <xf numFmtId="0" fontId="4" fillId="6" borderId="11" xfId="0" applyFont="1" applyFill="1" applyBorder="1" applyAlignment="1">
      <alignment horizontal="center" vertical="center"/>
    </xf>
    <xf numFmtId="0" fontId="4" fillId="6" borderId="13" xfId="0" applyFont="1" applyFill="1" applyBorder="1" applyAlignment="1">
      <alignment horizontal="center" vertical="center"/>
    </xf>
    <xf numFmtId="9" fontId="4" fillId="25" borderId="16" xfId="3" applyFont="1" applyFill="1" applyBorder="1" applyAlignment="1">
      <alignment horizontal="center" vertical="center"/>
    </xf>
    <xf numFmtId="9" fontId="7" fillId="36" borderId="16" xfId="3" applyFont="1" applyFill="1" applyBorder="1" applyAlignment="1">
      <alignment horizontal="center" vertical="center"/>
    </xf>
    <xf numFmtId="9" fontId="7" fillId="3" borderId="16" xfId="3" applyFont="1" applyFill="1" applyBorder="1" applyAlignment="1">
      <alignment horizontal="center" vertical="center" wrapText="1"/>
    </xf>
    <xf numFmtId="9" fontId="7" fillId="3" borderId="16" xfId="0" applyNumberFormat="1" applyFont="1" applyFill="1" applyBorder="1" applyAlignment="1">
      <alignment horizontal="center" vertical="center" wrapText="1"/>
    </xf>
    <xf numFmtId="168" fontId="8" fillId="37" borderId="16" xfId="0" applyNumberFormat="1" applyFont="1" applyFill="1" applyBorder="1" applyAlignment="1">
      <alignment horizontal="right" vertical="center"/>
    </xf>
    <xf numFmtId="169" fontId="4" fillId="37" borderId="16" xfId="0" applyNumberFormat="1" applyFont="1" applyFill="1" applyBorder="1" applyAlignment="1">
      <alignment horizontal="right" vertical="center"/>
    </xf>
    <xf numFmtId="9" fontId="4" fillId="37" borderId="16" xfId="3" applyFont="1" applyFill="1" applyBorder="1" applyAlignment="1">
      <alignment horizontal="center" vertical="center"/>
    </xf>
    <xf numFmtId="9" fontId="63" fillId="3" borderId="31" xfId="3" applyFont="1" applyFill="1" applyBorder="1" applyAlignment="1">
      <alignment horizontal="center" vertical="center" wrapText="1"/>
    </xf>
    <xf numFmtId="9" fontId="4" fillId="25" borderId="32" xfId="3" applyFont="1" applyFill="1" applyBorder="1" applyAlignment="1">
      <alignment horizontal="center" vertical="center"/>
    </xf>
    <xf numFmtId="168" fontId="8" fillId="25" borderId="32" xfId="0" applyNumberFormat="1" applyFont="1" applyFill="1" applyBorder="1" applyAlignment="1">
      <alignment horizontal="right" vertical="center"/>
    </xf>
    <xf numFmtId="168" fontId="4" fillId="25" borderId="32" xfId="0" applyNumberFormat="1" applyFont="1" applyFill="1" applyBorder="1" applyAlignment="1">
      <alignment horizontal="right" vertical="center"/>
    </xf>
    <xf numFmtId="168" fontId="4" fillId="25" borderId="33" xfId="0" applyNumberFormat="1" applyFont="1" applyFill="1" applyBorder="1" applyAlignment="1">
      <alignment horizontal="right" vertical="center"/>
    </xf>
    <xf numFmtId="9" fontId="63" fillId="3" borderId="34" xfId="3" applyFont="1" applyFill="1" applyBorder="1" applyAlignment="1">
      <alignment horizontal="center" vertical="center" wrapText="1"/>
    </xf>
    <xf numFmtId="9" fontId="7" fillId="38" borderId="34" xfId="3" applyFont="1" applyFill="1" applyBorder="1" applyAlignment="1">
      <alignment horizontal="center" vertical="center"/>
    </xf>
    <xf numFmtId="9" fontId="7" fillId="3" borderId="34" xfId="3" applyFont="1" applyFill="1" applyBorder="1" applyAlignment="1">
      <alignment horizontal="center" vertical="center" wrapText="1"/>
    </xf>
    <xf numFmtId="169" fontId="4" fillId="37" borderId="35" xfId="0" applyNumberFormat="1" applyFont="1" applyFill="1" applyBorder="1" applyAlignment="1">
      <alignment horizontal="right" vertical="center"/>
    </xf>
    <xf numFmtId="9" fontId="4" fillId="39" borderId="38" xfId="3" applyFont="1" applyFill="1" applyBorder="1" applyAlignment="1">
      <alignment horizontal="center" vertical="center"/>
    </xf>
    <xf numFmtId="9" fontId="4" fillId="39" borderId="36" xfId="3" applyFont="1" applyFill="1" applyBorder="1" applyAlignment="1">
      <alignment horizontal="center" vertical="center"/>
    </xf>
    <xf numFmtId="168" fontId="28" fillId="20" borderId="48" xfId="0" applyNumberFormat="1" applyFont="1" applyFill="1" applyBorder="1" applyAlignment="1">
      <alignment horizontal="right" vertical="center"/>
    </xf>
    <xf numFmtId="168" fontId="28" fillId="20" borderId="6" xfId="0" applyNumberFormat="1" applyFont="1" applyFill="1" applyBorder="1" applyAlignment="1">
      <alignment horizontal="right" vertical="center"/>
    </xf>
    <xf numFmtId="169" fontId="4" fillId="3" borderId="8" xfId="0" applyNumberFormat="1" applyFont="1" applyFill="1" applyBorder="1" applyAlignment="1" applyProtection="1">
      <alignment vertical="center"/>
      <protection locked="0"/>
    </xf>
    <xf numFmtId="169" fontId="7" fillId="3" borderId="8" xfId="0" applyNumberFormat="1" applyFont="1" applyFill="1" applyBorder="1" applyAlignment="1" applyProtection="1">
      <alignment vertical="center"/>
      <protection locked="0"/>
    </xf>
    <xf numFmtId="170" fontId="49" fillId="3" borderId="37" xfId="11" applyNumberFormat="1" applyFont="1" applyFill="1" applyBorder="1" applyAlignment="1" applyProtection="1">
      <alignment vertical="center"/>
      <protection locked="0"/>
    </xf>
    <xf numFmtId="168" fontId="49" fillId="20" borderId="16" xfId="0" applyNumberFormat="1" applyFont="1" applyFill="1" applyBorder="1" applyAlignment="1">
      <alignment horizontal="right" vertical="center"/>
    </xf>
    <xf numFmtId="44" fontId="7" fillId="3" borderId="36" xfId="11" applyFont="1" applyFill="1" applyBorder="1" applyAlignment="1" applyProtection="1">
      <alignment vertical="center"/>
      <protection locked="0"/>
    </xf>
    <xf numFmtId="169" fontId="7" fillId="3" borderId="36" xfId="0" applyNumberFormat="1" applyFont="1" applyFill="1" applyBorder="1" applyAlignment="1" applyProtection="1">
      <alignment horizontal="center" vertical="center"/>
      <protection locked="0"/>
    </xf>
    <xf numFmtId="0" fontId="7" fillId="3" borderId="8" xfId="0" applyFont="1" applyFill="1" applyBorder="1" applyAlignment="1" applyProtection="1">
      <alignment vertical="center" wrapText="1"/>
      <protection locked="0"/>
    </xf>
    <xf numFmtId="170" fontId="4" fillId="4" borderId="13" xfId="11" applyNumberFormat="1" applyFont="1" applyFill="1" applyBorder="1" applyAlignment="1">
      <alignment vertical="center"/>
    </xf>
    <xf numFmtId="170" fontId="4" fillId="4" borderId="13" xfId="11" applyNumberFormat="1" applyFont="1" applyFill="1" applyBorder="1" applyAlignment="1">
      <alignment horizontal="center" vertical="center"/>
    </xf>
    <xf numFmtId="170" fontId="4" fillId="4" borderId="13" xfId="11" applyNumberFormat="1" applyFont="1" applyFill="1" applyBorder="1" applyAlignment="1" applyProtection="1">
      <alignment vertical="center"/>
      <protection locked="0"/>
    </xf>
    <xf numFmtId="170" fontId="7" fillId="3" borderId="8" xfId="11" applyNumberFormat="1" applyFont="1" applyFill="1" applyBorder="1" applyAlignment="1" applyProtection="1">
      <alignment vertical="center"/>
      <protection locked="0"/>
    </xf>
    <xf numFmtId="170" fontId="4" fillId="4" borderId="13" xfId="11" applyNumberFormat="1" applyFont="1" applyFill="1" applyBorder="1" applyAlignment="1">
      <alignment vertical="top"/>
    </xf>
    <xf numFmtId="0" fontId="8" fillId="0" borderId="7" xfId="0" applyFont="1" applyBorder="1" applyAlignment="1">
      <alignment vertical="center" wrapText="1"/>
    </xf>
    <xf numFmtId="0" fontId="54" fillId="0" borderId="8" xfId="0" applyFont="1" applyBorder="1" applyAlignment="1">
      <alignment vertical="center" wrapText="1"/>
    </xf>
    <xf numFmtId="168" fontId="40" fillId="33" borderId="20" xfId="0" applyNumberFormat="1" applyFont="1" applyFill="1" applyBorder="1" applyAlignment="1">
      <alignment horizontal="right" vertical="center"/>
    </xf>
    <xf numFmtId="168" fontId="40" fillId="33" borderId="18" xfId="0" applyNumberFormat="1" applyFont="1" applyFill="1" applyBorder="1" applyAlignment="1">
      <alignment horizontal="right" vertical="center"/>
    </xf>
    <xf numFmtId="168" fontId="40" fillId="22" borderId="20" xfId="0" applyNumberFormat="1" applyFont="1" applyFill="1" applyBorder="1" applyAlignment="1">
      <alignment horizontal="right" vertical="center"/>
    </xf>
    <xf numFmtId="169" fontId="40" fillId="3" borderId="18" xfId="0" applyNumberFormat="1" applyFont="1" applyFill="1" applyBorder="1" applyAlignment="1" applyProtection="1">
      <alignment vertical="center"/>
      <protection locked="0"/>
    </xf>
    <xf numFmtId="168" fontId="40" fillId="24" borderId="56" xfId="0" applyNumberFormat="1" applyFont="1" applyFill="1" applyBorder="1" applyAlignment="1">
      <alignment horizontal="right" vertical="center"/>
    </xf>
    <xf numFmtId="168" fontId="40" fillId="20" borderId="60" xfId="0" applyNumberFormat="1" applyFont="1" applyFill="1" applyBorder="1" applyAlignment="1">
      <alignment horizontal="right" vertical="center"/>
    </xf>
    <xf numFmtId="170" fontId="51" fillId="4" borderId="13" xfId="11" applyNumberFormat="1" applyFont="1" applyFill="1" applyBorder="1" applyAlignment="1">
      <alignment vertical="top"/>
    </xf>
    <xf numFmtId="170" fontId="51" fillId="4" borderId="10" xfId="11" applyNumberFormat="1" applyFont="1" applyFill="1" applyBorder="1" applyAlignment="1">
      <alignment vertical="top"/>
    </xf>
    <xf numFmtId="170" fontId="4" fillId="0" borderId="12" xfId="11" applyNumberFormat="1" applyFont="1" applyBorder="1" applyAlignment="1">
      <alignment vertical="top"/>
    </xf>
    <xf numFmtId="169" fontId="7" fillId="3" borderId="30" xfId="4" applyNumberFormat="1" applyFont="1" applyFill="1" applyBorder="1" applyAlignment="1" applyProtection="1">
      <alignment horizontal="right" vertical="center"/>
      <protection locked="0"/>
    </xf>
    <xf numFmtId="168" fontId="14" fillId="25" borderId="16" xfId="0" applyNumberFormat="1" applyFont="1" applyFill="1" applyBorder="1" applyAlignment="1">
      <alignment horizontal="right" vertical="center"/>
    </xf>
    <xf numFmtId="168" fontId="14" fillId="25" borderId="35" xfId="0" applyNumberFormat="1" applyFont="1" applyFill="1" applyBorder="1" applyAlignment="1">
      <alignment horizontal="right" vertical="center"/>
    </xf>
    <xf numFmtId="168" fontId="14" fillId="35" borderId="16" xfId="0" applyNumberFormat="1" applyFont="1" applyFill="1" applyBorder="1" applyAlignment="1">
      <alignment horizontal="right" vertical="center"/>
    </xf>
    <xf numFmtId="168" fontId="14" fillId="35" borderId="35" xfId="0" applyNumberFormat="1" applyFont="1" applyFill="1" applyBorder="1" applyAlignment="1">
      <alignment horizontal="right" vertical="center"/>
    </xf>
    <xf numFmtId="0" fontId="14" fillId="35" borderId="16" xfId="0" applyFont="1" applyFill="1" applyBorder="1" applyAlignment="1">
      <alignment horizontal="right" vertical="center"/>
    </xf>
    <xf numFmtId="169" fontId="14" fillId="35" borderId="16" xfId="0" applyNumberFormat="1" applyFont="1" applyFill="1" applyBorder="1" applyAlignment="1">
      <alignment horizontal="right" vertical="center"/>
    </xf>
    <xf numFmtId="169" fontId="14" fillId="35" borderId="35" xfId="0" applyNumberFormat="1" applyFont="1" applyFill="1" applyBorder="1" applyAlignment="1">
      <alignment horizontal="right" vertical="center"/>
    </xf>
    <xf numFmtId="169" fontId="14" fillId="25" borderId="35" xfId="0" applyNumberFormat="1" applyFont="1" applyFill="1" applyBorder="1" applyAlignment="1">
      <alignment horizontal="right" vertical="center"/>
    </xf>
    <xf numFmtId="168" fontId="14" fillId="26" borderId="16" xfId="0" applyNumberFormat="1" applyFont="1" applyFill="1" applyBorder="1" applyAlignment="1">
      <alignment horizontal="right" vertical="center"/>
    </xf>
    <xf numFmtId="169" fontId="14" fillId="26" borderId="16" xfId="0" applyNumberFormat="1" applyFont="1" applyFill="1" applyBorder="1" applyAlignment="1">
      <alignment horizontal="right" vertical="center"/>
    </xf>
    <xf numFmtId="169" fontId="14" fillId="26" borderId="35" xfId="0" applyNumberFormat="1" applyFont="1" applyFill="1" applyBorder="1" applyAlignment="1">
      <alignment horizontal="right" vertical="center"/>
    </xf>
    <xf numFmtId="168" fontId="14" fillId="37" borderId="16" xfId="0" applyNumberFormat="1" applyFont="1" applyFill="1" applyBorder="1" applyAlignment="1">
      <alignment horizontal="right" vertical="center"/>
    </xf>
    <xf numFmtId="169" fontId="14" fillId="37" borderId="35" xfId="0" applyNumberFormat="1" applyFont="1" applyFill="1" applyBorder="1" applyAlignment="1">
      <alignment horizontal="right" vertical="center"/>
    </xf>
    <xf numFmtId="169" fontId="73" fillId="37" borderId="16" xfId="0" applyNumberFormat="1" applyFont="1" applyFill="1" applyBorder="1" applyAlignment="1">
      <alignment horizontal="right" vertical="center"/>
    </xf>
    <xf numFmtId="169" fontId="73" fillId="37" borderId="35" xfId="0" applyNumberFormat="1" applyFont="1" applyFill="1" applyBorder="1" applyAlignment="1">
      <alignment horizontal="right" vertical="center"/>
    </xf>
    <xf numFmtId="169" fontId="47" fillId="37" borderId="35" xfId="0" applyNumberFormat="1" applyFont="1" applyFill="1" applyBorder="1" applyAlignment="1">
      <alignment horizontal="right" vertical="center"/>
    </xf>
    <xf numFmtId="170" fontId="14" fillId="3" borderId="16" xfId="11" applyNumberFormat="1" applyFont="1" applyFill="1" applyBorder="1" applyAlignment="1">
      <alignment horizontal="right" vertical="center"/>
    </xf>
    <xf numFmtId="168" fontId="14" fillId="3" borderId="16" xfId="0" applyNumberFormat="1" applyFont="1" applyFill="1" applyBorder="1" applyAlignment="1">
      <alignment horizontal="right" vertical="center"/>
    </xf>
    <xf numFmtId="168" fontId="14" fillId="3" borderId="36" xfId="0" applyNumberFormat="1" applyFont="1" applyFill="1" applyBorder="1" applyAlignment="1">
      <alignment horizontal="right" vertical="center"/>
    </xf>
    <xf numFmtId="169" fontId="47" fillId="35" borderId="35" xfId="0" applyNumberFormat="1" applyFont="1" applyFill="1" applyBorder="1" applyAlignment="1">
      <alignment horizontal="right" vertical="center"/>
    </xf>
    <xf numFmtId="169" fontId="47" fillId="3" borderId="35" xfId="4" applyNumberFormat="1" applyFont="1" applyFill="1" applyBorder="1" applyAlignment="1">
      <alignment vertical="center" wrapText="1"/>
    </xf>
    <xf numFmtId="169" fontId="47" fillId="35" borderId="39" xfId="0" applyNumberFormat="1" applyFont="1" applyFill="1" applyBorder="1" applyAlignment="1">
      <alignment horizontal="right" vertical="center"/>
    </xf>
    <xf numFmtId="0" fontId="74" fillId="0" borderId="1" xfId="0" applyFont="1" applyBorder="1" applyAlignment="1">
      <alignment horizontal="center" vertical="center" wrapText="1"/>
    </xf>
    <xf numFmtId="0" fontId="75" fillId="0" borderId="1" xfId="0" applyFont="1" applyBorder="1"/>
    <xf numFmtId="0" fontId="74" fillId="0" borderId="4" xfId="0" applyFont="1" applyBorder="1" applyAlignment="1">
      <alignment horizontal="center" vertical="center" wrapText="1"/>
    </xf>
    <xf numFmtId="0" fontId="75" fillId="0" borderId="6" xfId="0" applyFont="1" applyBorder="1" applyAlignment="1">
      <alignment horizontal="center" vertical="center" wrapText="1"/>
    </xf>
    <xf numFmtId="0" fontId="74" fillId="0" borderId="7" xfId="0" applyFont="1" applyBorder="1" applyAlignment="1">
      <alignment horizontal="center" vertical="center"/>
    </xf>
    <xf numFmtId="0" fontId="60" fillId="0" borderId="8" xfId="0" applyFont="1" applyBorder="1" applyAlignment="1">
      <alignment horizontal="center" vertical="center"/>
    </xf>
    <xf numFmtId="0" fontId="17" fillId="0" borderId="8" xfId="2" applyFill="1" applyBorder="1" applyAlignment="1">
      <alignment horizontal="left" vertical="top" wrapText="1"/>
    </xf>
    <xf numFmtId="3" fontId="4" fillId="0" borderId="7" xfId="0" applyNumberFormat="1" applyFont="1" applyBorder="1" applyAlignment="1" applyProtection="1">
      <alignment horizontal="right" vertical="center" wrapText="1"/>
      <protection locked="0"/>
    </xf>
    <xf numFmtId="0" fontId="61" fillId="0" borderId="8" xfId="0" applyFont="1" applyBorder="1" applyAlignment="1" applyProtection="1">
      <alignment horizontal="center" vertical="center"/>
      <protection locked="0"/>
    </xf>
    <xf numFmtId="0" fontId="17" fillId="0" borderId="8" xfId="2" applyFill="1" applyBorder="1" applyAlignment="1" applyProtection="1">
      <alignment horizontal="left" vertical="top" wrapText="1"/>
      <protection locked="0"/>
    </xf>
    <xf numFmtId="0" fontId="4" fillId="0" borderId="2" xfId="0" applyFont="1" applyBorder="1" applyAlignment="1">
      <alignment vertical="center" wrapText="1"/>
    </xf>
    <xf numFmtId="0" fontId="30" fillId="0" borderId="0" xfId="5" applyFont="1" applyAlignment="1">
      <alignment vertical="center" wrapText="1"/>
    </xf>
    <xf numFmtId="0" fontId="30" fillId="0" borderId="0" xfId="5" applyFont="1" applyAlignment="1">
      <alignment vertical="center"/>
    </xf>
    <xf numFmtId="0" fontId="33" fillId="43" borderId="16" xfId="0" applyFont="1" applyFill="1" applyBorder="1" applyAlignment="1">
      <alignment horizontal="center" vertical="center" wrapText="1"/>
    </xf>
    <xf numFmtId="0" fontId="33" fillId="13" borderId="16" xfId="5" applyFont="1" applyFill="1" applyBorder="1" applyAlignment="1">
      <alignment horizontal="center" vertical="center" wrapText="1"/>
    </xf>
    <xf numFmtId="0" fontId="30" fillId="0" borderId="16" xfId="5" applyFont="1" applyBorder="1" applyAlignment="1">
      <alignment vertical="center" wrapText="1"/>
    </xf>
    <xf numFmtId="0" fontId="33" fillId="47" borderId="16" xfId="5" applyFont="1" applyFill="1" applyBorder="1" applyAlignment="1">
      <alignment horizontal="center" vertical="center" wrapText="1"/>
    </xf>
    <xf numFmtId="0" fontId="33" fillId="48" borderId="16" xfId="0" applyFont="1" applyFill="1" applyBorder="1" applyAlignment="1">
      <alignment horizontal="center" vertical="center" wrapText="1"/>
    </xf>
    <xf numFmtId="0" fontId="33" fillId="49" borderId="16" xfId="0" applyFont="1" applyFill="1" applyBorder="1" applyAlignment="1">
      <alignment horizontal="center" vertical="center" wrapText="1"/>
    </xf>
    <xf numFmtId="0" fontId="30" fillId="0" borderId="16" xfId="5" applyFont="1" applyBorder="1" applyAlignment="1">
      <alignment horizontal="center" vertical="center" wrapText="1"/>
    </xf>
    <xf numFmtId="0" fontId="33" fillId="49" borderId="16" xfId="11" applyNumberFormat="1" applyFont="1" applyFill="1" applyBorder="1" applyAlignment="1">
      <alignment horizontal="center" vertical="center" wrapText="1"/>
    </xf>
    <xf numFmtId="0" fontId="81" fillId="54" borderId="16" xfId="0" applyFont="1" applyFill="1" applyBorder="1" applyAlignment="1">
      <alignment vertical="center" wrapText="1"/>
    </xf>
    <xf numFmtId="3" fontId="33" fillId="55" borderId="16" xfId="5" applyNumberFormat="1" applyFont="1" applyFill="1" applyBorder="1" applyAlignment="1">
      <alignment vertical="center" wrapText="1"/>
    </xf>
    <xf numFmtId="1" fontId="33" fillId="55" borderId="16" xfId="5" applyNumberFormat="1" applyFont="1" applyFill="1" applyBorder="1" applyAlignment="1">
      <alignment horizontal="center" vertical="center" wrapText="1"/>
    </xf>
    <xf numFmtId="167" fontId="33" fillId="55" borderId="16" xfId="3" applyNumberFormat="1" applyFont="1" applyFill="1" applyBorder="1" applyAlignment="1">
      <alignment horizontal="center" vertical="center" wrapText="1"/>
    </xf>
    <xf numFmtId="0" fontId="33" fillId="55" borderId="16" xfId="5" applyFont="1" applyFill="1" applyBorder="1" applyAlignment="1">
      <alignment horizontal="center" vertical="center" wrapText="1"/>
    </xf>
    <xf numFmtId="3" fontId="33" fillId="55" borderId="16" xfId="5" applyNumberFormat="1" applyFont="1" applyFill="1" applyBorder="1" applyAlignment="1">
      <alignment horizontal="center" vertical="center" wrapText="1"/>
    </xf>
    <xf numFmtId="9" fontId="33" fillId="55" borderId="16" xfId="3" applyFont="1" applyFill="1" applyBorder="1" applyAlignment="1">
      <alignment horizontal="center" vertical="center" wrapText="1"/>
    </xf>
    <xf numFmtId="4" fontId="33" fillId="55" borderId="16" xfId="5" applyNumberFormat="1" applyFont="1" applyFill="1" applyBorder="1" applyAlignment="1">
      <alignment vertical="center" wrapText="1"/>
    </xf>
    <xf numFmtId="10" fontId="33" fillId="55" borderId="16" xfId="3" applyNumberFormat="1" applyFont="1" applyFill="1" applyBorder="1" applyAlignment="1">
      <alignment horizontal="right" vertical="center" wrapText="1"/>
    </xf>
    <xf numFmtId="10" fontId="33" fillId="55" borderId="16" xfId="3" applyNumberFormat="1" applyFont="1" applyFill="1" applyBorder="1" applyAlignment="1">
      <alignment horizontal="center" vertical="center" wrapText="1"/>
    </xf>
    <xf numFmtId="10" fontId="33" fillId="55" borderId="16" xfId="3" applyNumberFormat="1" applyFont="1" applyFill="1" applyBorder="1" applyAlignment="1">
      <alignment vertical="center" wrapText="1"/>
    </xf>
    <xf numFmtId="0" fontId="33" fillId="56" borderId="16" xfId="0" applyFont="1" applyFill="1" applyBorder="1" applyAlignment="1">
      <alignment vertical="center" wrapText="1"/>
    </xf>
    <xf numFmtId="3" fontId="33" fillId="57" borderId="16" xfId="5" applyNumberFormat="1" applyFont="1" applyFill="1" applyBorder="1" applyAlignment="1">
      <alignment vertical="center" wrapText="1"/>
    </xf>
    <xf numFmtId="1" fontId="33" fillId="57" borderId="16" xfId="5" applyNumberFormat="1" applyFont="1" applyFill="1" applyBorder="1" applyAlignment="1">
      <alignment horizontal="center" vertical="center" wrapText="1"/>
    </xf>
    <xf numFmtId="9" fontId="33" fillId="57" borderId="16" xfId="3" applyFont="1" applyFill="1" applyBorder="1" applyAlignment="1">
      <alignment horizontal="center" vertical="center" wrapText="1"/>
    </xf>
    <xf numFmtId="3" fontId="33" fillId="57" borderId="16" xfId="5" applyNumberFormat="1" applyFont="1" applyFill="1" applyBorder="1" applyAlignment="1">
      <alignment horizontal="center" vertical="center" wrapText="1"/>
    </xf>
    <xf numFmtId="167" fontId="33" fillId="57" borderId="16" xfId="3" applyNumberFormat="1" applyFont="1" applyFill="1" applyBorder="1" applyAlignment="1">
      <alignment horizontal="center" vertical="center" wrapText="1"/>
    </xf>
    <xf numFmtId="10" fontId="33" fillId="57" borderId="16" xfId="3" applyNumberFormat="1" applyFont="1" applyFill="1" applyBorder="1" applyAlignment="1">
      <alignment horizontal="right" vertical="center" wrapText="1"/>
    </xf>
    <xf numFmtId="4" fontId="33" fillId="57" borderId="16" xfId="5" applyNumberFormat="1" applyFont="1" applyFill="1" applyBorder="1" applyAlignment="1">
      <alignment vertical="center" wrapText="1"/>
    </xf>
    <xf numFmtId="10" fontId="33" fillId="57" borderId="16" xfId="3" applyNumberFormat="1" applyFont="1" applyFill="1" applyBorder="1" applyAlignment="1">
      <alignment horizontal="center" vertical="center" wrapText="1"/>
    </xf>
    <xf numFmtId="10" fontId="33" fillId="57" borderId="16" xfId="3" applyNumberFormat="1" applyFont="1" applyFill="1" applyBorder="1" applyAlignment="1">
      <alignment vertical="center" wrapText="1"/>
    </xf>
    <xf numFmtId="0" fontId="33" fillId="0" borderId="16" xfId="5" applyFont="1" applyBorder="1" applyAlignment="1">
      <alignment vertical="center" wrapText="1"/>
    </xf>
    <xf numFmtId="0" fontId="30" fillId="58" borderId="16" xfId="0" applyFont="1" applyFill="1" applyBorder="1" applyAlignment="1">
      <alignment vertical="center" wrapText="1"/>
    </xf>
    <xf numFmtId="3" fontId="30" fillId="45" borderId="16" xfId="5" applyNumberFormat="1" applyFont="1" applyFill="1" applyBorder="1" applyAlignment="1">
      <alignment vertical="center" wrapText="1"/>
    </xf>
    <xf numFmtId="1" fontId="30" fillId="45" borderId="16" xfId="5" applyNumberFormat="1" applyFont="1" applyFill="1" applyBorder="1" applyAlignment="1">
      <alignment horizontal="center" vertical="center" wrapText="1"/>
    </xf>
    <xf numFmtId="9" fontId="30" fillId="45" borderId="16" xfId="3" applyFont="1" applyFill="1" applyBorder="1" applyAlignment="1">
      <alignment horizontal="center" vertical="center" wrapText="1"/>
    </xf>
    <xf numFmtId="3" fontId="30" fillId="45" borderId="16" xfId="5" applyNumberFormat="1" applyFont="1" applyFill="1" applyBorder="1" applyAlignment="1">
      <alignment horizontal="center" vertical="center" wrapText="1"/>
    </xf>
    <xf numFmtId="167" fontId="30" fillId="45" borderId="16" xfId="3" applyNumberFormat="1" applyFont="1" applyFill="1" applyBorder="1" applyAlignment="1">
      <alignment horizontal="center" vertical="center" wrapText="1"/>
    </xf>
    <xf numFmtId="4" fontId="30" fillId="45" borderId="16" xfId="5" applyNumberFormat="1" applyFont="1" applyFill="1" applyBorder="1" applyAlignment="1">
      <alignment vertical="center" wrapText="1"/>
    </xf>
    <xf numFmtId="10" fontId="30" fillId="45" borderId="16" xfId="3" applyNumberFormat="1" applyFont="1" applyFill="1" applyBorder="1" applyAlignment="1">
      <alignment horizontal="right" vertical="center" wrapText="1"/>
    </xf>
    <xf numFmtId="10" fontId="30" fillId="45" borderId="16" xfId="3" applyNumberFormat="1" applyFont="1" applyFill="1" applyBorder="1" applyAlignment="1">
      <alignment horizontal="center" vertical="center" wrapText="1"/>
    </xf>
    <xf numFmtId="3" fontId="33" fillId="45" borderId="16" xfId="5" applyNumberFormat="1" applyFont="1" applyFill="1" applyBorder="1" applyAlignment="1">
      <alignment vertical="center" wrapText="1"/>
    </xf>
    <xf numFmtId="10" fontId="30" fillId="45" borderId="16" xfId="3" applyNumberFormat="1" applyFont="1" applyFill="1" applyBorder="1" applyAlignment="1">
      <alignment vertical="center" wrapText="1"/>
    </xf>
    <xf numFmtId="0" fontId="82" fillId="59" borderId="16" xfId="0" applyFont="1" applyFill="1" applyBorder="1" applyAlignment="1">
      <alignment vertical="center" wrapText="1"/>
    </xf>
    <xf numFmtId="0" fontId="40" fillId="0" borderId="16" xfId="0" applyFont="1" applyBorder="1" applyAlignment="1">
      <alignment horizontal="center" vertical="center" wrapText="1"/>
    </xf>
    <xf numFmtId="1" fontId="30" fillId="0" borderId="16" xfId="5" applyNumberFormat="1" applyFont="1" applyBorder="1" applyAlignment="1">
      <alignment horizontal="center" vertical="center" wrapText="1"/>
    </xf>
    <xf numFmtId="1" fontId="30" fillId="9" borderId="16" xfId="5" applyNumberFormat="1" applyFont="1" applyFill="1" applyBorder="1" applyAlignment="1">
      <alignment horizontal="center" vertical="center" wrapText="1"/>
    </xf>
    <xf numFmtId="9" fontId="30" fillId="0" borderId="16" xfId="3" applyFont="1" applyFill="1" applyBorder="1" applyAlignment="1">
      <alignment horizontal="center" vertical="center" wrapText="1"/>
    </xf>
    <xf numFmtId="3" fontId="30" fillId="9" borderId="16" xfId="5" applyNumberFormat="1" applyFont="1" applyFill="1" applyBorder="1" applyAlignment="1">
      <alignment vertical="center" wrapText="1"/>
    </xf>
    <xf numFmtId="3" fontId="30" fillId="0" borderId="16" xfId="5" applyNumberFormat="1" applyFont="1" applyBorder="1" applyAlignment="1">
      <alignment vertical="center" wrapText="1"/>
    </xf>
    <xf numFmtId="0" fontId="33" fillId="0" borderId="16" xfId="5" applyFont="1" applyBorder="1" applyAlignment="1">
      <alignment horizontal="center" vertical="center" wrapText="1"/>
    </xf>
    <xf numFmtId="3" fontId="30" fillId="0" borderId="16" xfId="0" applyNumberFormat="1" applyFont="1" applyBorder="1" applyAlignment="1">
      <alignment horizontal="center" vertical="center" wrapText="1"/>
    </xf>
    <xf numFmtId="3" fontId="30" fillId="0" borderId="16" xfId="5" applyNumberFormat="1" applyFont="1" applyBorder="1" applyAlignment="1">
      <alignment horizontal="center" vertical="center" wrapText="1"/>
    </xf>
    <xf numFmtId="167" fontId="30" fillId="0" borderId="16" xfId="3" applyNumberFormat="1" applyFont="1" applyFill="1" applyBorder="1" applyAlignment="1">
      <alignment horizontal="center" vertical="center" wrapText="1"/>
    </xf>
    <xf numFmtId="168" fontId="42" fillId="59" borderId="16" xfId="0" applyNumberFormat="1" applyFont="1" applyFill="1" applyBorder="1" applyAlignment="1">
      <alignment horizontal="right" vertical="center"/>
    </xf>
    <xf numFmtId="10" fontId="30" fillId="0" borderId="16" xfId="3" applyNumberFormat="1" applyFont="1" applyFill="1" applyBorder="1" applyAlignment="1">
      <alignment horizontal="right" vertical="center" wrapText="1"/>
    </xf>
    <xf numFmtId="0" fontId="30" fillId="0" borderId="16" xfId="3" applyNumberFormat="1" applyFont="1" applyFill="1" applyBorder="1" applyAlignment="1">
      <alignment horizontal="center" vertical="center" wrapText="1"/>
    </xf>
    <xf numFmtId="168" fontId="40" fillId="59" borderId="16" xfId="0" applyNumberFormat="1" applyFont="1" applyFill="1" applyBorder="1" applyAlignment="1">
      <alignment horizontal="right" vertical="center"/>
    </xf>
    <xf numFmtId="168" fontId="40" fillId="0" borderId="16" xfId="0" applyNumberFormat="1" applyFont="1" applyBorder="1" applyAlignment="1">
      <alignment horizontal="right" vertical="center"/>
    </xf>
    <xf numFmtId="10" fontId="40" fillId="0" borderId="16" xfId="3" applyNumberFormat="1" applyFont="1" applyFill="1" applyBorder="1" applyAlignment="1">
      <alignment vertical="center" wrapText="1"/>
    </xf>
    <xf numFmtId="168" fontId="83" fillId="0" borderId="16" xfId="0" applyNumberFormat="1" applyFont="1" applyBorder="1" applyAlignment="1">
      <alignment horizontal="right" vertical="center"/>
    </xf>
    <xf numFmtId="3" fontId="30" fillId="0" borderId="75" xfId="0" applyNumberFormat="1" applyFont="1" applyBorder="1" applyAlignment="1">
      <alignment vertical="center" wrapText="1"/>
    </xf>
    <xf numFmtId="9" fontId="40" fillId="0" borderId="16" xfId="3" applyFont="1" applyFill="1" applyBorder="1" applyAlignment="1">
      <alignment horizontal="center" vertical="center" wrapText="1"/>
    </xf>
    <xf numFmtId="9" fontId="33" fillId="0" borderId="75" xfId="0" applyNumberFormat="1" applyFont="1" applyBorder="1" applyAlignment="1">
      <alignment horizontal="center" vertical="center" wrapText="1"/>
    </xf>
    <xf numFmtId="3" fontId="41" fillId="0" borderId="16" xfId="5" applyNumberFormat="1" applyFont="1" applyBorder="1" applyAlignment="1">
      <alignment vertical="center" wrapText="1"/>
    </xf>
    <xf numFmtId="3" fontId="33" fillId="0" borderId="16" xfId="5" applyNumberFormat="1" applyFont="1" applyBorder="1" applyAlignment="1">
      <alignment vertical="center" wrapText="1"/>
    </xf>
    <xf numFmtId="0" fontId="32" fillId="59" borderId="16" xfId="0" applyFont="1" applyFill="1" applyBorder="1" applyAlignment="1">
      <alignment horizontal="center" vertical="center" wrapText="1"/>
    </xf>
    <xf numFmtId="10" fontId="30" fillId="0" borderId="16" xfId="3" applyNumberFormat="1" applyFont="1" applyFill="1" applyBorder="1" applyAlignment="1">
      <alignment horizontal="center" vertical="center" wrapText="1"/>
    </xf>
    <xf numFmtId="3" fontId="40" fillId="0" borderId="16" xfId="3" applyNumberFormat="1" applyFont="1" applyFill="1" applyBorder="1" applyAlignment="1">
      <alignment horizontal="center" vertical="center" wrapText="1"/>
    </xf>
    <xf numFmtId="9" fontId="30" fillId="9" borderId="16" xfId="3" applyFont="1" applyFill="1" applyBorder="1" applyAlignment="1">
      <alignment horizontal="center" vertical="center" wrapText="1"/>
    </xf>
    <xf numFmtId="14" fontId="30" fillId="0" borderId="16" xfId="5" applyNumberFormat="1" applyFont="1" applyBorder="1" applyAlignment="1">
      <alignment vertical="center" wrapText="1"/>
    </xf>
    <xf numFmtId="0" fontId="42" fillId="0" borderId="16" xfId="0" applyFont="1" applyBorder="1" applyAlignment="1">
      <alignment horizontal="center" vertical="center"/>
    </xf>
    <xf numFmtId="0" fontId="42" fillId="0" borderId="16" xfId="0" applyFont="1" applyBorder="1" applyAlignment="1">
      <alignment horizontal="center" vertical="center" wrapText="1"/>
    </xf>
    <xf numFmtId="9" fontId="30" fillId="0" borderId="16" xfId="3" applyFont="1" applyBorder="1" applyAlignment="1">
      <alignment horizontal="center" vertical="center" wrapText="1"/>
    </xf>
    <xf numFmtId="10" fontId="30" fillId="10" borderId="16" xfId="3" applyNumberFormat="1" applyFont="1" applyFill="1" applyBorder="1" applyAlignment="1">
      <alignment horizontal="center" vertical="center" wrapText="1"/>
    </xf>
    <xf numFmtId="0" fontId="82" fillId="59" borderId="16" xfId="0" applyFont="1" applyFill="1" applyBorder="1" applyAlignment="1">
      <alignment horizontal="center" vertical="center" wrapText="1"/>
    </xf>
    <xf numFmtId="0" fontId="82" fillId="60" borderId="16" xfId="0" applyFont="1" applyFill="1" applyBorder="1" applyAlignment="1">
      <alignment horizontal="center" vertical="center" wrapText="1"/>
    </xf>
    <xf numFmtId="164" fontId="30" fillId="0" borderId="16" xfId="5" applyNumberFormat="1" applyFont="1" applyBorder="1" applyAlignment="1">
      <alignment horizontal="center" vertical="center" wrapText="1"/>
    </xf>
    <xf numFmtId="2" fontId="30" fillId="0" borderId="16" xfId="5" applyNumberFormat="1" applyFont="1" applyBorder="1" applyAlignment="1">
      <alignment horizontal="center" vertical="center" wrapText="1"/>
    </xf>
    <xf numFmtId="2" fontId="30" fillId="0" borderId="16" xfId="5" applyNumberFormat="1" applyFont="1" applyBorder="1" applyAlignment="1">
      <alignment vertical="center" wrapText="1"/>
    </xf>
    <xf numFmtId="0" fontId="33" fillId="9" borderId="16" xfId="5" applyFont="1" applyFill="1" applyBorder="1" applyAlignment="1">
      <alignment horizontal="center" vertical="center" wrapText="1"/>
    </xf>
    <xf numFmtId="0" fontId="30" fillId="9" borderId="16" xfId="5" applyFont="1" applyFill="1" applyBorder="1" applyAlignment="1">
      <alignment horizontal="center" vertical="center" wrapText="1"/>
    </xf>
    <xf numFmtId="164" fontId="30" fillId="9" borderId="16" xfId="5" applyNumberFormat="1" applyFont="1" applyFill="1" applyBorder="1" applyAlignment="1">
      <alignment horizontal="center" vertical="center" wrapText="1"/>
    </xf>
    <xf numFmtId="168" fontId="42" fillId="0" borderId="16" xfId="0" applyNumberFormat="1" applyFont="1" applyBorder="1" applyAlignment="1">
      <alignment horizontal="right" vertical="center"/>
    </xf>
    <xf numFmtId="3" fontId="30" fillId="61" borderId="16" xfId="5" applyNumberFormat="1" applyFont="1" applyFill="1" applyBorder="1" applyAlignment="1">
      <alignment vertical="center" wrapText="1"/>
    </xf>
    <xf numFmtId="3" fontId="40" fillId="45" borderId="16" xfId="5" applyNumberFormat="1" applyFont="1" applyFill="1" applyBorder="1" applyAlignment="1">
      <alignment vertical="center" wrapText="1"/>
    </xf>
    <xf numFmtId="10" fontId="40" fillId="45" borderId="16" xfId="3" applyNumberFormat="1" applyFont="1" applyFill="1" applyBorder="1" applyAlignment="1">
      <alignment vertical="center" wrapText="1"/>
    </xf>
    <xf numFmtId="9" fontId="40" fillId="45" borderId="16" xfId="3" applyFont="1" applyFill="1" applyBorder="1" applyAlignment="1">
      <alignment horizontal="center" vertical="center" wrapText="1"/>
    </xf>
    <xf numFmtId="3" fontId="40" fillId="45" borderId="16" xfId="3" applyNumberFormat="1" applyFont="1" applyFill="1" applyBorder="1" applyAlignment="1">
      <alignment horizontal="center" vertical="center" wrapText="1"/>
    </xf>
    <xf numFmtId="3" fontId="41" fillId="45" borderId="16" xfId="5" applyNumberFormat="1" applyFont="1" applyFill="1" applyBorder="1" applyAlignment="1">
      <alignment vertical="center" wrapText="1"/>
    </xf>
    <xf numFmtId="0" fontId="82" fillId="62" borderId="16" xfId="0" applyFont="1" applyFill="1" applyBorder="1" applyAlignment="1">
      <alignment vertical="center" wrapText="1"/>
    </xf>
    <xf numFmtId="0" fontId="83" fillId="0" borderId="16" xfId="0" applyFont="1" applyBorder="1" applyAlignment="1">
      <alignment horizontal="center" vertical="center" wrapText="1"/>
    </xf>
    <xf numFmtId="9" fontId="83" fillId="9" borderId="16" xfId="0" applyNumberFormat="1" applyFont="1" applyFill="1" applyBorder="1" applyAlignment="1">
      <alignment horizontal="center" vertical="center" wrapText="1"/>
    </xf>
    <xf numFmtId="168" fontId="42" fillId="62" borderId="16" xfId="0" applyNumberFormat="1" applyFont="1" applyFill="1" applyBorder="1" applyAlignment="1">
      <alignment horizontal="right" vertical="center"/>
    </xf>
    <xf numFmtId="165" fontId="33" fillId="0" borderId="16" xfId="4" applyNumberFormat="1" applyFont="1" applyFill="1" applyBorder="1" applyAlignment="1">
      <alignment vertical="center" wrapText="1"/>
    </xf>
    <xf numFmtId="10" fontId="30" fillId="0" borderId="16" xfId="3" applyNumberFormat="1" applyFont="1" applyFill="1" applyBorder="1" applyAlignment="1">
      <alignment vertical="center" wrapText="1"/>
    </xf>
    <xf numFmtId="3" fontId="83" fillId="0" borderId="16" xfId="0" applyNumberFormat="1" applyFont="1" applyBorder="1" applyAlignment="1">
      <alignment horizontal="right" vertical="center"/>
    </xf>
    <xf numFmtId="3" fontId="30" fillId="0" borderId="16" xfId="3" applyNumberFormat="1" applyFont="1" applyFill="1" applyBorder="1" applyAlignment="1">
      <alignment horizontal="center" vertical="center" wrapText="1"/>
    </xf>
    <xf numFmtId="0" fontId="83" fillId="62" borderId="16" xfId="0" applyFont="1" applyFill="1" applyBorder="1" applyAlignment="1">
      <alignment horizontal="center" vertical="center" wrapText="1"/>
    </xf>
    <xf numFmtId="167" fontId="30" fillId="63" borderId="16" xfId="3" applyNumberFormat="1" applyFont="1" applyFill="1" applyBorder="1" applyAlignment="1">
      <alignment horizontal="center" vertical="center" wrapText="1"/>
    </xf>
    <xf numFmtId="4" fontId="33" fillId="45" borderId="16" xfId="5" applyNumberFormat="1" applyFont="1" applyFill="1" applyBorder="1" applyAlignment="1">
      <alignment vertical="center" wrapText="1"/>
    </xf>
    <xf numFmtId="3" fontId="30" fillId="45" borderId="16" xfId="3" applyNumberFormat="1" applyFont="1" applyFill="1" applyBorder="1" applyAlignment="1">
      <alignment horizontal="center" vertical="center" wrapText="1"/>
    </xf>
    <xf numFmtId="171" fontId="42" fillId="59" borderId="16" xfId="0" applyNumberFormat="1" applyFont="1" applyFill="1" applyBorder="1" applyAlignment="1">
      <alignment horizontal="right" vertical="center"/>
    </xf>
    <xf numFmtId="0" fontId="83" fillId="59" borderId="16" xfId="0" applyFont="1" applyFill="1" applyBorder="1" applyAlignment="1">
      <alignment horizontal="center" vertical="center" wrapText="1"/>
    </xf>
    <xf numFmtId="1" fontId="33" fillId="57" borderId="16" xfId="5" applyNumberFormat="1" applyFont="1" applyFill="1" applyBorder="1" applyAlignment="1">
      <alignment vertical="center" wrapText="1"/>
    </xf>
    <xf numFmtId="3" fontId="41" fillId="57" borderId="16" xfId="5" applyNumberFormat="1" applyFont="1" applyFill="1" applyBorder="1" applyAlignment="1">
      <alignment vertical="center" wrapText="1"/>
    </xf>
    <xf numFmtId="3" fontId="33" fillId="57" borderId="16" xfId="3" applyNumberFormat="1" applyFont="1" applyFill="1" applyBorder="1" applyAlignment="1">
      <alignment horizontal="center" vertical="center" wrapText="1"/>
    </xf>
    <xf numFmtId="0" fontId="82" fillId="62" borderId="16" xfId="0" applyFont="1" applyFill="1" applyBorder="1" applyAlignment="1">
      <alignment horizontal="center" vertical="center" wrapText="1"/>
    </xf>
    <xf numFmtId="0" fontId="32" fillId="62" borderId="16" xfId="0" applyFont="1" applyFill="1" applyBorder="1" applyAlignment="1">
      <alignment horizontal="center" vertical="center" wrapText="1"/>
    </xf>
    <xf numFmtId="0" fontId="40" fillId="9" borderId="16" xfId="0" applyFont="1" applyFill="1" applyBorder="1" applyAlignment="1">
      <alignment horizontal="center" vertical="center" wrapText="1"/>
    </xf>
    <xf numFmtId="168" fontId="85" fillId="0" borderId="16" xfId="0" applyNumberFormat="1" applyFont="1" applyBorder="1" applyAlignment="1">
      <alignment vertical="center"/>
    </xf>
    <xf numFmtId="1" fontId="30" fillId="45" borderId="16" xfId="5" applyNumberFormat="1" applyFont="1" applyFill="1" applyBorder="1" applyAlignment="1">
      <alignment vertical="center" wrapText="1"/>
    </xf>
    <xf numFmtId="3" fontId="30" fillId="63" borderId="16" xfId="5" applyNumberFormat="1" applyFont="1" applyFill="1" applyBorder="1" applyAlignment="1">
      <alignment vertical="center" wrapText="1"/>
    </xf>
    <xf numFmtId="9" fontId="30" fillId="63" borderId="16" xfId="3" applyFont="1" applyFill="1" applyBorder="1" applyAlignment="1">
      <alignment horizontal="center" vertical="center" wrapText="1"/>
    </xf>
    <xf numFmtId="3" fontId="30" fillId="63" borderId="16" xfId="3" applyNumberFormat="1" applyFont="1" applyFill="1" applyBorder="1" applyAlignment="1">
      <alignment horizontal="center" vertical="center" wrapText="1"/>
    </xf>
    <xf numFmtId="0" fontId="82" fillId="64" borderId="16" xfId="0" applyFont="1" applyFill="1" applyBorder="1" applyAlignment="1">
      <alignment vertical="center" wrapText="1"/>
    </xf>
    <xf numFmtId="0" fontId="32" fillId="64" borderId="16" xfId="0" applyFont="1" applyFill="1" applyBorder="1" applyAlignment="1">
      <alignment horizontal="center" vertical="center" wrapText="1"/>
    </xf>
    <xf numFmtId="167" fontId="30" fillId="9" borderId="16" xfId="3" applyNumberFormat="1" applyFont="1" applyFill="1" applyBorder="1" applyAlignment="1">
      <alignment horizontal="center" vertical="center" wrapText="1"/>
    </xf>
    <xf numFmtId="9" fontId="82" fillId="64" borderId="16" xfId="0" applyNumberFormat="1" applyFont="1" applyFill="1" applyBorder="1" applyAlignment="1">
      <alignment horizontal="center" vertical="center" wrapText="1"/>
    </xf>
    <xf numFmtId="9" fontId="30" fillId="10" borderId="16" xfId="3" applyFont="1" applyFill="1" applyBorder="1" applyAlignment="1">
      <alignment horizontal="center" vertical="center" wrapText="1"/>
    </xf>
    <xf numFmtId="168" fontId="42" fillId="64" borderId="16" xfId="0" applyNumberFormat="1" applyFont="1" applyFill="1" applyBorder="1" applyAlignment="1">
      <alignment horizontal="right" vertical="center"/>
    </xf>
    <xf numFmtId="10" fontId="30" fillId="9" borderId="16" xfId="3" applyNumberFormat="1" applyFont="1" applyFill="1" applyBorder="1" applyAlignment="1">
      <alignment horizontal="right" vertical="center" wrapText="1"/>
    </xf>
    <xf numFmtId="10" fontId="30" fillId="9" borderId="16" xfId="3" applyNumberFormat="1" applyFont="1" applyFill="1" applyBorder="1" applyAlignment="1">
      <alignment horizontal="center" vertical="center" wrapText="1"/>
    </xf>
    <xf numFmtId="10" fontId="30" fillId="9" borderId="16" xfId="3" applyNumberFormat="1" applyFont="1" applyFill="1" applyBorder="1" applyAlignment="1">
      <alignment vertical="center" wrapText="1"/>
    </xf>
    <xf numFmtId="168" fontId="83" fillId="9" borderId="16" xfId="0" applyNumberFormat="1" applyFont="1" applyFill="1" applyBorder="1" applyAlignment="1">
      <alignment horizontal="right" vertical="center"/>
    </xf>
    <xf numFmtId="3" fontId="30" fillId="9" borderId="16" xfId="3" applyNumberFormat="1" applyFont="1" applyFill="1" applyBorder="1" applyAlignment="1">
      <alignment horizontal="center" vertical="center" wrapText="1"/>
    </xf>
    <xf numFmtId="3" fontId="33" fillId="9" borderId="16" xfId="5" applyNumberFormat="1" applyFont="1" applyFill="1" applyBorder="1" applyAlignment="1">
      <alignment vertical="center" wrapText="1"/>
    </xf>
    <xf numFmtId="0" fontId="82" fillId="65" borderId="16" xfId="0" applyFont="1" applyFill="1" applyBorder="1" applyAlignment="1">
      <alignment horizontal="center" vertical="center" wrapText="1"/>
    </xf>
    <xf numFmtId="0" fontId="82" fillId="64" borderId="16" xfId="0" applyFont="1" applyFill="1" applyBorder="1" applyAlignment="1">
      <alignment horizontal="center" vertical="center"/>
    </xf>
    <xf numFmtId="0" fontId="82" fillId="0" borderId="16" xfId="0" applyFont="1" applyBorder="1" applyAlignment="1">
      <alignment horizontal="center" vertical="center"/>
    </xf>
    <xf numFmtId="0" fontId="83" fillId="65" borderId="16" xfId="0" applyFont="1" applyFill="1" applyBorder="1" applyAlignment="1">
      <alignment horizontal="center" vertical="center" wrapText="1"/>
    </xf>
    <xf numFmtId="3" fontId="30" fillId="9" borderId="16" xfId="5" applyNumberFormat="1" applyFont="1" applyFill="1" applyBorder="1" applyAlignment="1">
      <alignment horizontal="center" vertical="center" wrapText="1"/>
    </xf>
    <xf numFmtId="9" fontId="30" fillId="9" borderId="16" xfId="5" applyNumberFormat="1" applyFont="1" applyFill="1" applyBorder="1" applyAlignment="1">
      <alignment horizontal="center" vertical="center" wrapText="1"/>
    </xf>
    <xf numFmtId="168" fontId="42" fillId="9" borderId="16" xfId="0" applyNumberFormat="1" applyFont="1" applyFill="1" applyBorder="1" applyAlignment="1">
      <alignment horizontal="right" vertical="center"/>
    </xf>
    <xf numFmtId="0" fontId="83" fillId="64" borderId="16" xfId="0" applyFont="1" applyFill="1" applyBorder="1" applyAlignment="1">
      <alignment horizontal="center" vertical="center" wrapText="1"/>
    </xf>
    <xf numFmtId="3" fontId="30" fillId="63" borderId="16" xfId="5" applyNumberFormat="1" applyFont="1" applyFill="1" applyBorder="1" applyAlignment="1">
      <alignment horizontal="center" vertical="center" wrapText="1"/>
    </xf>
    <xf numFmtId="10" fontId="30" fillId="63" borderId="16" xfId="3" applyNumberFormat="1" applyFont="1" applyFill="1" applyBorder="1" applyAlignment="1">
      <alignment horizontal="right" vertical="center" wrapText="1"/>
    </xf>
    <xf numFmtId="10" fontId="33" fillId="63" borderId="16" xfId="3" applyNumberFormat="1" applyFont="1" applyFill="1" applyBorder="1" applyAlignment="1">
      <alignment horizontal="center" vertical="center" wrapText="1"/>
    </xf>
    <xf numFmtId="3" fontId="33" fillId="63" borderId="16" xfId="5" applyNumberFormat="1" applyFont="1" applyFill="1" applyBorder="1" applyAlignment="1">
      <alignment vertical="center" wrapText="1"/>
    </xf>
    <xf numFmtId="10" fontId="30" fillId="63" borderId="16" xfId="3" applyNumberFormat="1" applyFont="1" applyFill="1" applyBorder="1" applyAlignment="1">
      <alignment vertical="center" wrapText="1"/>
    </xf>
    <xf numFmtId="3" fontId="40" fillId="63" borderId="16" xfId="5" applyNumberFormat="1" applyFont="1" applyFill="1" applyBorder="1" applyAlignment="1">
      <alignment vertical="center" wrapText="1"/>
    </xf>
    <xf numFmtId="10" fontId="30" fillId="63" borderId="16" xfId="3" applyNumberFormat="1" applyFont="1" applyFill="1" applyBorder="1" applyAlignment="1">
      <alignment horizontal="center" vertical="center" wrapText="1"/>
    </xf>
    <xf numFmtId="0" fontId="40" fillId="0" borderId="16" xfId="0" applyFont="1" applyBorder="1" applyAlignment="1">
      <alignment horizontal="center" vertical="center"/>
    </xf>
    <xf numFmtId="9" fontId="82" fillId="62" borderId="16" xfId="0" applyNumberFormat="1" applyFont="1" applyFill="1" applyBorder="1" applyAlignment="1">
      <alignment horizontal="center" vertical="center" wrapText="1"/>
    </xf>
    <xf numFmtId="168" fontId="85" fillId="9" borderId="16" xfId="0" applyNumberFormat="1" applyFont="1" applyFill="1" applyBorder="1" applyAlignment="1">
      <alignment vertical="center"/>
    </xf>
    <xf numFmtId="168" fontId="42" fillId="66" borderId="16" xfId="0" applyNumberFormat="1" applyFont="1" applyFill="1" applyBorder="1" applyAlignment="1">
      <alignment vertical="center"/>
    </xf>
    <xf numFmtId="168" fontId="86" fillId="9" borderId="16" xfId="0" applyNumberFormat="1" applyFont="1" applyFill="1" applyBorder="1" applyAlignment="1">
      <alignment horizontal="right" vertical="center"/>
    </xf>
    <xf numFmtId="9" fontId="30" fillId="0" borderId="16" xfId="5" applyNumberFormat="1" applyFont="1" applyBorder="1" applyAlignment="1">
      <alignment horizontal="center" vertical="center" wrapText="1"/>
    </xf>
    <xf numFmtId="167" fontId="33" fillId="67" borderId="16" xfId="3" applyNumberFormat="1" applyFont="1" applyFill="1" applyBorder="1" applyAlignment="1">
      <alignment horizontal="center" vertical="center" wrapText="1"/>
    </xf>
    <xf numFmtId="172" fontId="33" fillId="57" borderId="16" xfId="5" applyNumberFormat="1" applyFont="1" applyFill="1" applyBorder="1" applyAlignment="1">
      <alignment vertical="center" wrapText="1"/>
    </xf>
    <xf numFmtId="172" fontId="30" fillId="63" borderId="16" xfId="5" applyNumberFormat="1" applyFont="1" applyFill="1" applyBorder="1" applyAlignment="1">
      <alignment vertical="center" wrapText="1"/>
    </xf>
    <xf numFmtId="0" fontId="82" fillId="59" borderId="16" xfId="0" applyFont="1" applyFill="1" applyBorder="1" applyAlignment="1">
      <alignment horizontal="center" vertical="center"/>
    </xf>
    <xf numFmtId="168" fontId="42" fillId="66" borderId="16" xfId="0" applyNumberFormat="1" applyFont="1" applyFill="1" applyBorder="1" applyAlignment="1">
      <alignment horizontal="right" vertical="center"/>
    </xf>
    <xf numFmtId="173" fontId="42" fillId="59" borderId="16" xfId="0" applyNumberFormat="1" applyFont="1" applyFill="1" applyBorder="1" applyAlignment="1">
      <alignment horizontal="right" vertical="center"/>
    </xf>
    <xf numFmtId="43" fontId="33" fillId="55" borderId="16" xfId="4" applyFont="1" applyFill="1" applyBorder="1" applyAlignment="1">
      <alignment horizontal="center" vertical="center" wrapText="1"/>
    </xf>
    <xf numFmtId="3" fontId="33" fillId="55" borderId="16" xfId="3" applyNumberFormat="1" applyFont="1" applyFill="1" applyBorder="1" applyAlignment="1">
      <alignment horizontal="center" vertical="center" wrapText="1"/>
    </xf>
    <xf numFmtId="43" fontId="33" fillId="55" borderId="16" xfId="4" applyFont="1" applyFill="1" applyBorder="1" applyAlignment="1">
      <alignment vertical="center" wrapText="1"/>
    </xf>
    <xf numFmtId="0" fontId="33" fillId="55" borderId="16" xfId="5" applyFont="1" applyFill="1" applyBorder="1" applyAlignment="1">
      <alignment vertical="center" wrapText="1"/>
    </xf>
    <xf numFmtId="9" fontId="33" fillId="45" borderId="16" xfId="3" applyFont="1" applyFill="1" applyBorder="1" applyAlignment="1">
      <alignment horizontal="center" vertical="center" wrapText="1"/>
    </xf>
    <xf numFmtId="3" fontId="33" fillId="45" borderId="16" xfId="3" applyNumberFormat="1" applyFont="1" applyFill="1" applyBorder="1" applyAlignment="1">
      <alignment horizontal="center" vertical="center" wrapText="1"/>
    </xf>
    <xf numFmtId="0" fontId="82" fillId="29" borderId="16" xfId="0" applyFont="1" applyFill="1" applyBorder="1" applyAlignment="1">
      <alignment vertical="center" wrapText="1"/>
    </xf>
    <xf numFmtId="0" fontId="32" fillId="29" borderId="16" xfId="0" applyFont="1" applyFill="1" applyBorder="1" applyAlignment="1">
      <alignment horizontal="center" vertical="center" wrapText="1"/>
    </xf>
    <xf numFmtId="0" fontId="82" fillId="29" borderId="16" xfId="0" applyFont="1" applyFill="1" applyBorder="1" applyAlignment="1">
      <alignment horizontal="center" vertical="center"/>
    </xf>
    <xf numFmtId="0" fontId="82" fillId="68" borderId="16" xfId="0" applyFont="1" applyFill="1" applyBorder="1" applyAlignment="1">
      <alignment horizontal="center" vertical="center"/>
    </xf>
    <xf numFmtId="0" fontId="87" fillId="0" borderId="16" xfId="0" applyFont="1" applyBorder="1" applyAlignment="1">
      <alignment horizontal="justify" vertical="center" wrapText="1"/>
    </xf>
    <xf numFmtId="9" fontId="82" fillId="29" borderId="16" xfId="0" applyNumberFormat="1" applyFont="1" applyFill="1" applyBorder="1" applyAlignment="1">
      <alignment horizontal="center" vertical="center" wrapText="1"/>
    </xf>
    <xf numFmtId="168" fontId="42" fillId="29" borderId="16" xfId="0" applyNumberFormat="1" applyFont="1" applyFill="1" applyBorder="1" applyAlignment="1">
      <alignment horizontal="right" vertical="center"/>
    </xf>
    <xf numFmtId="168" fontId="32" fillId="9" borderId="16" xfId="0" applyNumberFormat="1" applyFont="1" applyFill="1" applyBorder="1" applyAlignment="1">
      <alignment horizontal="right" vertical="center"/>
    </xf>
    <xf numFmtId="0" fontId="83" fillId="29" borderId="16" xfId="0" applyFont="1" applyFill="1" applyBorder="1" applyAlignment="1">
      <alignment horizontal="center" vertical="center" wrapText="1"/>
    </xf>
    <xf numFmtId="0" fontId="82" fillId="29" borderId="16" xfId="0" applyFont="1" applyFill="1" applyBorder="1" applyAlignment="1">
      <alignment horizontal="center" vertical="center" wrapText="1"/>
    </xf>
    <xf numFmtId="0" fontId="82" fillId="9" borderId="16" xfId="0" applyFont="1" applyFill="1" applyBorder="1" applyAlignment="1">
      <alignment horizontal="center" vertical="center"/>
    </xf>
    <xf numFmtId="2" fontId="30" fillId="9" borderId="16" xfId="5" applyNumberFormat="1" applyFont="1" applyFill="1" applyBorder="1" applyAlignment="1">
      <alignment horizontal="center" vertical="center" wrapText="1"/>
    </xf>
    <xf numFmtId="168" fontId="88" fillId="9" borderId="16" xfId="0" applyNumberFormat="1" applyFont="1" applyFill="1" applyBorder="1" applyAlignment="1">
      <alignment vertical="center"/>
    </xf>
    <xf numFmtId="0" fontId="82" fillId="69" borderId="16" xfId="0" applyFont="1" applyFill="1" applyBorder="1" applyAlignment="1">
      <alignment vertical="center" wrapText="1"/>
    </xf>
    <xf numFmtId="0" fontId="82" fillId="69" borderId="16" xfId="0" applyFont="1" applyFill="1" applyBorder="1" applyAlignment="1">
      <alignment horizontal="center" vertical="center" wrapText="1"/>
    </xf>
    <xf numFmtId="9" fontId="82" fillId="69" borderId="16" xfId="0" applyNumberFormat="1" applyFont="1" applyFill="1" applyBorder="1" applyAlignment="1">
      <alignment horizontal="center" vertical="center" wrapText="1"/>
    </xf>
    <xf numFmtId="168" fontId="40" fillId="69" borderId="16" xfId="0" applyNumberFormat="1" applyFont="1" applyFill="1" applyBorder="1" applyAlignment="1">
      <alignment horizontal="right" vertical="center"/>
    </xf>
    <xf numFmtId="0" fontId="83" fillId="69" borderId="16" xfId="0" applyFont="1" applyFill="1" applyBorder="1" applyAlignment="1">
      <alignment horizontal="center" vertical="center" wrapText="1"/>
    </xf>
    <xf numFmtId="168" fontId="42" fillId="69" borderId="16" xfId="0" applyNumberFormat="1" applyFont="1" applyFill="1" applyBorder="1" applyAlignment="1">
      <alignment horizontal="right" vertical="center"/>
    </xf>
    <xf numFmtId="10" fontId="30" fillId="0" borderId="16" xfId="3" applyNumberFormat="1" applyFont="1" applyBorder="1" applyAlignment="1">
      <alignment horizontal="center" vertical="center" wrapText="1"/>
    </xf>
    <xf numFmtId="168" fontId="32" fillId="0" borderId="16" xfId="0" applyNumberFormat="1" applyFont="1" applyBorder="1" applyAlignment="1">
      <alignment horizontal="right" vertical="center"/>
    </xf>
    <xf numFmtId="0" fontId="87" fillId="0" borderId="16" xfId="0" applyFont="1" applyBorder="1" applyAlignment="1">
      <alignment horizontal="justify" vertical="center"/>
    </xf>
    <xf numFmtId="10" fontId="33" fillId="67" borderId="16" xfId="3" applyNumberFormat="1" applyFont="1" applyFill="1" applyBorder="1" applyAlignment="1">
      <alignment horizontal="center" vertical="center" wrapText="1"/>
    </xf>
    <xf numFmtId="9" fontId="33" fillId="67" borderId="16" xfId="3" applyFont="1" applyFill="1" applyBorder="1" applyAlignment="1">
      <alignment horizontal="center" vertical="center" wrapText="1"/>
    </xf>
    <xf numFmtId="3" fontId="33" fillId="67" borderId="16" xfId="3" applyNumberFormat="1" applyFont="1" applyFill="1" applyBorder="1" applyAlignment="1">
      <alignment horizontal="center" vertical="center" wrapText="1"/>
    </xf>
    <xf numFmtId="0" fontId="82" fillId="0" borderId="16" xfId="0" applyFont="1" applyBorder="1" applyAlignment="1">
      <alignment vertical="center" wrapText="1"/>
    </xf>
    <xf numFmtId="0" fontId="40" fillId="70" borderId="16" xfId="0" applyFont="1" applyFill="1" applyBorder="1" applyAlignment="1">
      <alignment horizontal="center" vertical="center" wrapText="1"/>
    </xf>
    <xf numFmtId="0" fontId="82" fillId="71" borderId="16" xfId="0" applyFont="1" applyFill="1" applyBorder="1" applyAlignment="1">
      <alignment horizontal="center" vertical="center"/>
    </xf>
    <xf numFmtId="9" fontId="40" fillId="9" borderId="16" xfId="0" applyNumberFormat="1" applyFont="1" applyFill="1" applyBorder="1" applyAlignment="1">
      <alignment horizontal="center" vertical="center"/>
    </xf>
    <xf numFmtId="9" fontId="40" fillId="10" borderId="16" xfId="0" applyNumberFormat="1" applyFont="1" applyFill="1" applyBorder="1" applyAlignment="1">
      <alignment horizontal="center" vertical="center"/>
    </xf>
    <xf numFmtId="168" fontId="40" fillId="71" borderId="16" xfId="0" applyNumberFormat="1" applyFont="1" applyFill="1" applyBorder="1" applyAlignment="1">
      <alignment horizontal="right" vertical="center"/>
    </xf>
    <xf numFmtId="0" fontId="42" fillId="71" borderId="16" xfId="0" applyFont="1" applyFill="1" applyBorder="1" applyAlignment="1">
      <alignment horizontal="right" vertical="center"/>
    </xf>
    <xf numFmtId="43" fontId="42" fillId="71" borderId="16" xfId="4" applyFont="1" applyFill="1" applyBorder="1" applyAlignment="1">
      <alignment horizontal="right" vertical="center"/>
    </xf>
    <xf numFmtId="0" fontId="82" fillId="72" borderId="16" xfId="0" applyFont="1" applyFill="1" applyBorder="1" applyAlignment="1">
      <alignment vertical="center" wrapText="1"/>
    </xf>
    <xf numFmtId="0" fontId="40" fillId="73" borderId="16" xfId="0" applyFont="1" applyFill="1" applyBorder="1" applyAlignment="1">
      <alignment horizontal="center" vertical="center" wrapText="1"/>
    </xf>
    <xf numFmtId="9" fontId="40" fillId="0" borderId="16" xfId="0" applyNumberFormat="1" applyFont="1" applyBorder="1" applyAlignment="1">
      <alignment horizontal="center" vertical="center"/>
    </xf>
    <xf numFmtId="0" fontId="83" fillId="72" borderId="16" xfId="0" applyFont="1" applyFill="1" applyBorder="1" applyAlignment="1">
      <alignment horizontal="center" vertical="center" wrapText="1"/>
    </xf>
    <xf numFmtId="0" fontId="33" fillId="45" borderId="16" xfId="5" applyFont="1" applyFill="1" applyBorder="1" applyAlignment="1">
      <alignment horizontal="center" vertical="center" wrapText="1"/>
    </xf>
    <xf numFmtId="0" fontId="30" fillId="45" borderId="16" xfId="5" applyFont="1" applyFill="1" applyBorder="1" applyAlignment="1">
      <alignment horizontal="center" vertical="center" wrapText="1"/>
    </xf>
    <xf numFmtId="0" fontId="82" fillId="71" borderId="16" xfId="0" applyFont="1" applyFill="1" applyBorder="1" applyAlignment="1">
      <alignment vertical="center" wrapText="1"/>
    </xf>
    <xf numFmtId="0" fontId="40" fillId="74" borderId="16" xfId="0" applyFont="1" applyFill="1" applyBorder="1" applyAlignment="1">
      <alignment horizontal="center" vertical="center" wrapText="1"/>
    </xf>
    <xf numFmtId="0" fontId="83" fillId="71" borderId="16" xfId="0" applyFont="1" applyFill="1" applyBorder="1" applyAlignment="1">
      <alignment horizontal="center" vertical="center" wrapText="1"/>
    </xf>
    <xf numFmtId="168" fontId="59" fillId="71" borderId="16" xfId="0" applyNumberFormat="1" applyFont="1" applyFill="1" applyBorder="1" applyAlignment="1">
      <alignment horizontal="right" vertical="center"/>
    </xf>
    <xf numFmtId="3" fontId="30" fillId="57" borderId="16" xfId="5" applyNumberFormat="1" applyFont="1" applyFill="1" applyBorder="1" applyAlignment="1">
      <alignment vertical="center" wrapText="1"/>
    </xf>
    <xf numFmtId="1" fontId="30" fillId="57" borderId="16" xfId="5" applyNumberFormat="1" applyFont="1" applyFill="1" applyBorder="1" applyAlignment="1">
      <alignment horizontal="center" vertical="center" wrapText="1"/>
    </xf>
    <xf numFmtId="9" fontId="30" fillId="57" borderId="16" xfId="3" applyFont="1" applyFill="1" applyBorder="1" applyAlignment="1">
      <alignment horizontal="center" vertical="center" wrapText="1"/>
    </xf>
    <xf numFmtId="3" fontId="30" fillId="57" borderId="16" xfId="5" applyNumberFormat="1" applyFont="1" applyFill="1" applyBorder="1" applyAlignment="1">
      <alignment horizontal="center" vertical="center" wrapText="1"/>
    </xf>
    <xf numFmtId="10" fontId="30" fillId="57" borderId="16" xfId="3" applyNumberFormat="1" applyFont="1" applyFill="1" applyBorder="1" applyAlignment="1">
      <alignment vertical="center" wrapText="1"/>
    </xf>
    <xf numFmtId="0" fontId="83" fillId="9" borderId="16" xfId="0" applyFont="1" applyFill="1" applyBorder="1" applyAlignment="1">
      <alignment vertical="center" wrapText="1"/>
    </xf>
    <xf numFmtId="0" fontId="32" fillId="9" borderId="16" xfId="0" applyFont="1" applyFill="1" applyBorder="1" applyAlignment="1">
      <alignment horizontal="center" vertical="center" wrapText="1"/>
    </xf>
    <xf numFmtId="1" fontId="30" fillId="3" borderId="16" xfId="5" applyNumberFormat="1" applyFont="1" applyFill="1" applyBorder="1" applyAlignment="1">
      <alignment horizontal="center" vertical="center" wrapText="1"/>
    </xf>
    <xf numFmtId="3" fontId="30" fillId="9" borderId="16" xfId="5" applyNumberFormat="1" applyFont="1" applyFill="1" applyBorder="1" applyAlignment="1">
      <alignment vertical="top" wrapText="1"/>
    </xf>
    <xf numFmtId="168" fontId="59" fillId="29" borderId="16" xfId="0" applyNumberFormat="1" applyFont="1" applyFill="1" applyBorder="1" applyAlignment="1">
      <alignment horizontal="right" vertical="center"/>
    </xf>
    <xf numFmtId="168" fontId="89" fillId="29" borderId="16" xfId="0" applyNumberFormat="1" applyFont="1" applyFill="1" applyBorder="1" applyAlignment="1">
      <alignment horizontal="right" vertical="center"/>
    </xf>
    <xf numFmtId="168" fontId="89" fillId="9" borderId="16" xfId="0" applyNumberFormat="1" applyFont="1" applyFill="1" applyBorder="1" applyAlignment="1">
      <alignment horizontal="right" vertical="center"/>
    </xf>
    <xf numFmtId="0" fontId="40" fillId="0" borderId="16" xfId="0" applyFont="1" applyBorder="1" applyAlignment="1">
      <alignment vertical="center" wrapText="1"/>
    </xf>
    <xf numFmtId="0" fontId="83" fillId="75" borderId="16" xfId="0" applyFont="1" applyFill="1" applyBorder="1" applyAlignment="1">
      <alignment vertical="center" wrapText="1"/>
    </xf>
    <xf numFmtId="9" fontId="83" fillId="10" borderId="16" xfId="0" applyNumberFormat="1" applyFont="1" applyFill="1" applyBorder="1" applyAlignment="1">
      <alignment horizontal="center" vertical="center" wrapText="1"/>
    </xf>
    <xf numFmtId="168" fontId="88" fillId="9" borderId="16" xfId="0" applyNumberFormat="1" applyFont="1" applyFill="1" applyBorder="1" applyAlignment="1">
      <alignment horizontal="right" vertical="center"/>
    </xf>
    <xf numFmtId="3" fontId="30" fillId="55" borderId="16" xfId="5" applyNumberFormat="1" applyFont="1" applyFill="1" applyBorder="1" applyAlignment="1">
      <alignment vertical="center" wrapText="1"/>
    </xf>
    <xf numFmtId="1" fontId="30" fillId="55" borderId="16" xfId="5" applyNumberFormat="1" applyFont="1" applyFill="1" applyBorder="1" applyAlignment="1">
      <alignment horizontal="center" vertical="center" wrapText="1"/>
    </xf>
    <xf numFmtId="10" fontId="30" fillId="55" borderId="16" xfId="3" applyNumberFormat="1" applyFont="1" applyFill="1" applyBorder="1" applyAlignment="1">
      <alignment vertical="center" wrapText="1"/>
    </xf>
    <xf numFmtId="0" fontId="82" fillId="76" borderId="16" xfId="0" applyFont="1" applyFill="1" applyBorder="1" applyAlignment="1">
      <alignment vertical="center" wrapText="1"/>
    </xf>
    <xf numFmtId="0" fontId="82" fillId="76" borderId="16" xfId="0" applyFont="1" applyFill="1" applyBorder="1" applyAlignment="1">
      <alignment horizontal="center" vertical="center"/>
    </xf>
    <xf numFmtId="9" fontId="82" fillId="76" borderId="16" xfId="0" applyNumberFormat="1" applyFont="1" applyFill="1" applyBorder="1" applyAlignment="1">
      <alignment horizontal="center" vertical="center" wrapText="1"/>
    </xf>
    <xf numFmtId="168" fontId="59" fillId="76" borderId="16" xfId="0" applyNumberFormat="1" applyFont="1" applyFill="1" applyBorder="1" applyAlignment="1">
      <alignment horizontal="right" vertical="center"/>
    </xf>
    <xf numFmtId="0" fontId="83" fillId="76" borderId="16" xfId="0" applyFont="1" applyFill="1" applyBorder="1" applyAlignment="1">
      <alignment horizontal="center" vertical="center" wrapText="1"/>
    </xf>
    <xf numFmtId="9" fontId="82" fillId="0" borderId="16" xfId="0" applyNumberFormat="1" applyFont="1" applyBorder="1" applyAlignment="1">
      <alignment horizontal="center" vertical="center" wrapText="1"/>
    </xf>
    <xf numFmtId="10" fontId="33" fillId="45" borderId="16" xfId="3" applyNumberFormat="1" applyFont="1" applyFill="1" applyBorder="1" applyAlignment="1">
      <alignment vertical="center" wrapText="1"/>
    </xf>
    <xf numFmtId="0" fontId="82" fillId="77" borderId="16" xfId="0" applyFont="1" applyFill="1" applyBorder="1" applyAlignment="1">
      <alignment vertical="center" wrapText="1"/>
    </xf>
    <xf numFmtId="0" fontId="40" fillId="70" borderId="16" xfId="0" applyFont="1" applyFill="1" applyBorder="1" applyAlignment="1">
      <alignment horizontal="center" vertical="center"/>
    </xf>
    <xf numFmtId="9" fontId="82" fillId="77" borderId="16" xfId="0" applyNumberFormat="1" applyFont="1" applyFill="1" applyBorder="1" applyAlignment="1">
      <alignment horizontal="center" vertical="center" wrapText="1"/>
    </xf>
    <xf numFmtId="168" fontId="59" fillId="77" borderId="16" xfId="0" applyNumberFormat="1" applyFont="1" applyFill="1" applyBorder="1" applyAlignment="1">
      <alignment horizontal="right" vertical="center"/>
    </xf>
    <xf numFmtId="0" fontId="83" fillId="77" borderId="16" xfId="0" applyFont="1" applyFill="1" applyBorder="1" applyAlignment="1">
      <alignment horizontal="center" vertical="center" wrapText="1"/>
    </xf>
    <xf numFmtId="0" fontId="32" fillId="77" borderId="16" xfId="0" applyFont="1" applyFill="1" applyBorder="1" applyAlignment="1">
      <alignment vertical="center" wrapText="1"/>
    </xf>
    <xf numFmtId="0" fontId="32" fillId="77" borderId="16" xfId="0" applyFont="1" applyFill="1" applyBorder="1" applyAlignment="1">
      <alignment horizontal="left" vertical="center" wrapText="1"/>
    </xf>
    <xf numFmtId="0" fontId="59" fillId="77" borderId="16" xfId="0" applyFont="1" applyFill="1" applyBorder="1" applyAlignment="1">
      <alignment horizontal="right" vertical="center"/>
    </xf>
    <xf numFmtId="0" fontId="82" fillId="78" borderId="16" xfId="0" applyFont="1" applyFill="1" applyBorder="1" applyAlignment="1">
      <alignment vertical="center" wrapText="1"/>
    </xf>
    <xf numFmtId="0" fontId="83" fillId="9" borderId="16" xfId="0" applyFont="1" applyFill="1" applyBorder="1" applyAlignment="1">
      <alignment horizontal="center" vertical="center" wrapText="1"/>
    </xf>
    <xf numFmtId="168" fontId="59" fillId="78" borderId="16" xfId="0" applyNumberFormat="1" applyFont="1" applyFill="1" applyBorder="1" applyAlignment="1">
      <alignment horizontal="right" vertical="center"/>
    </xf>
    <xf numFmtId="0" fontId="82" fillId="79" borderId="16" xfId="0" applyFont="1" applyFill="1" applyBorder="1" applyAlignment="1">
      <alignment vertical="center" wrapText="1"/>
    </xf>
    <xf numFmtId="0" fontId="40" fillId="80" borderId="16" xfId="0" applyFont="1" applyFill="1" applyBorder="1" applyAlignment="1">
      <alignment horizontal="center" vertical="center" wrapText="1"/>
    </xf>
    <xf numFmtId="9" fontId="40" fillId="80" borderId="16" xfId="0" applyNumberFormat="1" applyFont="1" applyFill="1" applyBorder="1" applyAlignment="1">
      <alignment horizontal="center" vertical="center"/>
    </xf>
    <xf numFmtId="168" fontId="59" fillId="79" borderId="16" xfId="0" applyNumberFormat="1" applyFont="1" applyFill="1" applyBorder="1" applyAlignment="1">
      <alignment horizontal="right" vertical="center"/>
    </xf>
    <xf numFmtId="0" fontId="83" fillId="79" borderId="16" xfId="0" applyFont="1" applyFill="1" applyBorder="1" applyAlignment="1">
      <alignment horizontal="center" vertical="center" wrapText="1"/>
    </xf>
    <xf numFmtId="0" fontId="40" fillId="81" borderId="16" xfId="0" applyFont="1" applyFill="1" applyBorder="1" applyAlignment="1">
      <alignment horizontal="center" vertical="center" wrapText="1"/>
    </xf>
    <xf numFmtId="168" fontId="59" fillId="0" borderId="16" xfId="0" applyNumberFormat="1" applyFont="1" applyBorder="1" applyAlignment="1">
      <alignment horizontal="right" vertical="center"/>
    </xf>
    <xf numFmtId="168" fontId="92" fillId="77" borderId="16" xfId="0" applyNumberFormat="1" applyFont="1" applyFill="1" applyBorder="1" applyAlignment="1">
      <alignment horizontal="right" vertical="center"/>
    </xf>
    <xf numFmtId="168" fontId="92" fillId="82" borderId="16" xfId="0" applyNumberFormat="1" applyFont="1" applyFill="1" applyBorder="1" applyAlignment="1">
      <alignment horizontal="right" vertical="center"/>
    </xf>
    <xf numFmtId="168" fontId="92" fillId="0" borderId="16" xfId="0" applyNumberFormat="1" applyFont="1" applyBorder="1" applyAlignment="1">
      <alignment horizontal="right" vertical="center"/>
    </xf>
    <xf numFmtId="168" fontId="92" fillId="79" borderId="16" xfId="0" applyNumberFormat="1" applyFont="1" applyFill="1" applyBorder="1" applyAlignment="1">
      <alignment horizontal="right" vertical="center"/>
    </xf>
    <xf numFmtId="0" fontId="82" fillId="79" borderId="16" xfId="0" applyFont="1" applyFill="1" applyBorder="1" applyAlignment="1">
      <alignment horizontal="left" vertical="center" wrapText="1"/>
    </xf>
    <xf numFmtId="0" fontId="82" fillId="79" borderId="16" xfId="0" applyFont="1" applyFill="1" applyBorder="1" applyAlignment="1">
      <alignment horizontal="center" vertical="center"/>
    </xf>
    <xf numFmtId="9" fontId="82" fillId="79" borderId="16" xfId="0" applyNumberFormat="1" applyFont="1" applyFill="1" applyBorder="1" applyAlignment="1">
      <alignment horizontal="center" vertical="center" wrapText="1"/>
    </xf>
    <xf numFmtId="9" fontId="82" fillId="83" borderId="16" xfId="0" applyNumberFormat="1" applyFont="1" applyFill="1" applyBorder="1" applyAlignment="1">
      <alignment horizontal="center" vertical="center" wrapText="1"/>
    </xf>
    <xf numFmtId="0" fontId="32" fillId="79" borderId="16" xfId="0" applyFont="1" applyFill="1" applyBorder="1" applyAlignment="1">
      <alignment horizontal="center" vertical="center" wrapText="1"/>
    </xf>
    <xf numFmtId="0" fontId="32" fillId="77" borderId="16" xfId="0" applyFont="1" applyFill="1" applyBorder="1" applyAlignment="1">
      <alignment horizontal="center" vertical="center" wrapText="1"/>
    </xf>
    <xf numFmtId="0" fontId="40" fillId="84" borderId="16" xfId="0" applyFont="1" applyFill="1" applyBorder="1" applyAlignment="1">
      <alignment horizontal="center" vertical="center" wrapText="1"/>
    </xf>
    <xf numFmtId="165" fontId="33" fillId="9" borderId="16" xfId="4" applyNumberFormat="1" applyFont="1" applyFill="1" applyBorder="1" applyAlignment="1">
      <alignment vertical="center" wrapText="1"/>
    </xf>
    <xf numFmtId="0" fontId="32" fillId="76" borderId="16" xfId="0" applyFont="1" applyFill="1" applyBorder="1" applyAlignment="1">
      <alignment horizontal="center" vertical="center" wrapText="1"/>
    </xf>
    <xf numFmtId="0" fontId="82" fillId="85" borderId="16" xfId="0" applyFont="1" applyFill="1" applyBorder="1" applyAlignment="1">
      <alignment vertical="center" wrapText="1"/>
    </xf>
    <xf numFmtId="0" fontId="82" fillId="85" borderId="16" xfId="0" applyFont="1" applyFill="1" applyBorder="1" applyAlignment="1">
      <alignment horizontal="center" vertical="center"/>
    </xf>
    <xf numFmtId="168" fontId="86" fillId="0" borderId="16" xfId="0" applyNumberFormat="1" applyFont="1" applyBorder="1" applyAlignment="1">
      <alignment horizontal="right" vertical="center"/>
    </xf>
    <xf numFmtId="0" fontId="32" fillId="85" borderId="16" xfId="0" applyFont="1" applyFill="1" applyBorder="1" applyAlignment="1">
      <alignment horizontal="center" vertical="center" wrapText="1"/>
    </xf>
    <xf numFmtId="9" fontId="82" fillId="85" borderId="16" xfId="0" applyNumberFormat="1" applyFont="1" applyFill="1" applyBorder="1" applyAlignment="1">
      <alignment horizontal="center" vertical="center"/>
    </xf>
    <xf numFmtId="168" fontId="59" fillId="85" borderId="16" xfId="0" applyNumberFormat="1" applyFont="1" applyFill="1" applyBorder="1" applyAlignment="1">
      <alignment horizontal="right" vertical="center"/>
    </xf>
    <xf numFmtId="0" fontId="82" fillId="77" borderId="16" xfId="0" applyFont="1" applyFill="1" applyBorder="1" applyAlignment="1">
      <alignment horizontal="center" vertical="center" wrapText="1"/>
    </xf>
    <xf numFmtId="1" fontId="30" fillId="67" borderId="16" xfId="5" applyNumberFormat="1" applyFont="1" applyFill="1" applyBorder="1" applyAlignment="1">
      <alignment horizontal="center" vertical="center" wrapText="1"/>
    </xf>
    <xf numFmtId="0" fontId="30" fillId="55" borderId="16" xfId="5" applyFont="1" applyFill="1" applyBorder="1" applyAlignment="1">
      <alignment vertical="center" wrapText="1"/>
    </xf>
    <xf numFmtId="0" fontId="30" fillId="55" borderId="16" xfId="5" applyFont="1" applyFill="1" applyBorder="1" applyAlignment="1">
      <alignment horizontal="center" vertical="center" wrapText="1"/>
    </xf>
    <xf numFmtId="3" fontId="30" fillId="55" borderId="16" xfId="5" applyNumberFormat="1" applyFont="1" applyFill="1" applyBorder="1" applyAlignment="1">
      <alignment horizontal="center" vertical="center" wrapText="1"/>
    </xf>
    <xf numFmtId="0" fontId="33" fillId="57" borderId="16" xfId="5" applyFont="1" applyFill="1" applyBorder="1" applyAlignment="1">
      <alignment vertical="center" wrapText="1"/>
    </xf>
    <xf numFmtId="0" fontId="33" fillId="57" borderId="16" xfId="5" applyFont="1" applyFill="1" applyBorder="1" applyAlignment="1">
      <alignment horizontal="center" vertical="center" wrapText="1"/>
    </xf>
    <xf numFmtId="0" fontId="30" fillId="45" borderId="16" xfId="5" applyFont="1" applyFill="1" applyBorder="1" applyAlignment="1">
      <alignment vertical="center" wrapText="1"/>
    </xf>
    <xf numFmtId="0" fontId="82" fillId="30" borderId="16" xfId="0" applyFont="1" applyFill="1" applyBorder="1" applyAlignment="1">
      <alignment vertical="center" wrapText="1"/>
    </xf>
    <xf numFmtId="0" fontId="40" fillId="86" borderId="16" xfId="0" applyFont="1" applyFill="1" applyBorder="1" applyAlignment="1">
      <alignment horizontal="center" vertical="center" wrapText="1"/>
    </xf>
    <xf numFmtId="0" fontId="40" fillId="86" borderId="16" xfId="0" applyFont="1" applyFill="1" applyBorder="1" applyAlignment="1">
      <alignment horizontal="center" vertical="center"/>
    </xf>
    <xf numFmtId="168" fontId="59" fillId="30" borderId="16" xfId="0" applyNumberFormat="1" applyFont="1" applyFill="1" applyBorder="1" applyAlignment="1">
      <alignment horizontal="right" vertical="center"/>
    </xf>
    <xf numFmtId="0" fontId="82" fillId="30" borderId="16" xfId="0" applyFont="1" applyFill="1" applyBorder="1" applyAlignment="1">
      <alignment horizontal="center" vertical="center" wrapText="1"/>
    </xf>
    <xf numFmtId="0" fontId="82" fillId="31" borderId="16" xfId="0" applyFont="1" applyFill="1" applyBorder="1" applyAlignment="1">
      <alignment vertical="center" wrapText="1"/>
    </xf>
    <xf numFmtId="0" fontId="40" fillId="87" borderId="16" xfId="0" applyFont="1" applyFill="1" applyBorder="1" applyAlignment="1">
      <alignment horizontal="center" vertical="center" wrapText="1"/>
    </xf>
    <xf numFmtId="168" fontId="42" fillId="31" borderId="16" xfId="0" applyNumberFormat="1" applyFont="1" applyFill="1" applyBorder="1" applyAlignment="1">
      <alignment horizontal="right" vertical="center"/>
    </xf>
    <xf numFmtId="168" fontId="42" fillId="32" borderId="16" xfId="0" applyNumberFormat="1" applyFont="1" applyFill="1" applyBorder="1" applyAlignment="1">
      <alignment horizontal="right" vertical="center"/>
    </xf>
    <xf numFmtId="0" fontId="83" fillId="31" borderId="16" xfId="0" applyFont="1" applyFill="1" applyBorder="1" applyAlignment="1">
      <alignment horizontal="center" vertical="center" wrapText="1"/>
    </xf>
    <xf numFmtId="0" fontId="82" fillId="32" borderId="16" xfId="0" applyFont="1" applyFill="1" applyBorder="1" applyAlignment="1">
      <alignment vertical="center" wrapText="1"/>
    </xf>
    <xf numFmtId="174" fontId="30" fillId="0" borderId="16" xfId="5" applyNumberFormat="1" applyFont="1" applyBorder="1" applyAlignment="1">
      <alignment horizontal="center" vertical="center" wrapText="1"/>
    </xf>
    <xf numFmtId="0" fontId="83" fillId="32" borderId="16" xfId="0" applyFont="1" applyFill="1" applyBorder="1" applyAlignment="1">
      <alignment horizontal="center" vertical="center" wrapText="1"/>
    </xf>
    <xf numFmtId="0" fontId="82" fillId="31" borderId="16" xfId="0" applyFont="1" applyFill="1" applyBorder="1" applyAlignment="1">
      <alignment horizontal="center" vertical="center" wrapText="1"/>
    </xf>
    <xf numFmtId="0" fontId="40" fillId="87" borderId="16" xfId="0" applyFont="1" applyFill="1" applyBorder="1" applyAlignment="1">
      <alignment horizontal="center" vertical="center"/>
    </xf>
    <xf numFmtId="168" fontId="42" fillId="30" borderId="16" xfId="0" applyNumberFormat="1" applyFont="1" applyFill="1" applyBorder="1" applyAlignment="1">
      <alignment horizontal="right" vertical="center"/>
    </xf>
    <xf numFmtId="0" fontId="83" fillId="30" borderId="16" xfId="0" applyFont="1" applyFill="1" applyBorder="1" applyAlignment="1">
      <alignment horizontal="center" vertical="center" wrapText="1"/>
    </xf>
    <xf numFmtId="0" fontId="42" fillId="30" borderId="16" xfId="0" applyFont="1" applyFill="1" applyBorder="1" applyAlignment="1">
      <alignment horizontal="right" vertical="center"/>
    </xf>
    <xf numFmtId="0" fontId="82" fillId="32" borderId="16" xfId="0" applyFont="1" applyFill="1" applyBorder="1" applyAlignment="1">
      <alignment horizontal="center" vertical="center" wrapText="1"/>
    </xf>
    <xf numFmtId="0" fontId="30" fillId="9" borderId="16" xfId="5" applyFont="1" applyFill="1" applyBorder="1" applyAlignment="1">
      <alignment vertical="center" wrapText="1"/>
    </xf>
    <xf numFmtId="0" fontId="86" fillId="32" borderId="16" xfId="0" applyFont="1" applyFill="1" applyBorder="1" applyAlignment="1">
      <alignment horizontal="center" vertical="center" wrapText="1"/>
    </xf>
    <xf numFmtId="0" fontId="82" fillId="31" borderId="16" xfId="0" applyFont="1" applyFill="1" applyBorder="1" applyAlignment="1">
      <alignment horizontal="center" vertical="center"/>
    </xf>
    <xf numFmtId="9" fontId="82" fillId="31" borderId="16" xfId="0" applyNumberFormat="1" applyFont="1" applyFill="1" applyBorder="1" applyAlignment="1">
      <alignment horizontal="center" vertical="center" wrapText="1"/>
    </xf>
    <xf numFmtId="0" fontId="42" fillId="31" borderId="16" xfId="0" applyFont="1" applyFill="1" applyBorder="1" applyAlignment="1">
      <alignment horizontal="right" vertical="center"/>
    </xf>
    <xf numFmtId="0" fontId="93" fillId="0" borderId="16" xfId="0" applyFont="1" applyBorder="1" applyAlignment="1">
      <alignment horizontal="center" vertical="center"/>
    </xf>
    <xf numFmtId="0" fontId="32" fillId="31" borderId="16" xfId="0" applyFont="1" applyFill="1" applyBorder="1" applyAlignment="1">
      <alignment horizontal="center" vertical="center" wrapText="1"/>
    </xf>
    <xf numFmtId="168" fontId="40" fillId="31" borderId="16" xfId="0" applyNumberFormat="1" applyFont="1" applyFill="1" applyBorder="1" applyAlignment="1">
      <alignment horizontal="right" vertical="center"/>
    </xf>
    <xf numFmtId="0" fontId="32" fillId="32" borderId="16" xfId="0" applyFont="1" applyFill="1" applyBorder="1" applyAlignment="1">
      <alignment horizontal="center" vertical="center" wrapText="1"/>
    </xf>
    <xf numFmtId="9" fontId="82" fillId="88" borderId="16" xfId="0" applyNumberFormat="1" applyFont="1" applyFill="1" applyBorder="1" applyAlignment="1">
      <alignment horizontal="center" vertical="center" wrapText="1"/>
    </xf>
    <xf numFmtId="0" fontId="32" fillId="31" borderId="16" xfId="0" applyFont="1" applyFill="1" applyBorder="1" applyAlignment="1">
      <alignment horizontal="left" vertical="center" wrapText="1"/>
    </xf>
    <xf numFmtId="0" fontId="82" fillId="32" borderId="16" xfId="0" applyFont="1" applyFill="1" applyBorder="1" applyAlignment="1">
      <alignment horizontal="center" vertical="center"/>
    </xf>
    <xf numFmtId="9" fontId="82" fillId="32" borderId="16" xfId="0" applyNumberFormat="1" applyFont="1" applyFill="1" applyBorder="1" applyAlignment="1">
      <alignment horizontal="center" vertical="center" wrapText="1"/>
    </xf>
    <xf numFmtId="168" fontId="30" fillId="32" borderId="16" xfId="0" applyNumberFormat="1" applyFont="1" applyFill="1" applyBorder="1" applyAlignment="1">
      <alignment vertical="center"/>
    </xf>
    <xf numFmtId="9" fontId="82" fillId="30" borderId="16" xfId="0" applyNumberFormat="1" applyFont="1" applyFill="1" applyBorder="1" applyAlignment="1">
      <alignment horizontal="center" vertical="center"/>
    </xf>
    <xf numFmtId="9" fontId="82" fillId="30" borderId="16" xfId="0" applyNumberFormat="1" applyFont="1" applyFill="1" applyBorder="1" applyAlignment="1">
      <alignment horizontal="center" vertical="center" wrapText="1"/>
    </xf>
    <xf numFmtId="168" fontId="30" fillId="30" borderId="16" xfId="0" applyNumberFormat="1" applyFont="1" applyFill="1" applyBorder="1" applyAlignment="1">
      <alignment vertical="center"/>
    </xf>
    <xf numFmtId="0" fontId="32" fillId="30" borderId="16" xfId="0" applyFont="1" applyFill="1" applyBorder="1" applyAlignment="1">
      <alignment horizontal="center" vertical="center" wrapText="1"/>
    </xf>
    <xf numFmtId="0" fontId="82" fillId="30" borderId="16" xfId="0" applyFont="1" applyFill="1" applyBorder="1" applyAlignment="1">
      <alignment horizontal="center" vertical="center"/>
    </xf>
    <xf numFmtId="168" fontId="40" fillId="30" borderId="16" xfId="0" applyNumberFormat="1" applyFont="1" applyFill="1" applyBorder="1" applyAlignment="1">
      <alignment horizontal="right" vertical="center"/>
    </xf>
    <xf numFmtId="170" fontId="42" fillId="31" borderId="16" xfId="11" applyNumberFormat="1" applyFont="1" applyFill="1" applyBorder="1" applyAlignment="1">
      <alignment horizontal="right" vertical="center"/>
    </xf>
    <xf numFmtId="9" fontId="82" fillId="0" borderId="16" xfId="0" applyNumberFormat="1" applyFont="1" applyBorder="1" applyAlignment="1">
      <alignment horizontal="center" vertical="center"/>
    </xf>
    <xf numFmtId="0" fontId="82" fillId="60" borderId="16" xfId="0" applyFont="1" applyFill="1" applyBorder="1" applyAlignment="1">
      <alignment vertical="center" wrapText="1"/>
    </xf>
    <xf numFmtId="0" fontId="82" fillId="60" borderId="16" xfId="0" applyFont="1" applyFill="1" applyBorder="1" applyAlignment="1">
      <alignment horizontal="center" vertical="center"/>
    </xf>
    <xf numFmtId="9" fontId="82" fillId="60" borderId="16" xfId="0" applyNumberFormat="1" applyFont="1" applyFill="1" applyBorder="1" applyAlignment="1">
      <alignment horizontal="center" vertical="center" wrapText="1"/>
    </xf>
    <xf numFmtId="168" fontId="42" fillId="60" borderId="16" xfId="0" applyNumberFormat="1" applyFont="1" applyFill="1" applyBorder="1" applyAlignment="1">
      <alignment horizontal="right" vertical="center"/>
    </xf>
    <xf numFmtId="0" fontId="83" fillId="60" borderId="16" xfId="0" applyFont="1" applyFill="1" applyBorder="1" applyAlignment="1">
      <alignment horizontal="center" vertical="center" wrapText="1"/>
    </xf>
    <xf numFmtId="0" fontId="40" fillId="0" borderId="16" xfId="0" applyFont="1" applyBorder="1" applyAlignment="1">
      <alignment vertical="center"/>
    </xf>
    <xf numFmtId="9" fontId="82" fillId="89" borderId="16" xfId="0" applyNumberFormat="1" applyFont="1" applyFill="1" applyBorder="1" applyAlignment="1">
      <alignment horizontal="center" vertical="center" wrapText="1"/>
    </xf>
    <xf numFmtId="9" fontId="82" fillId="60" borderId="16" xfId="0" applyNumberFormat="1" applyFont="1" applyFill="1" applyBorder="1" applyAlignment="1">
      <alignment horizontal="center" vertical="center"/>
    </xf>
    <xf numFmtId="0" fontId="82" fillId="90" borderId="16" xfId="0" applyFont="1" applyFill="1" applyBorder="1" applyAlignment="1">
      <alignment horizontal="center" vertical="center"/>
    </xf>
    <xf numFmtId="10" fontId="30" fillId="57" borderId="16" xfId="3" applyNumberFormat="1" applyFont="1" applyFill="1" applyBorder="1" applyAlignment="1">
      <alignment horizontal="center" vertical="center" wrapText="1"/>
    </xf>
    <xf numFmtId="3" fontId="30" fillId="57" borderId="16" xfId="3" applyNumberFormat="1" applyFont="1" applyFill="1" applyBorder="1" applyAlignment="1">
      <alignment horizontal="center" vertical="center" wrapText="1"/>
    </xf>
    <xf numFmtId="0" fontId="82" fillId="91" borderId="16" xfId="0" applyFont="1" applyFill="1" applyBorder="1" applyAlignment="1">
      <alignment vertical="center" wrapText="1"/>
    </xf>
    <xf numFmtId="0" fontId="82" fillId="91" borderId="16" xfId="0" applyFont="1" applyFill="1" applyBorder="1" applyAlignment="1">
      <alignment horizontal="center" vertical="center" wrapText="1"/>
    </xf>
    <xf numFmtId="0" fontId="82" fillId="91" borderId="16" xfId="0" applyFont="1" applyFill="1" applyBorder="1" applyAlignment="1">
      <alignment horizontal="center" vertical="center"/>
    </xf>
    <xf numFmtId="9" fontId="82" fillId="91" borderId="16" xfId="0" applyNumberFormat="1" applyFont="1" applyFill="1" applyBorder="1" applyAlignment="1">
      <alignment horizontal="center" vertical="center" wrapText="1"/>
    </xf>
    <xf numFmtId="168" fontId="42" fillId="91" borderId="16" xfId="0" applyNumberFormat="1" applyFont="1" applyFill="1" applyBorder="1" applyAlignment="1">
      <alignment horizontal="right" vertical="center"/>
    </xf>
    <xf numFmtId="0" fontId="83" fillId="91" borderId="16" xfId="0" applyFont="1" applyFill="1" applyBorder="1" applyAlignment="1">
      <alignment horizontal="center" vertical="center" wrapText="1"/>
    </xf>
    <xf numFmtId="1" fontId="82" fillId="0" borderId="16" xfId="0" applyNumberFormat="1" applyFont="1" applyBorder="1" applyAlignment="1">
      <alignment horizontal="center" vertical="center"/>
    </xf>
    <xf numFmtId="0" fontId="21" fillId="9" borderId="16" xfId="0" applyFont="1" applyFill="1" applyBorder="1" applyAlignment="1">
      <alignment wrapText="1"/>
    </xf>
    <xf numFmtId="1" fontId="82" fillId="91" borderId="16" xfId="0" applyNumberFormat="1" applyFont="1" applyFill="1" applyBorder="1" applyAlignment="1">
      <alignment horizontal="center" vertical="center"/>
    </xf>
    <xf numFmtId="168" fontId="30" fillId="91" borderId="16" xfId="0" applyNumberFormat="1" applyFont="1" applyFill="1" applyBorder="1" applyAlignment="1">
      <alignment vertical="center"/>
    </xf>
    <xf numFmtId="0" fontId="21" fillId="9" borderId="16" xfId="0" applyFont="1" applyFill="1" applyBorder="1" applyAlignment="1">
      <alignment vertical="center" wrapText="1"/>
    </xf>
    <xf numFmtId="0" fontId="21" fillId="9" borderId="16" xfId="0" applyFont="1" applyFill="1" applyBorder="1" applyAlignment="1">
      <alignment vertical="top" wrapText="1"/>
    </xf>
    <xf numFmtId="0" fontId="82" fillId="92" borderId="16" xfId="0" applyFont="1" applyFill="1" applyBorder="1" applyAlignment="1">
      <alignment vertical="center" wrapText="1"/>
    </xf>
    <xf numFmtId="0" fontId="82" fillId="92" borderId="16" xfId="0" applyFont="1" applyFill="1" applyBorder="1" applyAlignment="1">
      <alignment horizontal="center" vertical="center" wrapText="1"/>
    </xf>
    <xf numFmtId="168" fontId="42" fillId="92" borderId="16" xfId="0" applyNumberFormat="1" applyFont="1" applyFill="1" applyBorder="1" applyAlignment="1">
      <alignment horizontal="right" vertical="center"/>
    </xf>
    <xf numFmtId="0" fontId="83" fillId="92" borderId="16" xfId="0" applyFont="1" applyFill="1" applyBorder="1" applyAlignment="1">
      <alignment horizontal="center" vertical="center" wrapText="1"/>
    </xf>
    <xf numFmtId="0" fontId="40" fillId="93" borderId="16" xfId="0" applyFont="1" applyFill="1" applyBorder="1" applyAlignment="1">
      <alignment horizontal="center" vertical="center"/>
    </xf>
    <xf numFmtId="9" fontId="40" fillId="0" borderId="16" xfId="3" applyFont="1" applyFill="1" applyBorder="1" applyAlignment="1">
      <alignment horizontal="center" vertical="center"/>
    </xf>
    <xf numFmtId="9" fontId="40" fillId="0" borderId="76" xfId="3" applyFont="1" applyFill="1" applyBorder="1" applyAlignment="1">
      <alignment horizontal="center" vertical="center"/>
    </xf>
    <xf numFmtId="168" fontId="30" fillId="60" borderId="16" xfId="0" applyNumberFormat="1" applyFont="1" applyFill="1" applyBorder="1" applyAlignment="1">
      <alignment vertical="center"/>
    </xf>
    <xf numFmtId="0" fontId="86" fillId="60" borderId="16" xfId="0" applyFont="1" applyFill="1" applyBorder="1" applyAlignment="1">
      <alignment horizontal="center" vertical="center"/>
    </xf>
    <xf numFmtId="1" fontId="82" fillId="60" borderId="16" xfId="0" applyNumberFormat="1" applyFont="1" applyFill="1" applyBorder="1" applyAlignment="1">
      <alignment horizontal="center" vertical="center"/>
    </xf>
    <xf numFmtId="171" fontId="42" fillId="60" borderId="16" xfId="0" applyNumberFormat="1" applyFont="1" applyFill="1" applyBorder="1" applyAlignment="1">
      <alignment horizontal="right" vertical="center"/>
    </xf>
    <xf numFmtId="0" fontId="32" fillId="91" borderId="16" xfId="0" applyFont="1" applyFill="1" applyBorder="1" applyAlignment="1">
      <alignment horizontal="center" vertical="center" wrapText="1"/>
    </xf>
    <xf numFmtId="9" fontId="82" fillId="91" borderId="16" xfId="0" applyNumberFormat="1" applyFont="1" applyFill="1" applyBorder="1" applyAlignment="1">
      <alignment horizontal="center" vertical="center"/>
    </xf>
    <xf numFmtId="4" fontId="30" fillId="0" borderId="16" xfId="5" applyNumberFormat="1" applyFont="1" applyBorder="1" applyAlignment="1">
      <alignment horizontal="center" vertical="center" wrapText="1"/>
    </xf>
    <xf numFmtId="1" fontId="86" fillId="60" borderId="16" xfId="0" applyNumberFormat="1" applyFont="1" applyFill="1" applyBorder="1" applyAlignment="1">
      <alignment horizontal="center" vertical="center"/>
    </xf>
    <xf numFmtId="168" fontId="30" fillId="9" borderId="16" xfId="0" applyNumberFormat="1" applyFont="1" applyFill="1" applyBorder="1" applyAlignment="1">
      <alignment vertical="center"/>
    </xf>
    <xf numFmtId="0" fontId="83" fillId="0" borderId="16" xfId="0" applyFont="1" applyBorder="1" applyAlignment="1">
      <alignment horizontal="center"/>
    </xf>
    <xf numFmtId="0" fontId="32" fillId="60" borderId="16" xfId="0" applyFont="1" applyFill="1" applyBorder="1" applyAlignment="1">
      <alignment horizontal="center" vertical="center" wrapText="1"/>
    </xf>
    <xf numFmtId="168" fontId="30" fillId="0" borderId="16" xfId="0" applyNumberFormat="1" applyFont="1" applyBorder="1" applyAlignment="1">
      <alignment vertical="center"/>
    </xf>
    <xf numFmtId="168" fontId="30" fillId="92" borderId="16" xfId="0" applyNumberFormat="1" applyFont="1" applyFill="1" applyBorder="1" applyAlignment="1">
      <alignment horizontal="right" vertical="center"/>
    </xf>
    <xf numFmtId="168" fontId="30" fillId="60" borderId="16" xfId="0" applyNumberFormat="1" applyFont="1" applyFill="1" applyBorder="1" applyAlignment="1">
      <alignment horizontal="right" vertical="center"/>
    </xf>
    <xf numFmtId="0" fontId="32" fillId="92" borderId="16" xfId="0" applyFont="1" applyFill="1" applyBorder="1" applyAlignment="1">
      <alignment horizontal="center" vertical="center" wrapText="1"/>
    </xf>
    <xf numFmtId="9" fontId="82" fillId="92" borderId="16" xfId="0" applyNumberFormat="1" applyFont="1" applyFill="1" applyBorder="1" applyAlignment="1">
      <alignment horizontal="center" vertical="center"/>
    </xf>
    <xf numFmtId="0" fontId="21" fillId="0" borderId="0" xfId="0" applyFont="1" applyAlignment="1">
      <alignment horizontal="justify" vertical="center" wrapText="1"/>
    </xf>
    <xf numFmtId="0" fontId="71" fillId="0" borderId="16" xfId="5" applyFont="1" applyBorder="1" applyAlignment="1">
      <alignment horizontal="center" vertical="center" wrapText="1"/>
    </xf>
    <xf numFmtId="168" fontId="30" fillId="91" borderId="16" xfId="0" applyNumberFormat="1" applyFont="1" applyFill="1" applyBorder="1" applyAlignment="1">
      <alignment horizontal="right" vertical="center"/>
    </xf>
    <xf numFmtId="168" fontId="40" fillId="91" borderId="16" xfId="0" applyNumberFormat="1" applyFont="1" applyFill="1" applyBorder="1" applyAlignment="1">
      <alignment horizontal="right" vertical="center"/>
    </xf>
    <xf numFmtId="0" fontId="71" fillId="9" borderId="16" xfId="5" applyFont="1" applyFill="1" applyBorder="1" applyAlignment="1">
      <alignment horizontal="center" vertical="center" wrapText="1"/>
    </xf>
    <xf numFmtId="9" fontId="82" fillId="94" borderId="16" xfId="0" applyNumberFormat="1" applyFont="1" applyFill="1" applyBorder="1" applyAlignment="1">
      <alignment horizontal="center" vertical="center" wrapText="1"/>
    </xf>
    <xf numFmtId="9" fontId="82" fillId="92" borderId="16" xfId="0" applyNumberFormat="1" applyFont="1" applyFill="1" applyBorder="1" applyAlignment="1">
      <alignment horizontal="center" vertical="center" wrapText="1"/>
    </xf>
    <xf numFmtId="0" fontId="82" fillId="92" borderId="16" xfId="0" applyFont="1" applyFill="1" applyBorder="1" applyAlignment="1">
      <alignment horizontal="center" vertical="center"/>
    </xf>
    <xf numFmtId="0" fontId="30" fillId="95" borderId="16" xfId="0" applyFont="1" applyFill="1" applyBorder="1" applyAlignment="1">
      <alignment vertical="center" wrapText="1"/>
    </xf>
    <xf numFmtId="0" fontId="94" fillId="57" borderId="16" xfId="5" applyFont="1" applyFill="1" applyBorder="1" applyAlignment="1">
      <alignment horizontal="center" vertical="center" wrapText="1"/>
    </xf>
    <xf numFmtId="167" fontId="94" fillId="57" borderId="16" xfId="5" applyNumberFormat="1" applyFont="1" applyFill="1" applyBorder="1" applyAlignment="1">
      <alignment horizontal="center" vertical="center" wrapText="1"/>
    </xf>
    <xf numFmtId="10" fontId="94" fillId="57" borderId="16" xfId="3" applyNumberFormat="1" applyFont="1" applyFill="1" applyBorder="1" applyAlignment="1">
      <alignment horizontal="center" vertical="center" wrapText="1"/>
    </xf>
    <xf numFmtId="171" fontId="94" fillId="57" borderId="16" xfId="5" applyNumberFormat="1" applyFont="1" applyFill="1" applyBorder="1" applyAlignment="1">
      <alignment horizontal="center" vertical="center" wrapText="1"/>
    </xf>
    <xf numFmtId="171" fontId="95" fillId="57" borderId="16" xfId="5" applyNumberFormat="1" applyFont="1" applyFill="1" applyBorder="1" applyAlignment="1">
      <alignment horizontal="center" vertical="center" wrapText="1"/>
    </xf>
    <xf numFmtId="171" fontId="94" fillId="3" borderId="16" xfId="5" applyNumberFormat="1" applyFont="1" applyFill="1" applyBorder="1" applyAlignment="1">
      <alignment horizontal="center" vertical="center" wrapText="1"/>
    </xf>
    <xf numFmtId="3" fontId="94" fillId="57" borderId="16" xfId="5" applyNumberFormat="1" applyFont="1" applyFill="1" applyBorder="1" applyAlignment="1">
      <alignment horizontal="center" vertical="center" wrapText="1"/>
    </xf>
    <xf numFmtId="10" fontId="95" fillId="57" borderId="16" xfId="3" applyNumberFormat="1" applyFont="1" applyFill="1" applyBorder="1" applyAlignment="1">
      <alignment horizontal="center" vertical="center" wrapText="1"/>
    </xf>
    <xf numFmtId="3" fontId="95" fillId="57" borderId="16" xfId="3" applyNumberFormat="1" applyFont="1" applyFill="1" applyBorder="1" applyAlignment="1">
      <alignment horizontal="center" vertical="center" wrapText="1"/>
    </xf>
    <xf numFmtId="9" fontId="95" fillId="57" borderId="16" xfId="3" applyFont="1" applyFill="1" applyBorder="1" applyAlignment="1">
      <alignment horizontal="center" vertical="center" wrapText="1"/>
    </xf>
    <xf numFmtId="0" fontId="30" fillId="57" borderId="16" xfId="5" applyFont="1" applyFill="1" applyBorder="1" applyAlignment="1">
      <alignment vertical="center" wrapText="1"/>
    </xf>
    <xf numFmtId="0" fontId="30" fillId="0" borderId="0" xfId="5" applyFont="1" applyAlignment="1">
      <alignment horizontal="center" vertical="center" wrapText="1"/>
    </xf>
    <xf numFmtId="171" fontId="30" fillId="0" borderId="0" xfId="5" applyNumberFormat="1" applyFont="1" applyAlignment="1">
      <alignment vertical="center" wrapText="1"/>
    </xf>
    <xf numFmtId="43" fontId="30" fillId="0" borderId="0" xfId="4" applyFont="1" applyAlignment="1">
      <alignment vertical="center" wrapText="1"/>
    </xf>
    <xf numFmtId="0" fontId="30" fillId="0" borderId="0" xfId="5" applyFont="1" applyAlignment="1">
      <alignment horizontal="right" vertical="center" wrapText="1"/>
    </xf>
    <xf numFmtId="43" fontId="30" fillId="0" borderId="0" xfId="4" applyFont="1" applyAlignment="1">
      <alignment horizontal="right" vertical="center" wrapText="1"/>
    </xf>
    <xf numFmtId="0" fontId="33" fillId="0" borderId="0" xfId="5" applyFont="1" applyAlignment="1">
      <alignment horizontal="right" vertical="center"/>
    </xf>
    <xf numFmtId="0" fontId="33" fillId="0" borderId="0" xfId="5" applyFont="1" applyAlignment="1">
      <alignment vertical="center" wrapText="1"/>
    </xf>
    <xf numFmtId="167" fontId="33" fillId="0" borderId="0" xfId="3" applyNumberFormat="1" applyFont="1" applyBorder="1" applyAlignment="1">
      <alignment horizontal="center" vertical="center" wrapText="1"/>
    </xf>
    <xf numFmtId="0" fontId="33" fillId="0" borderId="0" xfId="5" applyFont="1" applyAlignment="1">
      <alignment horizontal="center" vertical="center" wrapText="1"/>
    </xf>
    <xf numFmtId="43" fontId="33" fillId="0" borderId="0" xfId="4" applyFont="1" applyBorder="1" applyAlignment="1">
      <alignment vertical="center" wrapText="1"/>
    </xf>
    <xf numFmtId="43" fontId="33" fillId="67" borderId="0" xfId="4" applyFont="1" applyFill="1" applyAlignment="1">
      <alignment vertical="center" wrapText="1"/>
    </xf>
    <xf numFmtId="175" fontId="33" fillId="0" borderId="0" xfId="5" applyNumberFormat="1" applyFont="1" applyAlignment="1">
      <alignment vertical="center" wrapText="1"/>
    </xf>
    <xf numFmtId="171" fontId="33" fillId="0" borderId="0" xfId="5" applyNumberFormat="1" applyFont="1" applyAlignment="1">
      <alignment vertical="center" wrapText="1"/>
    </xf>
    <xf numFmtId="171" fontId="41" fillId="61" borderId="0" xfId="5" applyNumberFormat="1" applyFont="1" applyFill="1" applyAlignment="1">
      <alignment horizontal="center" vertical="center" wrapText="1"/>
    </xf>
    <xf numFmtId="43" fontId="33" fillId="3" borderId="0" xfId="5" applyNumberFormat="1" applyFont="1" applyFill="1" applyAlignment="1">
      <alignment vertical="center" wrapText="1"/>
    </xf>
    <xf numFmtId="4" fontId="33" fillId="0" borderId="0" xfId="5" applyNumberFormat="1" applyFont="1" applyAlignment="1">
      <alignment vertical="center" wrapText="1"/>
    </xf>
    <xf numFmtId="43" fontId="30" fillId="0" borderId="0" xfId="4" applyFont="1" applyBorder="1" applyAlignment="1">
      <alignment horizontal="right" vertical="center" wrapText="1"/>
    </xf>
    <xf numFmtId="0" fontId="33" fillId="0" borderId="0" xfId="5" applyFont="1" applyAlignment="1">
      <alignment horizontal="left" vertical="center" wrapText="1"/>
    </xf>
    <xf numFmtId="43" fontId="30" fillId="0" borderId="0" xfId="4" applyFont="1" applyBorder="1" applyAlignment="1">
      <alignment vertical="center" wrapText="1"/>
    </xf>
    <xf numFmtId="0" fontId="30" fillId="0" borderId="0" xfId="5" applyFont="1" applyAlignment="1">
      <alignment horizontal="justify" vertical="center" wrapText="1"/>
    </xf>
    <xf numFmtId="0" fontId="30" fillId="0" borderId="0" xfId="5" applyFont="1" applyAlignment="1">
      <alignment horizontal="left" vertical="center" wrapText="1"/>
    </xf>
    <xf numFmtId="0" fontId="32" fillId="0" borderId="0" xfId="5" applyAlignment="1">
      <alignment vertical="center"/>
    </xf>
    <xf numFmtId="0" fontId="98" fillId="13" borderId="1" xfId="5" applyFont="1" applyFill="1" applyBorder="1" applyAlignment="1">
      <alignment horizontal="center" vertical="center" wrapText="1"/>
    </xf>
    <xf numFmtId="0" fontId="98" fillId="0" borderId="50" xfId="5" applyFont="1" applyBorder="1" applyAlignment="1">
      <alignment vertical="center" wrapText="1"/>
    </xf>
    <xf numFmtId="0" fontId="99" fillId="0" borderId="50" xfId="5" applyFont="1" applyBorder="1" applyAlignment="1">
      <alignment horizontal="justify" vertical="center" wrapText="1"/>
    </xf>
    <xf numFmtId="0" fontId="99" fillId="0" borderId="57" xfId="5" applyFont="1" applyBorder="1" applyAlignment="1">
      <alignment horizontal="justify" vertical="center" wrapText="1"/>
    </xf>
    <xf numFmtId="0" fontId="99" fillId="0" borderId="68" xfId="5" applyFont="1" applyBorder="1" applyAlignment="1">
      <alignment horizontal="justify" vertical="center" wrapText="1"/>
    </xf>
    <xf numFmtId="0" fontId="98" fillId="0" borderId="51" xfId="5" applyFont="1" applyBorder="1" applyAlignment="1">
      <alignment vertical="center" wrapText="1"/>
    </xf>
    <xf numFmtId="0" fontId="99" fillId="0" borderId="51" xfId="5" applyFont="1" applyBorder="1" applyAlignment="1">
      <alignment horizontal="justify" vertical="center" wrapText="1"/>
    </xf>
    <xf numFmtId="0" fontId="101" fillId="0" borderId="12" xfId="0" applyFont="1" applyBorder="1" applyAlignment="1">
      <alignment wrapText="1"/>
    </xf>
    <xf numFmtId="0" fontId="55" fillId="0" borderId="6" xfId="0" applyFont="1" applyBorder="1" applyAlignment="1">
      <alignment horizontal="center" vertical="center" wrapText="1"/>
    </xf>
    <xf numFmtId="0" fontId="55" fillId="0" borderId="12" xfId="0" applyFont="1" applyBorder="1" applyAlignment="1">
      <alignment horizontal="center" vertical="center" wrapText="1"/>
    </xf>
    <xf numFmtId="9" fontId="4" fillId="4" borderId="8" xfId="3" applyFont="1" applyFill="1" applyBorder="1" applyAlignment="1">
      <alignment horizontal="center" vertical="top"/>
    </xf>
    <xf numFmtId="3" fontId="4" fillId="0" borderId="7" xfId="0" applyNumberFormat="1" applyFont="1" applyBorder="1" applyAlignment="1" applyProtection="1">
      <alignment horizontal="center" vertical="center" wrapText="1"/>
      <protection locked="0"/>
    </xf>
    <xf numFmtId="2" fontId="30" fillId="0" borderId="16" xfId="3" applyNumberFormat="1" applyFont="1" applyFill="1" applyBorder="1" applyAlignment="1">
      <alignment horizontal="center" vertical="center" wrapText="1"/>
    </xf>
    <xf numFmtId="165" fontId="82" fillId="0" borderId="16" xfId="4" applyNumberFormat="1" applyFont="1" applyFill="1" applyBorder="1" applyAlignment="1">
      <alignment horizontal="center" vertical="center"/>
    </xf>
    <xf numFmtId="9" fontId="83" fillId="0" borderId="16" xfId="0" applyNumberFormat="1" applyFont="1" applyBorder="1" applyAlignment="1">
      <alignment horizontal="center" vertical="center" wrapText="1"/>
    </xf>
    <xf numFmtId="167" fontId="82" fillId="0" borderId="16" xfId="0" applyNumberFormat="1" applyFont="1" applyBorder="1" applyAlignment="1">
      <alignment horizontal="center" vertical="center"/>
    </xf>
    <xf numFmtId="1" fontId="40" fillId="0" borderId="16" xfId="0" applyNumberFormat="1" applyFont="1" applyBorder="1" applyAlignment="1">
      <alignment horizontal="center" vertical="center"/>
    </xf>
    <xf numFmtId="43" fontId="33" fillId="3" borderId="0" xfId="4" applyFont="1" applyFill="1" applyAlignment="1">
      <alignment vertical="center" wrapText="1"/>
    </xf>
    <xf numFmtId="43" fontId="33" fillId="0" borderId="0" xfId="4" applyFont="1" applyAlignment="1">
      <alignment vertical="center" wrapText="1"/>
    </xf>
    <xf numFmtId="0" fontId="82" fillId="96" borderId="16" xfId="0" applyFont="1" applyFill="1" applyBorder="1" applyAlignment="1">
      <alignment horizontal="center" vertical="center"/>
    </xf>
    <xf numFmtId="0" fontId="40" fillId="96" borderId="16" xfId="0" applyFont="1" applyFill="1" applyBorder="1" applyAlignment="1">
      <alignment horizontal="center" vertical="center" wrapText="1"/>
    </xf>
    <xf numFmtId="1" fontId="30" fillId="96" borderId="16" xfId="5" applyNumberFormat="1" applyFont="1" applyFill="1" applyBorder="1" applyAlignment="1">
      <alignment horizontal="center" vertical="center" wrapText="1"/>
    </xf>
    <xf numFmtId="9" fontId="30" fillId="3" borderId="16" xfId="3" applyFont="1" applyFill="1" applyBorder="1" applyAlignment="1">
      <alignment horizontal="center" vertical="center" wrapText="1"/>
    </xf>
    <xf numFmtId="3" fontId="30" fillId="96" borderId="16" xfId="5" applyNumberFormat="1" applyFont="1" applyFill="1" applyBorder="1" applyAlignment="1">
      <alignment vertical="center" wrapText="1"/>
    </xf>
    <xf numFmtId="9" fontId="30" fillId="0" borderId="0" xfId="3" applyFont="1" applyAlignment="1">
      <alignment horizontal="center" vertical="center" wrapText="1"/>
    </xf>
    <xf numFmtId="0" fontId="27" fillId="0" borderId="0" xfId="0" applyFont="1" applyAlignment="1">
      <alignment vertical="center" wrapText="1"/>
    </xf>
    <xf numFmtId="0" fontId="4" fillId="6" borderId="8" xfId="0" applyFont="1" applyFill="1" applyBorder="1" applyAlignment="1">
      <alignment horizontal="center" vertical="center"/>
    </xf>
    <xf numFmtId="0" fontId="4" fillId="4" borderId="12" xfId="4" applyNumberFormat="1" applyFont="1" applyFill="1" applyBorder="1" applyAlignment="1">
      <alignment horizontal="center" vertical="top" wrapText="1"/>
    </xf>
    <xf numFmtId="0" fontId="4" fillId="8" borderId="15" xfId="0" applyFont="1" applyFill="1" applyBorder="1" applyAlignment="1" applyProtection="1">
      <alignment horizontal="center" wrapText="1"/>
      <protection locked="0"/>
    </xf>
    <xf numFmtId="0" fontId="48" fillId="3" borderId="23" xfId="0" applyFont="1" applyFill="1" applyBorder="1" applyAlignment="1" applyProtection="1">
      <alignment vertical="center" wrapText="1"/>
      <protection locked="0"/>
    </xf>
    <xf numFmtId="0" fontId="4" fillId="3" borderId="56" xfId="0" applyFont="1" applyFill="1" applyBorder="1" applyAlignment="1" applyProtection="1">
      <alignment horizontal="center" vertical="center" wrapText="1"/>
      <protection locked="0"/>
    </xf>
    <xf numFmtId="0" fontId="48" fillId="3" borderId="37"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51" fillId="3" borderId="50" xfId="0" applyFont="1" applyFill="1" applyBorder="1" applyAlignment="1" applyProtection="1">
      <alignment horizontal="center" vertical="center" wrapText="1"/>
      <protection locked="0"/>
    </xf>
    <xf numFmtId="3" fontId="4" fillId="3" borderId="8" xfId="0" applyNumberFormat="1" applyFont="1" applyFill="1" applyBorder="1" applyAlignment="1" applyProtection="1">
      <alignment horizontal="justify" vertical="top" wrapText="1"/>
      <protection locked="0"/>
    </xf>
    <xf numFmtId="14" fontId="30" fillId="9" borderId="16" xfId="5" applyNumberFormat="1" applyFont="1" applyFill="1" applyBorder="1" applyAlignment="1">
      <alignment vertical="center" wrapText="1"/>
    </xf>
    <xf numFmtId="171" fontId="30" fillId="97" borderId="0" xfId="5" applyNumberFormat="1" applyFont="1" applyFill="1" applyAlignment="1">
      <alignment vertical="center" wrapText="1"/>
    </xf>
    <xf numFmtId="43" fontId="30" fillId="97" borderId="0" xfId="4" applyFont="1" applyFill="1" applyBorder="1" applyAlignment="1">
      <alignment vertical="center" wrapText="1"/>
    </xf>
    <xf numFmtId="43" fontId="30" fillId="97" borderId="0" xfId="4" applyFont="1" applyFill="1" applyBorder="1" applyAlignment="1">
      <alignment horizontal="right" vertical="center" wrapText="1"/>
    </xf>
    <xf numFmtId="49" fontId="37" fillId="0" borderId="44" xfId="5" applyNumberFormat="1" applyFont="1" applyBorder="1" applyAlignment="1">
      <alignment horizontal="center" vertical="center" wrapText="1"/>
    </xf>
    <xf numFmtId="49" fontId="37" fillId="0" borderId="42" xfId="5" applyNumberFormat="1" applyFont="1" applyBorder="1" applyAlignment="1">
      <alignment horizontal="center" vertical="center" wrapText="1"/>
    </xf>
    <xf numFmtId="49" fontId="37" fillId="0" borderId="45" xfId="5" applyNumberFormat="1" applyFont="1" applyBorder="1" applyAlignment="1">
      <alignment horizontal="center" vertical="center" wrapText="1"/>
    </xf>
    <xf numFmtId="49" fontId="37" fillId="0" borderId="45" xfId="5" applyNumberFormat="1" applyFont="1" applyBorder="1" applyAlignment="1">
      <alignment horizontal="center" vertical="center"/>
    </xf>
    <xf numFmtId="0" fontId="37" fillId="0" borderId="45" xfId="5" applyFont="1" applyBorder="1" applyAlignment="1">
      <alignment horizontal="center" vertical="center" wrapText="1"/>
    </xf>
    <xf numFmtId="0" fontId="32" fillId="11" borderId="14" xfId="5" applyFill="1" applyBorder="1" applyAlignment="1">
      <alignment horizontal="center"/>
    </xf>
    <xf numFmtId="0" fontId="32" fillId="11" borderId="15" xfId="5" applyFill="1" applyBorder="1" applyAlignment="1">
      <alignment horizontal="center"/>
    </xf>
    <xf numFmtId="0" fontId="21" fillId="11" borderId="15" xfId="5" applyFont="1" applyFill="1" applyBorder="1" applyAlignment="1">
      <alignment horizontal="center"/>
    </xf>
    <xf numFmtId="0" fontId="32" fillId="11" borderId="7" xfId="5" applyFill="1" applyBorder="1" applyAlignment="1">
      <alignment horizontal="center"/>
    </xf>
    <xf numFmtId="0" fontId="34" fillId="0" borderId="2" xfId="5" applyFont="1" applyBorder="1" applyAlignment="1">
      <alignment horizontal="center"/>
    </xf>
    <xf numFmtId="0" fontId="34" fillId="0" borderId="3" xfId="5" applyFont="1" applyBorder="1" applyAlignment="1">
      <alignment horizontal="center"/>
    </xf>
    <xf numFmtId="0" fontId="35" fillId="0" borderId="3" xfId="5" applyFont="1" applyBorder="1" applyAlignment="1">
      <alignment horizontal="center"/>
    </xf>
    <xf numFmtId="0" fontId="34" fillId="0" borderId="4" xfId="5" applyFont="1" applyBorder="1" applyAlignment="1">
      <alignment horizontal="center"/>
    </xf>
    <xf numFmtId="0" fontId="34" fillId="0" borderId="9" xfId="5" applyFont="1" applyBorder="1" applyAlignment="1">
      <alignment horizontal="center"/>
    </xf>
    <xf numFmtId="0" fontId="34" fillId="0" borderId="0" xfId="5" applyFont="1" applyAlignment="1">
      <alignment horizontal="center"/>
    </xf>
    <xf numFmtId="0" fontId="35" fillId="0" borderId="0" xfId="5" applyFont="1" applyAlignment="1">
      <alignment horizontal="center"/>
    </xf>
    <xf numFmtId="0" fontId="34" fillId="0" borderId="6" xfId="5" applyFont="1" applyBorder="1" applyAlignment="1">
      <alignment horizontal="center"/>
    </xf>
    <xf numFmtId="0" fontId="34" fillId="0" borderId="10" xfId="5" applyFont="1" applyBorder="1" applyAlignment="1">
      <alignment horizontal="center"/>
    </xf>
    <xf numFmtId="0" fontId="34" fillId="0" borderId="11" xfId="5" applyFont="1" applyBorder="1" applyAlignment="1">
      <alignment horizontal="center"/>
    </xf>
    <xf numFmtId="0" fontId="35" fillId="0" borderId="11" xfId="5" applyFont="1" applyBorder="1" applyAlignment="1">
      <alignment horizontal="center"/>
    </xf>
    <xf numFmtId="0" fontId="34" fillId="0" borderId="8" xfId="5" applyFont="1" applyBorder="1" applyAlignment="1">
      <alignment horizontal="center"/>
    </xf>
    <xf numFmtId="0" fontId="36" fillId="0" borderId="40" xfId="0" applyFont="1" applyBorder="1" applyAlignment="1">
      <alignment horizontal="center" vertical="center" wrapText="1"/>
    </xf>
    <xf numFmtId="0" fontId="36" fillId="0" borderId="40" xfId="0" applyFont="1" applyBorder="1" applyAlignment="1">
      <alignment horizontal="center" vertical="center"/>
    </xf>
    <xf numFmtId="0" fontId="36" fillId="0" borderId="41" xfId="0" applyFont="1" applyBorder="1" applyAlignment="1">
      <alignment horizontal="center" vertical="center"/>
    </xf>
    <xf numFmtId="49" fontId="38" fillId="0" borderId="42" xfId="5" applyNumberFormat="1" applyFont="1" applyBorder="1" applyAlignment="1">
      <alignment horizontal="center" vertical="center" wrapText="1"/>
    </xf>
    <xf numFmtId="49" fontId="37" fillId="0" borderId="43" xfId="5" applyNumberFormat="1" applyFont="1" applyBorder="1" applyAlignment="1">
      <alignment horizontal="center" vertical="center" wrapText="1"/>
    </xf>
    <xf numFmtId="49" fontId="37" fillId="0" borderId="40" xfId="5" applyNumberFormat="1" applyFont="1" applyBorder="1" applyAlignment="1">
      <alignment horizontal="center" vertical="center" wrapText="1"/>
    </xf>
    <xf numFmtId="49" fontId="37" fillId="0" borderId="41" xfId="5" applyNumberFormat="1" applyFont="1" applyBorder="1" applyAlignment="1">
      <alignment horizontal="center" vertical="center" wrapText="1"/>
    </xf>
    <xf numFmtId="49" fontId="37" fillId="9" borderId="44" xfId="5" applyNumberFormat="1" applyFont="1" applyFill="1" applyBorder="1" applyAlignment="1">
      <alignment horizontal="center" vertical="center" wrapText="1"/>
    </xf>
    <xf numFmtId="49" fontId="37" fillId="9" borderId="42" xfId="5" applyNumberFormat="1" applyFont="1" applyFill="1" applyBorder="1" applyAlignment="1">
      <alignment horizontal="center" vertical="center" wrapText="1"/>
    </xf>
    <xf numFmtId="0" fontId="33" fillId="11" borderId="11" xfId="5" applyFont="1" applyFill="1" applyBorder="1" applyAlignment="1">
      <alignment horizontal="center" vertical="center"/>
    </xf>
    <xf numFmtId="0" fontId="33" fillId="13" borderId="2" xfId="5" applyFont="1" applyFill="1" applyBorder="1" applyAlignment="1">
      <alignment horizontal="center" vertical="center" wrapText="1"/>
    </xf>
    <xf numFmtId="0" fontId="33" fillId="13" borderId="4" xfId="5" applyFont="1" applyFill="1" applyBorder="1" applyAlignment="1">
      <alignment horizontal="center" vertical="center" wrapText="1"/>
    </xf>
    <xf numFmtId="0" fontId="33" fillId="13" borderId="14" xfId="5" applyFont="1" applyFill="1" applyBorder="1" applyAlignment="1">
      <alignment horizontal="center" vertical="center" wrapText="1"/>
    </xf>
    <xf numFmtId="0" fontId="33" fillId="13" borderId="7" xfId="5" applyFont="1" applyFill="1" applyBorder="1" applyAlignment="1">
      <alignment horizontal="center" vertical="center" wrapText="1"/>
    </xf>
    <xf numFmtId="0" fontId="31" fillId="12" borderId="14" xfId="0" applyFont="1" applyFill="1" applyBorder="1" applyAlignment="1">
      <alignment horizontal="center" vertical="center" wrapText="1"/>
    </xf>
    <xf numFmtId="0" fontId="31" fillId="12" borderId="15" xfId="0" applyFont="1" applyFill="1" applyBorder="1" applyAlignment="1">
      <alignment horizontal="center" vertical="center" wrapText="1"/>
    </xf>
    <xf numFmtId="0" fontId="31" fillId="12" borderId="7" xfId="0" applyFont="1" applyFill="1" applyBorder="1" applyAlignment="1">
      <alignment horizontal="center" vertical="center" wrapText="1"/>
    </xf>
    <xf numFmtId="0" fontId="33" fillId="0" borderId="0" xfId="5" applyFont="1" applyAlignment="1">
      <alignment horizontal="left" vertical="center" wrapText="1"/>
    </xf>
    <xf numFmtId="0" fontId="30" fillId="0" borderId="0" xfId="5" applyFont="1" applyAlignment="1">
      <alignment horizontal="justify" vertical="center" wrapText="1"/>
    </xf>
    <xf numFmtId="0" fontId="30" fillId="0" borderId="0" xfId="5" applyFont="1" applyAlignment="1">
      <alignment horizontal="left" vertical="center" wrapText="1"/>
    </xf>
    <xf numFmtId="0" fontId="83" fillId="91" borderId="16" xfId="0" applyFont="1" applyFill="1" applyBorder="1" applyAlignment="1">
      <alignment horizontal="center" vertical="center" wrapText="1"/>
    </xf>
    <xf numFmtId="0" fontId="84" fillId="9" borderId="16" xfId="0" applyFont="1" applyFill="1" applyBorder="1"/>
    <xf numFmtId="0" fontId="83" fillId="60" borderId="16" xfId="0" applyFont="1" applyFill="1" applyBorder="1" applyAlignment="1">
      <alignment horizontal="center" vertical="center" wrapText="1"/>
    </xf>
    <xf numFmtId="0" fontId="94" fillId="57" borderId="16" xfId="5" applyFont="1" applyFill="1" applyBorder="1" applyAlignment="1">
      <alignment horizontal="center" vertical="center" wrapText="1"/>
    </xf>
    <xf numFmtId="0" fontId="30" fillId="0" borderId="16" xfId="5" applyFont="1" applyBorder="1" applyAlignment="1">
      <alignment horizontal="left" vertical="center" wrapText="1"/>
    </xf>
    <xf numFmtId="0" fontId="33" fillId="0" borderId="0" xfId="5" applyFont="1" applyAlignment="1">
      <alignment horizontal="center" vertical="center" wrapText="1"/>
    </xf>
    <xf numFmtId="0" fontId="32" fillId="91" borderId="16" xfId="0" applyFont="1" applyFill="1" applyBorder="1" applyAlignment="1">
      <alignment horizontal="center" vertical="center" wrapText="1"/>
    </xf>
    <xf numFmtId="0" fontId="83" fillId="77" borderId="16" xfId="0" applyFont="1" applyFill="1" applyBorder="1" applyAlignment="1">
      <alignment horizontal="center" vertical="center" wrapText="1"/>
    </xf>
    <xf numFmtId="0" fontId="83" fillId="78" borderId="16" xfId="0" applyFont="1" applyFill="1" applyBorder="1" applyAlignment="1">
      <alignment horizontal="center" vertical="center" wrapText="1"/>
    </xf>
    <xf numFmtId="0" fontId="83" fillId="79" borderId="16" xfId="0" applyFont="1" applyFill="1" applyBorder="1" applyAlignment="1">
      <alignment horizontal="center" vertical="center" wrapText="1"/>
    </xf>
    <xf numFmtId="0" fontId="83" fillId="76" borderId="16" xfId="0" applyFont="1" applyFill="1" applyBorder="1" applyAlignment="1">
      <alignment horizontal="center" vertical="center" wrapText="1"/>
    </xf>
    <xf numFmtId="0" fontId="83" fillId="31" borderId="16" xfId="0" applyFont="1" applyFill="1" applyBorder="1" applyAlignment="1">
      <alignment horizontal="center" vertical="center" wrapText="1"/>
    </xf>
    <xf numFmtId="0" fontId="83" fillId="62" borderId="16" xfId="0" applyFont="1" applyFill="1" applyBorder="1" applyAlignment="1">
      <alignment horizontal="center" vertical="center" wrapText="1"/>
    </xf>
    <xf numFmtId="0" fontId="83" fillId="59" borderId="16" xfId="0" applyFont="1" applyFill="1" applyBorder="1" applyAlignment="1">
      <alignment horizontal="center" vertical="center" wrapText="1"/>
    </xf>
    <xf numFmtId="0" fontId="32" fillId="62" borderId="16" xfId="0" applyFont="1" applyFill="1" applyBorder="1" applyAlignment="1">
      <alignment horizontal="center" vertical="center" wrapText="1"/>
    </xf>
    <xf numFmtId="0" fontId="32" fillId="64" borderId="16" xfId="0" applyFont="1" applyFill="1" applyBorder="1" applyAlignment="1">
      <alignment horizontal="center" vertical="center" wrapText="1"/>
    </xf>
    <xf numFmtId="0" fontId="32" fillId="71" borderId="16" xfId="0" applyFont="1" applyFill="1" applyBorder="1" applyAlignment="1">
      <alignment horizontal="center" vertical="center" wrapText="1"/>
    </xf>
    <xf numFmtId="0" fontId="83" fillId="29" borderId="16" xfId="0" applyFont="1" applyFill="1" applyBorder="1" applyAlignment="1">
      <alignment horizontal="center" vertical="center" wrapText="1"/>
    </xf>
    <xf numFmtId="0" fontId="83" fillId="71" borderId="16" xfId="0" applyFont="1" applyFill="1" applyBorder="1" applyAlignment="1">
      <alignment horizontal="center" vertical="center" wrapText="1"/>
    </xf>
    <xf numFmtId="0" fontId="32" fillId="59" borderId="16" xfId="0" applyFont="1" applyFill="1" applyBorder="1" applyAlignment="1">
      <alignment horizontal="center" vertical="center" wrapText="1"/>
    </xf>
    <xf numFmtId="0" fontId="33" fillId="52" borderId="16" xfId="0" applyFont="1" applyFill="1" applyBorder="1" applyAlignment="1">
      <alignment horizontal="center" vertical="center" wrapText="1"/>
    </xf>
    <xf numFmtId="0" fontId="80" fillId="53" borderId="16" xfId="0" applyFont="1" applyFill="1" applyBorder="1" applyAlignment="1" applyProtection="1">
      <alignment horizontal="center" vertical="center" wrapText="1"/>
      <protection locked="0"/>
    </xf>
    <xf numFmtId="0" fontId="33" fillId="46" borderId="16" xfId="0" applyFont="1" applyFill="1" applyBorder="1" applyAlignment="1">
      <alignment horizontal="center" vertical="center" wrapText="1"/>
    </xf>
    <xf numFmtId="0" fontId="33" fillId="48" borderId="16" xfId="0" applyFont="1" applyFill="1" applyBorder="1" applyAlignment="1">
      <alignment horizontal="center" vertical="center" wrapText="1"/>
    </xf>
    <xf numFmtId="0" fontId="33" fillId="51" borderId="16" xfId="0" applyFont="1" applyFill="1" applyBorder="1" applyAlignment="1">
      <alignment horizontal="center" vertical="center" wrapText="1"/>
    </xf>
    <xf numFmtId="0" fontId="33" fillId="49" borderId="16" xfId="0" applyFont="1" applyFill="1" applyBorder="1" applyAlignment="1">
      <alignment horizontal="center" vertical="center" wrapText="1"/>
    </xf>
    <xf numFmtId="44" fontId="33" fillId="49" borderId="16" xfId="11" applyFont="1" applyFill="1" applyBorder="1" applyAlignment="1">
      <alignment horizontal="center" vertical="center" wrapText="1"/>
    </xf>
    <xf numFmtId="10" fontId="33" fillId="50" borderId="16" xfId="0" applyNumberFormat="1" applyFont="1" applyFill="1" applyBorder="1" applyAlignment="1">
      <alignment horizontal="center" vertical="center" wrapText="1"/>
    </xf>
    <xf numFmtId="0" fontId="33" fillId="47" borderId="16" xfId="5" applyFont="1" applyFill="1" applyBorder="1" applyAlignment="1">
      <alignment horizontal="center" vertical="center" wrapText="1"/>
    </xf>
    <xf numFmtId="0" fontId="30" fillId="41" borderId="73" xfId="0" applyFont="1" applyFill="1" applyBorder="1" applyAlignment="1">
      <alignment horizontal="center" vertical="center" wrapText="1"/>
    </xf>
    <xf numFmtId="0" fontId="30" fillId="41" borderId="0" xfId="0" applyFont="1" applyFill="1" applyAlignment="1">
      <alignment horizontal="center" vertical="center" wrapText="1"/>
    </xf>
    <xf numFmtId="0" fontId="76" fillId="0" borderId="0" xfId="0" applyFont="1"/>
    <xf numFmtId="0" fontId="77" fillId="42" borderId="73" xfId="0" applyFont="1" applyFill="1" applyBorder="1" applyAlignment="1">
      <alignment horizontal="center" vertical="center" wrapText="1"/>
    </xf>
    <xf numFmtId="0" fontId="77" fillId="42" borderId="0" xfId="0" applyFont="1" applyFill="1" applyAlignment="1">
      <alignment horizontal="center" vertical="center" wrapText="1"/>
    </xf>
    <xf numFmtId="0" fontId="78" fillId="42" borderId="74" xfId="0" applyFont="1" applyFill="1" applyBorder="1" applyAlignment="1">
      <alignment horizontal="center" vertical="center" wrapText="1"/>
    </xf>
    <xf numFmtId="0" fontId="78" fillId="42" borderId="25" xfId="0" applyFont="1" applyFill="1" applyBorder="1" applyAlignment="1">
      <alignment horizontal="center" vertical="center" wrapText="1"/>
    </xf>
    <xf numFmtId="0" fontId="33" fillId="43" borderId="16" xfId="0" applyFont="1" applyFill="1" applyBorder="1" applyAlignment="1">
      <alignment horizontal="center" vertical="center" wrapText="1"/>
    </xf>
    <xf numFmtId="0" fontId="33" fillId="44" borderId="16" xfId="0" applyFont="1" applyFill="1" applyBorder="1" applyAlignment="1">
      <alignment horizontal="center" vertical="center" wrapText="1"/>
    </xf>
    <xf numFmtId="0" fontId="76" fillId="0" borderId="16" xfId="0" applyFont="1" applyBorder="1"/>
    <xf numFmtId="0" fontId="79" fillId="45" borderId="16" xfId="0" applyFont="1" applyFill="1" applyBorder="1" applyAlignment="1">
      <alignment horizontal="center"/>
    </xf>
    <xf numFmtId="0" fontId="33" fillId="13" borderId="16" xfId="5" applyFont="1" applyFill="1" applyBorder="1" applyAlignment="1">
      <alignment horizontal="center" vertical="center" wrapText="1"/>
    </xf>
    <xf numFmtId="0" fontId="97" fillId="11" borderId="11" xfId="5" applyFont="1" applyFill="1" applyBorder="1" applyAlignment="1">
      <alignment horizontal="center" vertical="center"/>
    </xf>
    <xf numFmtId="0" fontId="97" fillId="13" borderId="2" xfId="5" applyFont="1" applyFill="1" applyBorder="1" applyAlignment="1">
      <alignment horizontal="center" vertical="center" wrapText="1"/>
    </xf>
    <xf numFmtId="0" fontId="97" fillId="13" borderId="77" xfId="5" applyFont="1" applyFill="1" applyBorder="1" applyAlignment="1">
      <alignment horizontal="center" vertical="center" wrapText="1"/>
    </xf>
    <xf numFmtId="0" fontId="97" fillId="13" borderId="14" xfId="5" applyFont="1" applyFill="1" applyBorder="1" applyAlignment="1">
      <alignment horizontal="center" vertical="center" wrapText="1"/>
    </xf>
    <xf numFmtId="0" fontId="97" fillId="13" borderId="7" xfId="5" applyFont="1" applyFill="1" applyBorder="1" applyAlignment="1">
      <alignment horizontal="center" vertical="center" wrapText="1"/>
    </xf>
    <xf numFmtId="0" fontId="7" fillId="6" borderId="18" xfId="3" applyNumberFormat="1" applyFont="1" applyFill="1" applyBorder="1" applyAlignment="1" applyProtection="1">
      <alignment horizontal="center" vertical="center" wrapText="1"/>
      <protection hidden="1"/>
    </xf>
    <xf numFmtId="0" fontId="7" fillId="6" borderId="19" xfId="3" applyNumberFormat="1" applyFont="1" applyFill="1" applyBorder="1" applyAlignment="1" applyProtection="1">
      <alignment horizontal="center" vertical="center" wrapText="1"/>
      <protection hidden="1"/>
    </xf>
    <xf numFmtId="0" fontId="7" fillId="6" borderId="71" xfId="3" applyNumberFormat="1" applyFont="1" applyFill="1" applyBorder="1" applyAlignment="1" applyProtection="1">
      <alignment horizontal="center" vertical="center" wrapText="1"/>
      <protection hidden="1"/>
    </xf>
    <xf numFmtId="0" fontId="31" fillId="12" borderId="14"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1" fillId="12" borderId="7" xfId="5" applyFont="1" applyFill="1" applyBorder="1" applyAlignment="1">
      <alignment horizontal="center" vertical="center" wrapText="1"/>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1" fillId="12" borderId="14" xfId="5" applyFont="1" applyFill="1" applyBorder="1" applyAlignment="1">
      <alignment horizontal="left" vertical="center" wrapText="1"/>
    </xf>
    <xf numFmtId="0" fontId="31" fillId="12" borderId="15" xfId="5" applyFont="1" applyFill="1" applyBorder="1" applyAlignment="1">
      <alignment horizontal="left" vertical="center" wrapText="1"/>
    </xf>
    <xf numFmtId="0" fontId="31" fillId="12" borderId="14" xfId="0" applyFont="1" applyFill="1" applyBorder="1" applyAlignment="1">
      <alignment horizontal="left" vertical="center" wrapText="1"/>
    </xf>
    <xf numFmtId="0" fontId="31" fillId="12" borderId="15"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4" fillId="0" borderId="0" xfId="0" applyFont="1" applyAlignment="1">
      <alignment horizontal="right" vertical="top" wrapText="1"/>
    </xf>
    <xf numFmtId="0" fontId="0" fillId="0" borderId="2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0" fillId="0" borderId="27" xfId="0" applyBorder="1" applyAlignment="1" applyProtection="1">
      <alignment horizontal="left" vertical="top"/>
      <protection hidden="1"/>
    </xf>
    <xf numFmtId="0" fontId="0" fillId="0" borderId="0" xfId="0" applyAlignment="1" applyProtection="1">
      <alignment horizontal="left" vertical="top"/>
      <protection hidden="1"/>
    </xf>
    <xf numFmtId="0" fontId="0" fillId="0" borderId="9"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8" xfId="0" applyFont="1" applyBorder="1" applyAlignment="1">
      <alignment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9" fontId="8" fillId="3" borderId="14" xfId="0" applyNumberFormat="1" applyFont="1" applyFill="1" applyBorder="1" applyAlignment="1" applyProtection="1">
      <alignment horizontal="left" vertical="center" wrapText="1"/>
      <protection locked="0"/>
    </xf>
    <xf numFmtId="9" fontId="8" fillId="3" borderId="7" xfId="0" applyNumberFormat="1" applyFont="1" applyFill="1" applyBorder="1" applyAlignment="1" applyProtection="1">
      <alignment horizontal="left" vertical="center" wrapText="1"/>
      <protection locked="0"/>
    </xf>
    <xf numFmtId="9" fontId="8" fillId="3" borderId="9" xfId="0" applyNumberFormat="1" applyFont="1" applyFill="1" applyBorder="1" applyAlignment="1" applyProtection="1">
      <alignment horizontal="left" vertical="center" wrapText="1"/>
      <protection locked="0"/>
    </xf>
    <xf numFmtId="9" fontId="8" fillId="3" borderId="6" xfId="0" applyNumberFormat="1" applyFont="1" applyFill="1" applyBorder="1" applyAlignment="1" applyProtection="1">
      <alignment horizontal="left" vertical="center" wrapText="1"/>
      <protection locked="0"/>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3" fillId="3" borderId="16" xfId="0" applyFont="1" applyFill="1" applyBorder="1" applyAlignment="1" applyProtection="1">
      <alignment horizontal="center" vertical="top" wrapText="1"/>
      <protection locked="0"/>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9" fontId="4" fillId="4" borderId="14" xfId="0" applyNumberFormat="1" applyFont="1" applyFill="1" applyBorder="1" applyAlignment="1">
      <alignment horizontal="right" vertical="top"/>
    </xf>
    <xf numFmtId="9" fontId="4" fillId="4" borderId="7" xfId="0" applyNumberFormat="1" applyFont="1" applyFill="1" applyBorder="1" applyAlignment="1">
      <alignment horizontal="right" vertical="top"/>
    </xf>
    <xf numFmtId="9" fontId="3" fillId="0" borderId="2" xfId="0" applyNumberFormat="1" applyFont="1" applyBorder="1" applyAlignment="1">
      <alignment vertical="top" wrapText="1"/>
    </xf>
    <xf numFmtId="9" fontId="3" fillId="0" borderId="3" xfId="0" applyNumberFormat="1" applyFont="1" applyBorder="1" applyAlignment="1">
      <alignment vertical="top" wrapText="1"/>
    </xf>
    <xf numFmtId="9" fontId="3" fillId="0" borderId="4" xfId="0" applyNumberFormat="1" applyFont="1" applyBorder="1" applyAlignment="1">
      <alignmen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9" fillId="0" borderId="9" xfId="0" applyFont="1" applyBorder="1" applyAlignment="1">
      <alignment vertical="top" wrapText="1"/>
    </xf>
    <xf numFmtId="0" fontId="9" fillId="0" borderId="0" xfId="0" applyFont="1" applyAlignment="1">
      <alignment vertical="top" wrapText="1"/>
    </xf>
    <xf numFmtId="0" fontId="9" fillId="0" borderId="6" xfId="0" applyFont="1" applyBorder="1" applyAlignment="1">
      <alignment vertical="top"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13" xfId="0" applyFont="1" applyBorder="1" applyAlignment="1">
      <alignment vertical="center" wrapText="1"/>
    </xf>
    <xf numFmtId="0" fontId="12" fillId="0" borderId="14" xfId="0" applyFont="1" applyBorder="1" applyAlignment="1">
      <alignment vertical="center" wrapText="1"/>
    </xf>
    <xf numFmtId="0" fontId="12" fillId="0" borderId="15" xfId="0" applyFont="1" applyBorder="1" applyAlignment="1">
      <alignment vertical="center" wrapText="1"/>
    </xf>
    <xf numFmtId="0" fontId="12" fillId="0" borderId="7"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7" xfId="0" applyFont="1"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4" fillId="0" borderId="0" xfId="0" applyFont="1" applyAlignment="1">
      <alignment horizontal="right" vertical="center" wrapText="1"/>
    </xf>
    <xf numFmtId="0" fontId="0" fillId="0" borderId="65"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27"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4" fillId="0" borderId="14"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3" borderId="10" xfId="0" applyFont="1" applyFill="1" applyBorder="1" applyAlignment="1" applyProtection="1">
      <alignment horizontal="left" vertical="center" wrapText="1"/>
      <protection locked="0"/>
    </xf>
    <xf numFmtId="0" fontId="14" fillId="3" borderId="11" xfId="0" applyFont="1" applyFill="1" applyBorder="1" applyAlignment="1" applyProtection="1">
      <alignment horizontal="left" vertical="center" wrapText="1"/>
      <protection locked="0"/>
    </xf>
    <xf numFmtId="0" fontId="14" fillId="3" borderId="67"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Alignment="1" applyProtection="1">
      <alignment horizontal="center" vertical="top" wrapText="1"/>
      <protection locked="0"/>
    </xf>
    <xf numFmtId="17" fontId="4" fillId="0" borderId="14" xfId="0" applyNumberFormat="1" applyFont="1" applyBorder="1" applyAlignment="1">
      <alignment vertical="top" wrapText="1"/>
    </xf>
    <xf numFmtId="17" fontId="4" fillId="0" borderId="15" xfId="0" applyNumberFormat="1" applyFont="1" applyBorder="1" applyAlignment="1">
      <alignment vertical="top" wrapText="1"/>
    </xf>
    <xf numFmtId="17" fontId="4" fillId="0" borderId="7" xfId="0" applyNumberFormat="1" applyFont="1" applyBorder="1" applyAlignment="1">
      <alignment vertical="top" wrapText="1"/>
    </xf>
    <xf numFmtId="0" fontId="3" fillId="0" borderId="14" xfId="0" applyFont="1" applyBorder="1" applyAlignment="1">
      <alignment vertical="top" wrapText="1"/>
    </xf>
    <xf numFmtId="0" fontId="3" fillId="0" borderId="7" xfId="0" applyFont="1" applyBorder="1" applyAlignment="1">
      <alignment vertical="top" wrapText="1"/>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17" fillId="3" borderId="14" xfId="2" applyFill="1" applyBorder="1" applyAlignment="1" applyProtection="1">
      <alignment vertical="top" wrapText="1"/>
      <protection locked="0"/>
    </xf>
    <xf numFmtId="0" fontId="4" fillId="3" borderId="7" xfId="0" applyFont="1" applyFill="1" applyBorder="1" applyAlignment="1" applyProtection="1">
      <alignment vertical="top" wrapText="1"/>
      <protection locked="0"/>
    </xf>
    <xf numFmtId="0" fontId="4" fillId="3" borderId="14" xfId="0" applyFont="1" applyFill="1" applyBorder="1" applyAlignment="1" applyProtection="1">
      <alignment vertical="top" wrapText="1"/>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7" fillId="3" borderId="1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4" fillId="3" borderId="14"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9" fontId="4" fillId="3" borderId="10" xfId="3" applyFont="1" applyFill="1" applyBorder="1" applyAlignment="1" applyProtection="1">
      <alignment horizontal="center" vertical="top"/>
      <protection locked="0"/>
    </xf>
    <xf numFmtId="9" fontId="4" fillId="3" borderId="8" xfId="3" applyFont="1" applyFill="1" applyBorder="1" applyAlignment="1" applyProtection="1">
      <alignment horizontal="center" vertical="top"/>
      <protection locked="0"/>
    </xf>
    <xf numFmtId="0" fontId="14" fillId="0" borderId="0" xfId="0" applyFont="1" applyAlignment="1" applyProtection="1">
      <alignment horizontal="left" vertical="center" wrapText="1"/>
      <protection locked="0"/>
    </xf>
    <xf numFmtId="0" fontId="4" fillId="0" borderId="29" xfId="0" applyFont="1" applyBorder="1" applyAlignment="1">
      <alignment horizontal="left" vertical="top"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xf>
    <xf numFmtId="0" fontId="4" fillId="0" borderId="13" xfId="0" applyFont="1" applyBorder="1" applyAlignment="1">
      <alignment horizontal="center" vertical="top"/>
    </xf>
    <xf numFmtId="0" fontId="3" fillId="3" borderId="14" xfId="0" applyFont="1" applyFill="1" applyBorder="1" applyAlignment="1" applyProtection="1">
      <alignment horizontal="center" vertical="top" wrapText="1"/>
      <protection locked="0"/>
    </xf>
    <xf numFmtId="0" fontId="3" fillId="3" borderId="15" xfId="0" applyFont="1" applyFill="1" applyBorder="1" applyAlignment="1" applyProtection="1">
      <alignment horizontal="center" vertical="top" wrapText="1"/>
      <protection locked="0"/>
    </xf>
    <xf numFmtId="0" fontId="3" fillId="3" borderId="7" xfId="0" applyFont="1" applyFill="1" applyBorder="1" applyAlignment="1" applyProtection="1">
      <alignment horizontal="center" vertical="top" wrapText="1"/>
      <protection locked="0"/>
    </xf>
    <xf numFmtId="0" fontId="4" fillId="0" borderId="2" xfId="0" applyFont="1" applyBorder="1" applyAlignment="1">
      <alignment horizontal="center" vertical="top" wrapText="1"/>
    </xf>
    <xf numFmtId="0" fontId="4" fillId="0" borderId="10" xfId="0" applyFont="1" applyBorder="1" applyAlignment="1">
      <alignment horizontal="center" vertical="top" wrapText="1"/>
    </xf>
    <xf numFmtId="0" fontId="4" fillId="3" borderId="14"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27" fillId="0" borderId="9" xfId="0" applyFont="1" applyBorder="1" applyAlignment="1">
      <alignment vertical="top" wrapText="1"/>
    </xf>
    <xf numFmtId="0" fontId="27" fillId="0" borderId="0" xfId="0" applyFont="1" applyAlignment="1">
      <alignment vertical="top" wrapText="1"/>
    </xf>
    <xf numFmtId="0" fontId="27" fillId="0" borderId="6" xfId="0" applyFont="1" applyBorder="1" applyAlignment="1">
      <alignment vertical="top" wrapText="1"/>
    </xf>
    <xf numFmtId="0" fontId="14" fillId="3" borderId="14" xfId="0" applyFont="1" applyFill="1" applyBorder="1" applyAlignment="1" applyProtection="1">
      <alignment horizontal="left" vertical="top" wrapText="1"/>
      <protection locked="0"/>
    </xf>
    <xf numFmtId="0" fontId="14" fillId="3" borderId="15" xfId="0" applyFont="1" applyFill="1" applyBorder="1" applyAlignment="1" applyProtection="1">
      <alignment horizontal="left" vertical="top" wrapText="1"/>
      <protection locked="0"/>
    </xf>
    <xf numFmtId="0" fontId="14" fillId="3" borderId="7" xfId="0" applyFont="1" applyFill="1" applyBorder="1" applyAlignment="1" applyProtection="1">
      <alignment horizontal="left" vertical="top" wrapText="1"/>
      <protection locked="0"/>
    </xf>
    <xf numFmtId="0" fontId="8" fillId="0" borderId="1" xfId="0" applyFont="1" applyBorder="1" applyAlignment="1">
      <alignment horizontal="center" vertical="top" wrapText="1"/>
    </xf>
    <xf numFmtId="0" fontId="8" fillId="0" borderId="13" xfId="0" applyFont="1" applyBorder="1" applyAlignment="1">
      <alignment horizontal="center"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8" fillId="0" borderId="5" xfId="0" applyFont="1" applyBorder="1" applyAlignment="1">
      <alignment horizontal="center" vertical="top"/>
    </xf>
    <xf numFmtId="0" fontId="8" fillId="0" borderId="13" xfId="0" applyFont="1" applyBorder="1" applyAlignment="1">
      <alignment horizontal="center" vertical="top"/>
    </xf>
    <xf numFmtId="0" fontId="8" fillId="0" borderId="1" xfId="0" applyFont="1" applyBorder="1" applyAlignment="1">
      <alignment horizontal="center" vertical="top"/>
    </xf>
    <xf numFmtId="0" fontId="4" fillId="3" borderId="9" xfId="0" applyFont="1" applyFill="1" applyBorder="1" applyAlignment="1">
      <alignment horizontal="left" vertical="top" wrapText="1"/>
    </xf>
    <xf numFmtId="0" fontId="4" fillId="3" borderId="0" xfId="0" applyFont="1" applyFill="1" applyAlignment="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0" borderId="29" xfId="0" applyFont="1" applyBorder="1" applyAlignment="1">
      <alignment vertical="top" wrapText="1"/>
    </xf>
    <xf numFmtId="0" fontId="14" fillId="3" borderId="18" xfId="0" applyFont="1" applyFill="1" applyBorder="1" applyAlignment="1" applyProtection="1">
      <alignment horizontal="left" vertical="center" wrapText="1"/>
      <protection locked="0"/>
    </xf>
    <xf numFmtId="0" fontId="14" fillId="3" borderId="19" xfId="0" applyFont="1" applyFill="1" applyBorder="1" applyAlignment="1" applyProtection="1">
      <alignment horizontal="left" vertical="center" wrapText="1"/>
      <protection locked="0"/>
    </xf>
    <xf numFmtId="0" fontId="14" fillId="3" borderId="20" xfId="0" applyFont="1" applyFill="1" applyBorder="1" applyAlignment="1" applyProtection="1">
      <alignment horizontal="left" vertical="center"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8" fillId="0" borderId="16" xfId="0" applyFont="1" applyBorder="1" applyAlignment="1">
      <alignment horizontal="center" vertical="top"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29" fillId="0" borderId="1" xfId="0" applyFont="1" applyBorder="1" applyAlignment="1">
      <alignment horizontal="center" vertical="center" wrapText="1"/>
    </xf>
    <xf numFmtId="0" fontId="29" fillId="0" borderId="13" xfId="0" applyFont="1" applyBorder="1" applyAlignment="1">
      <alignment horizontal="center" vertical="center" wrapText="1"/>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Alignment="1">
      <alignment horizontal="left" vertical="top" wrapText="1"/>
    </xf>
    <xf numFmtId="0" fontId="3" fillId="3" borderId="28" xfId="0" applyFont="1" applyFill="1" applyBorder="1" applyAlignment="1">
      <alignment horizontal="left"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29" fillId="9" borderId="1" xfId="0" applyFont="1" applyFill="1" applyBorder="1" applyAlignment="1">
      <alignment horizontal="center" vertical="center" wrapText="1"/>
    </xf>
    <xf numFmtId="0" fontId="29" fillId="9" borderId="13"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3" fillId="3" borderId="9"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4" fillId="0" borderId="14" xfId="0" applyFont="1" applyBorder="1" applyAlignment="1">
      <alignment vertical="top"/>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vertical="top" wrapText="1"/>
    </xf>
    <xf numFmtId="0" fontId="4" fillId="0" borderId="15" xfId="0" applyFont="1" applyBorder="1" applyAlignment="1">
      <alignment vertical="top"/>
    </xf>
    <xf numFmtId="0" fontId="4" fillId="0" borderId="7" xfId="0" applyFont="1" applyBorder="1" applyAlignment="1">
      <alignment vertical="top"/>
    </xf>
    <xf numFmtId="0" fontId="8" fillId="0" borderId="1" xfId="0" applyFont="1" applyBorder="1" applyAlignment="1">
      <alignment vertical="top" wrapText="1"/>
    </xf>
    <xf numFmtId="0" fontId="8" fillId="0" borderId="5" xfId="0" applyFont="1" applyBorder="1" applyAlignment="1">
      <alignment vertical="top" wrapText="1"/>
    </xf>
    <xf numFmtId="0" fontId="8" fillId="0" borderId="13" xfId="0" applyFont="1" applyBorder="1" applyAlignment="1">
      <alignment vertical="top" wrapText="1"/>
    </xf>
    <xf numFmtId="0" fontId="4" fillId="0" borderId="3" xfId="0" applyFont="1" applyBorder="1" applyAlignment="1">
      <alignment horizontal="left" vertical="center" wrapText="1"/>
    </xf>
    <xf numFmtId="0" fontId="4" fillId="3" borderId="1"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3" fontId="8" fillId="3" borderId="1" xfId="0" applyNumberFormat="1" applyFont="1" applyFill="1" applyBorder="1" applyAlignment="1" applyProtection="1">
      <alignment horizontal="left" vertical="top" wrapText="1"/>
      <protection locked="0"/>
    </xf>
    <xf numFmtId="3" fontId="8" fillId="3" borderId="13" xfId="0" applyNumberFormat="1" applyFont="1" applyFill="1" applyBorder="1" applyAlignment="1" applyProtection="1">
      <alignment horizontal="left" vertical="top" wrapText="1"/>
      <protection locked="0"/>
    </xf>
    <xf numFmtId="169" fontId="4" fillId="3" borderId="1" xfId="0" applyNumberFormat="1" applyFont="1" applyFill="1" applyBorder="1" applyAlignment="1" applyProtection="1">
      <alignment horizontal="center" vertical="center" wrapText="1"/>
      <protection locked="0"/>
    </xf>
    <xf numFmtId="169" fontId="4" fillId="3" borderId="13" xfId="0" applyNumberFormat="1" applyFont="1" applyFill="1" applyBorder="1" applyAlignment="1" applyProtection="1">
      <alignment horizontal="center" vertical="center" wrapText="1"/>
      <protection locked="0"/>
    </xf>
    <xf numFmtId="169" fontId="7" fillId="3" borderId="1" xfId="0" applyNumberFormat="1" applyFont="1" applyFill="1" applyBorder="1" applyAlignment="1" applyProtection="1">
      <alignment horizontal="center" vertical="center" wrapText="1"/>
      <protection locked="0"/>
    </xf>
    <xf numFmtId="169" fontId="7" fillId="3" borderId="13" xfId="0" applyNumberFormat="1" applyFont="1" applyFill="1" applyBorder="1" applyAlignment="1" applyProtection="1">
      <alignment horizontal="center" vertical="center" wrapText="1"/>
      <protection locked="0"/>
    </xf>
    <xf numFmtId="0" fontId="55" fillId="0" borderId="1" xfId="0" applyFont="1" applyBorder="1" applyAlignment="1">
      <alignment horizontal="center" vertical="center" wrapText="1"/>
    </xf>
    <xf numFmtId="0" fontId="55" fillId="0" borderId="13" xfId="0" applyFont="1" applyBorder="1" applyAlignment="1">
      <alignment horizontal="center" vertical="center" wrapText="1"/>
    </xf>
    <xf numFmtId="0" fontId="56" fillId="9" borderId="1" xfId="0" applyFont="1" applyFill="1" applyBorder="1" applyAlignment="1">
      <alignment horizontal="center" vertical="center" wrapText="1"/>
    </xf>
    <xf numFmtId="0" fontId="56" fillId="9" borderId="13" xfId="0" applyFont="1" applyFill="1" applyBorder="1" applyAlignment="1">
      <alignment horizontal="center" vertical="center" wrapText="1"/>
    </xf>
    <xf numFmtId="0" fontId="56" fillId="0" borderId="1" xfId="0" applyFont="1" applyBorder="1" applyAlignment="1">
      <alignment horizontal="center" vertical="center" wrapText="1"/>
    </xf>
    <xf numFmtId="0" fontId="56" fillId="0" borderId="13" xfId="0" applyFont="1" applyBorder="1" applyAlignment="1">
      <alignment horizontal="center" vertical="center" wrapText="1"/>
    </xf>
    <xf numFmtId="0" fontId="55" fillId="0" borderId="14" xfId="0" applyFont="1" applyBorder="1" applyAlignment="1">
      <alignment horizontal="center" vertical="top" wrapText="1"/>
    </xf>
    <xf numFmtId="0" fontId="55" fillId="0" borderId="15" xfId="0" applyFont="1" applyBorder="1" applyAlignment="1">
      <alignment horizontal="center" vertical="top" wrapText="1"/>
    </xf>
    <xf numFmtId="0" fontId="55" fillId="0" borderId="7" xfId="0" applyFont="1" applyBorder="1" applyAlignment="1">
      <alignment horizontal="center" vertical="top" wrapText="1"/>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72" fillId="0" borderId="1" xfId="0" applyFont="1" applyBorder="1" applyAlignment="1">
      <alignment vertical="center" wrapText="1"/>
    </xf>
    <xf numFmtId="0" fontId="72" fillId="0" borderId="13" xfId="0" applyFont="1" applyBorder="1" applyAlignment="1">
      <alignment vertical="center" wrapText="1"/>
    </xf>
    <xf numFmtId="0" fontId="72" fillId="0" borderId="14" xfId="0" applyFont="1" applyBorder="1" applyAlignment="1">
      <alignment vertical="center" wrapText="1"/>
    </xf>
    <xf numFmtId="0" fontId="72" fillId="0" borderId="15" xfId="0" applyFont="1" applyBorder="1" applyAlignment="1">
      <alignment vertical="center" wrapText="1"/>
    </xf>
    <xf numFmtId="0" fontId="72" fillId="0" borderId="7" xfId="0" applyFont="1" applyBorder="1" applyAlignment="1">
      <alignment vertical="center" wrapText="1"/>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56" fillId="0" borderId="5"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7" xfId="0" applyFont="1" applyBorder="1" applyAlignment="1">
      <alignment horizontal="center" vertical="center" wrapText="1"/>
    </xf>
    <xf numFmtId="0" fontId="56" fillId="0" borderId="9" xfId="0" applyFont="1" applyBorder="1" applyAlignment="1">
      <alignment horizontal="center" vertical="center" wrapText="1"/>
    </xf>
    <xf numFmtId="0" fontId="4" fillId="0" borderId="6" xfId="0" applyFont="1" applyBorder="1" applyAlignment="1">
      <alignment horizontal="center" vertical="center" wrapText="1"/>
    </xf>
    <xf numFmtId="0" fontId="55" fillId="0" borderId="5" xfId="0" applyFont="1" applyBorder="1" applyAlignment="1">
      <alignment horizontal="center" vertical="center" wrapText="1"/>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27" fillId="0" borderId="10" xfId="0" applyFont="1" applyBorder="1" applyAlignment="1">
      <alignment vertical="top" wrapText="1"/>
    </xf>
    <xf numFmtId="0" fontId="27" fillId="0" borderId="11" xfId="0" applyFont="1" applyBorder="1" applyAlignment="1">
      <alignment vertical="top" wrapText="1"/>
    </xf>
    <xf numFmtId="0" fontId="27" fillId="0" borderId="8" xfId="0" applyFont="1" applyBorder="1" applyAlignment="1">
      <alignment vertical="top" wrapText="1"/>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14" fillId="0" borderId="18" xfId="0" applyFont="1" applyBorder="1" applyAlignment="1" applyProtection="1">
      <alignment horizontal="left" vertical="top" wrapText="1"/>
      <protection locked="0"/>
    </xf>
    <xf numFmtId="0" fontId="14" fillId="0" borderId="19" xfId="0" applyFont="1" applyBorder="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4" fillId="0" borderId="14" xfId="0" applyFont="1" applyBorder="1" applyAlignment="1">
      <alignment horizontal="center" vertical="top" wrapText="1"/>
    </xf>
    <xf numFmtId="0" fontId="4" fillId="0" borderId="7" xfId="0" applyFont="1" applyBorder="1" applyAlignment="1">
      <alignment horizontal="center" vertical="top" wrapText="1"/>
    </xf>
    <xf numFmtId="0" fontId="4" fillId="3" borderId="10"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vertical="top"/>
    </xf>
    <xf numFmtId="0" fontId="4" fillId="0" borderId="17" xfId="0" applyFont="1" applyBorder="1" applyAlignment="1">
      <alignment vertical="top"/>
    </xf>
    <xf numFmtId="0" fontId="4" fillId="3" borderId="15" xfId="0" applyFont="1" applyFill="1" applyBorder="1" applyAlignment="1" applyProtection="1">
      <alignment horizontal="left" vertical="top" wrapText="1"/>
      <protection locked="0"/>
    </xf>
    <xf numFmtId="0" fontId="4" fillId="18" borderId="9" xfId="0" applyFont="1" applyFill="1" applyBorder="1" applyAlignment="1">
      <alignment vertical="top" wrapText="1"/>
    </xf>
    <xf numFmtId="0" fontId="4" fillId="18" borderId="0" xfId="0" applyFont="1" applyFill="1" applyAlignment="1">
      <alignment vertical="top" wrapText="1"/>
    </xf>
    <xf numFmtId="0" fontId="4" fillId="18" borderId="0" xfId="0" applyFont="1" applyFill="1" applyAlignment="1">
      <alignment horizontal="left" vertical="center" wrapText="1"/>
    </xf>
    <xf numFmtId="0" fontId="4" fillId="18" borderId="6" xfId="0" applyFont="1" applyFill="1" applyBorder="1" applyAlignment="1">
      <alignment horizontal="left" vertical="center" wrapText="1"/>
    </xf>
    <xf numFmtId="0" fontId="54" fillId="27" borderId="9" xfId="0" applyFont="1" applyFill="1" applyBorder="1" applyAlignment="1">
      <alignment horizontal="center" wrapText="1"/>
    </xf>
    <xf numFmtId="0" fontId="54" fillId="27" borderId="6" xfId="0" applyFont="1" applyFill="1" applyBorder="1" applyAlignment="1">
      <alignment horizontal="center" wrapText="1"/>
    </xf>
    <xf numFmtId="0" fontId="4" fillId="3" borderId="10"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3" xfId="0" applyFont="1" applyBorder="1" applyAlignment="1">
      <alignment horizontal="center" vertical="center" wrapText="1"/>
    </xf>
    <xf numFmtId="0" fontId="74" fillId="0" borderId="14" xfId="0" applyFont="1" applyBorder="1" applyAlignment="1">
      <alignment horizontal="center" vertical="center" wrapText="1"/>
    </xf>
    <xf numFmtId="0" fontId="74" fillId="0" borderId="7" xfId="0" applyFont="1" applyBorder="1" applyAlignment="1">
      <alignment horizontal="center" vertical="center" wrapText="1"/>
    </xf>
    <xf numFmtId="0" fontId="74" fillId="0" borderId="15" xfId="0" applyFont="1" applyBorder="1" applyAlignment="1">
      <alignment horizontal="center" vertical="center" wrapText="1"/>
    </xf>
    <xf numFmtId="0" fontId="4" fillId="0" borderId="1" xfId="0" applyFont="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0" borderId="15" xfId="0" applyFont="1" applyBorder="1" applyAlignment="1" applyProtection="1">
      <alignment vertical="center" wrapText="1"/>
      <protection locked="0"/>
    </xf>
    <xf numFmtId="0" fontId="12" fillId="0" borderId="7" xfId="0" applyFont="1" applyBorder="1" applyAlignment="1" applyProtection="1">
      <alignment vertical="center" wrapText="1"/>
      <protection locked="0"/>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4" fillId="0" borderId="14" xfId="0" applyFont="1" applyBorder="1" applyAlignment="1">
      <alignment vertical="center"/>
    </xf>
    <xf numFmtId="0" fontId="4" fillId="0" borderId="7" xfId="0" applyFont="1" applyBorder="1" applyAlignment="1">
      <alignment vertical="center"/>
    </xf>
    <xf numFmtId="0" fontId="4" fillId="0" borderId="14"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0" fillId="0" borderId="27" xfId="0" applyBorder="1" applyAlignment="1" applyProtection="1">
      <alignment horizontal="left" vertical="center"/>
      <protection hidden="1"/>
    </xf>
    <xf numFmtId="0" fontId="0" fillId="0" borderId="0" xfId="0" applyAlignment="1" applyProtection="1">
      <alignment horizontal="left" vertical="center"/>
      <protection hidden="1"/>
    </xf>
    <xf numFmtId="43" fontId="30" fillId="0" borderId="0" xfId="5" applyNumberFormat="1" applyFont="1" applyAlignment="1">
      <alignment vertical="center" wrapText="1"/>
    </xf>
  </cellXfs>
  <cellStyles count="12">
    <cellStyle name="Bueno" xfId="1" builtinId="26"/>
    <cellStyle name="Hipervínculo" xfId="2" builtinId="8"/>
    <cellStyle name="Millares" xfId="4" builtinId="3"/>
    <cellStyle name="Millares [0] 2" xfId="6" xr:uid="{00000000-0005-0000-0000-000003000000}"/>
    <cellStyle name="Millares [0] 2 2" xfId="9" xr:uid="{00000000-0005-0000-0000-000004000000}"/>
    <cellStyle name="Millares 2" xfId="7" xr:uid="{00000000-0005-0000-0000-000005000000}"/>
    <cellStyle name="Millares 2 2" xfId="10" xr:uid="{00000000-0005-0000-0000-000006000000}"/>
    <cellStyle name="Millares 3" xfId="8" xr:uid="{00000000-0005-0000-0000-000007000000}"/>
    <cellStyle name="Moneda" xfId="11" builtinId="4"/>
    <cellStyle name="Normal" xfId="0" builtinId="0"/>
    <cellStyle name="Normal 2" xfId="5" xr:uid="{00000000-0005-0000-0000-000009000000}"/>
    <cellStyle name="Porcentaje" xfId="3" builtinId="5"/>
  </cellStyles>
  <dxfs count="1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s>
  <tableStyles count="0" defaultTableStyle="TableStyleMedium2" defaultPivotStyle="PivotStyleLight16"/>
  <colors>
    <mruColors>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20" Type="http://schemas.openxmlformats.org/officeDocument/2006/relationships/worksheet" Target="worksheets/sheet20.xml"/><Relationship Id="rId41"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pt>
    <dgm:pt modelId="{E6E34545-7A70-45F5-AF30-5300FEAF0CB4}" type="pres">
      <dgm:prSet presAssocID="{2CB7F8B1-2637-4408-9185-3A95A2E4D4D4}" presName="parentText" presStyleLbl="node1" presStyleIdx="0" presStyleCnt="7">
        <dgm:presLayoutVars>
          <dgm:chMax val="0"/>
          <dgm:bulletEnabled val="1"/>
        </dgm:presLayoutVars>
      </dgm:prSet>
      <dgm:spPr/>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pt>
  </dgm:ptLst>
  <dgm:cxnLst>
    <dgm:cxn modelId="{86BCD402-AC25-4EFC-9A1D-FA632AC7B6B7}" type="presOf" srcId="{D67F9A5A-5E88-44A1-939C-135CE3AF4041}" destId="{514BAA5A-25A1-407B-9E98-4F585743FC17}" srcOrd="1"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1FF54305-BFB2-4855-ACDA-8F153FA4F52D}" type="presOf" srcId="{8069E184-766F-4E8B-A1E8-51EDBCF8B787}" destId="{8FFBFEAB-4C29-43E1-9195-E019257224C0}" srcOrd="0" destOrd="0" presId="urn:microsoft.com/office/officeart/2005/8/layout/list1"/>
    <dgm:cxn modelId="{39949B06-98CA-426A-A4A6-EA0210D2BAFD}" type="presOf" srcId="{DCD48D7A-4B03-4423-8CB5-5C5D79405805}" destId="{1DEF4F99-0D10-4E54-A0BF-F9524F830250}" srcOrd="0" destOrd="0" presId="urn:microsoft.com/office/officeart/2005/8/layout/list1"/>
    <dgm:cxn modelId="{09C94807-2443-4E06-A6A2-8ACA048AF36F}" type="presOf" srcId="{0E652C00-4F5E-4225-B0DE-1E16E467F052}" destId="{4E9F94DE-8CF1-4FE7-9A6B-53CB416743FC}" srcOrd="1" destOrd="0"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84B27017-A550-4955-B34A-A6F39E2DEC14}" srcId="{38D6ECF3-9DC0-4FA5-AA85-AE678086D86F}" destId="{7AD3D970-693A-46CB-93F2-8719BB4A2138}" srcOrd="0" destOrd="0" parTransId="{76659B4B-2119-4F3E-A632-F083A9E2AF61}" sibTransId="{004D6EF7-97F6-4EB3-9B3E-229E15C08DFD}"/>
    <dgm:cxn modelId="{81798117-7F32-4512-A9BE-FB15A365DCF2}" type="presOf" srcId="{477C0414-2F64-47A3-9675-FE2E4F8C4A83}" destId="{06ACE6F8-0FA9-44AE-BA37-8718AB57D422}"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228A001C-DFEF-4BA8-8945-6B052FD3DB06}" srcId="{DCD48D7A-4B03-4423-8CB5-5C5D79405805}" destId="{38D6ECF3-9DC0-4FA5-AA85-AE678086D86F}" srcOrd="6" destOrd="0" parTransId="{CA07B11D-A281-4474-956D-CE017D55096D}" sibTransId="{23F1DCF5-3AF5-46F5-8EBA-1B227FFDA68A}"/>
    <dgm:cxn modelId="{64B9461D-EAC6-4AD6-8946-7E802054283C}" srcId="{D67F9A5A-5E88-44A1-939C-135CE3AF4041}" destId="{CF379588-8D99-446E-9DA3-7D31B1AC5467}" srcOrd="0" destOrd="0" parTransId="{C53496FF-16AA-4B86-9A97-C210D3425615}" sibTransId="{FA04A515-77A5-47E1-9A21-427002F75BBD}"/>
    <dgm:cxn modelId="{0F5FD01F-7C50-4552-ACA8-1BCD7B93BC0C}" type="presOf" srcId="{275C1FC4-3E17-4EB7-B629-3B18A2C22A68}" destId="{3BC1BA34-3099-48F7-ADCC-C59CA8F05523}" srcOrd="0" destOrd="5" presId="urn:microsoft.com/office/officeart/2005/8/layout/list1"/>
    <dgm:cxn modelId="{ABA36423-4ADF-4BC2-B9D4-4551354C1F10}" srcId="{DCD48D7A-4B03-4423-8CB5-5C5D79405805}" destId="{0E652C00-4F5E-4225-B0DE-1E16E467F052}" srcOrd="5" destOrd="0" parTransId="{6B4BA892-C7B2-40DA-97EE-3611027033ED}" sibTransId="{49049186-C28C-4B3F-A75E-A3310F719D8A}"/>
    <dgm:cxn modelId="{C7F3AF26-7028-4FBC-A3B8-442CFA4F4A7F}" type="presOf" srcId="{4A7800C9-7D3D-4FD3-A0C8-055EA574631C}" destId="{3BC1BA34-3099-48F7-ADCC-C59CA8F05523}" srcOrd="0" destOrd="1" presId="urn:microsoft.com/office/officeart/2005/8/layout/list1"/>
    <dgm:cxn modelId="{FAE50C2E-D4BD-46F3-ACBD-9DE02637A7D6}" srcId="{CF4F553E-C1BC-4366-8D1F-2538C739F34D}" destId="{C14DAE80-C9AD-4DF2-AB00-76A03871C660}" srcOrd="0" destOrd="0" parTransId="{1B35EC25-3A5D-44C3-8EC6-1F67B5E94F65}" sibTransId="{EB3C29DE-5BFD-45F2-B15E-ED5B03F68740}"/>
    <dgm:cxn modelId="{3F409E34-BFAE-45FE-A027-0ABAC99B8A84}" srcId="{38D6ECF3-9DC0-4FA5-AA85-AE678086D86F}" destId="{92E8A65F-F99F-488E-AF0A-565C72278797}" srcOrd="1" destOrd="0" parTransId="{66E38FC8-C18A-470F-A205-AE2365A9DE78}" sibTransId="{B79C7341-D380-4E6F-A6A3-3F12A56CC081}"/>
    <dgm:cxn modelId="{E923423D-189A-42D5-94FC-8E1EFC60C632}" type="presOf" srcId="{D49A736D-D090-4C3F-B7C8-90E12189F4E6}" destId="{35D5CD7D-3A20-4EB8-B442-65E54571D39E}" srcOrd="0" destOrd="0" presId="urn:microsoft.com/office/officeart/2005/8/layout/list1"/>
    <dgm:cxn modelId="{3BF7423E-3DB0-4A87-A18C-2FC41867B2B4}" srcId="{8069E184-766F-4E8B-A1E8-51EDBCF8B787}" destId="{4E33CAE3-BFA7-460A-ADA1-9740AF500CD1}" srcOrd="0" destOrd="0" parTransId="{9DB4B8DC-C792-4F88-B9F0-3F8C466B68ED}" sibTransId="{4C4701A6-649F-4B75-8728-83D55A5A5663}"/>
    <dgm:cxn modelId="{6E3F353F-69A6-470A-90DF-68C45401EC8C}" type="presOf" srcId="{CF4F553E-C1BC-4366-8D1F-2538C739F34D}" destId="{96E24B0A-8F37-4257-B7B3-645FB1DA6A85}"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387F9B62-BA72-46DA-93B7-D805807BFC03}" srcId="{717ECC8B-6813-4A27-9DC1-A0349E570257}" destId="{275C1FC4-3E17-4EB7-B629-3B18A2C22A68}" srcOrd="5" destOrd="0" parTransId="{47FF5181-689E-402C-BA5E-A7F036D82964}" sibTransId="{BD9B50B6-A249-4B4C-A504-6B8A26A3E4B7}"/>
    <dgm:cxn modelId="{66F80349-2184-4386-B9D3-B0DFF876CB84}" srcId="{0E652C00-4F5E-4225-B0DE-1E16E467F052}" destId="{6632AE42-4A3F-47A4-991F-05B67D9E15A4}" srcOrd="1" destOrd="0" parTransId="{EA24CD28-DA30-489E-812A-8D006AD804E2}" sibTransId="{413A0DEC-0431-4D0A-9CF6-9F28DD448962}"/>
    <dgm:cxn modelId="{91767749-E65F-449F-BD07-C9B78444673B}" type="presOf" srcId="{8069E184-766F-4E8B-A1E8-51EDBCF8B787}" destId="{C4175353-957F-4B0A-882A-9D65932C4C45}" srcOrd="1" destOrd="0" presId="urn:microsoft.com/office/officeart/2005/8/layout/list1"/>
    <dgm:cxn modelId="{14F3064A-33D5-4A50-A94F-22EB976BA100}" type="presOf" srcId="{789B5BC8-288B-4DDA-AB25-039F66BEA3B1}" destId="{35D5CD7D-3A20-4EB8-B442-65E54571D39E}" srcOrd="0" destOrd="1" presId="urn:microsoft.com/office/officeart/2005/8/layout/list1"/>
    <dgm:cxn modelId="{31AA144C-E5AF-41D8-8CB7-8A2D48F310D0}" type="presOf" srcId="{51776FAA-A67F-43C9-93A9-09460B1195D0}" destId="{06ACE6F8-0FA9-44AE-BA37-8718AB57D422}"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3673614D-FB3D-4D84-B4D5-C1C1FEB93DC6}" srcId="{D67F9A5A-5E88-44A1-939C-135CE3AF4041}" destId="{477C0414-2F64-47A3-9675-FE2E4F8C4A83}" srcOrd="3" destOrd="0" parTransId="{211F0972-F335-42CF-8898-D6AD2F24BDF4}" sibTransId="{8249E61B-7B06-45EC-87B1-4624BFB202FC}"/>
    <dgm:cxn modelId="{10D3294F-F4FE-4252-AA72-A2630A60CBB1}" type="presOf" srcId="{CF4F553E-C1BC-4366-8D1F-2538C739F34D}" destId="{72C2FA48-4513-4CD5-8267-CAFA222E040F}" srcOrd="1" destOrd="0"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5106C352-9084-428F-ABCE-4715AAA43E33}" type="presOf" srcId="{29647C36-AD56-480A-B274-AFD85B8257AC}" destId="{77262FC2-D56C-47EC-A6D3-390D5DF0E708}" srcOrd="0" destOrd="2" presId="urn:microsoft.com/office/officeart/2005/8/layout/list1"/>
    <dgm:cxn modelId="{4C31F452-932E-4B3C-A24D-BB317566F188}" type="presOf" srcId="{08ED7DEB-8B98-40A9-9699-ACCFB829DBE2}" destId="{BEC4ABD6-0E89-47BE-B95E-5D5D71B73DA1}" srcOrd="0" destOrd="1"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56BF2655-C497-4B6B-B54F-A5D6AF560C8B}" type="presOf" srcId="{6632AE42-4A3F-47A4-991F-05B67D9E15A4}" destId="{FA8C06B1-BAA1-4827-A601-D14B18466DB6}" srcOrd="0" destOrd="1" presId="urn:microsoft.com/office/officeart/2005/8/layout/list1"/>
    <dgm:cxn modelId="{A2827875-87B0-4C3D-9E40-622962BC691D}" srcId="{DCD48D7A-4B03-4423-8CB5-5C5D79405805}" destId="{8069E184-766F-4E8B-A1E8-51EDBCF8B787}" srcOrd="1" destOrd="0" parTransId="{F64789F9-D1CE-4AFA-889E-41DC5016CFAB}" sibTransId="{93F1D987-E557-4E03-8C29-D08B5E8AAD1B}"/>
    <dgm:cxn modelId="{A43DF155-EDED-4348-8849-3FB54F8752F4}" srcId="{0E652C00-4F5E-4225-B0DE-1E16E467F052}" destId="{FDC96EDD-2D2E-424F-9793-6C67FBB810DD}" srcOrd="0" destOrd="0" parTransId="{C0F088F2-D816-422B-A598-8465D4C16265}" sibTransId="{D85BC74A-2C14-4596-B306-9B50E9FDF986}"/>
    <dgm:cxn modelId="{9515F576-512B-4C41-9F47-3A4D09823602}" type="presOf" srcId="{FDC96EDD-2D2E-424F-9793-6C67FBB810DD}" destId="{FA8C06B1-BAA1-4827-A601-D14B18466DB6}" srcOrd="0" destOrd="0" presId="urn:microsoft.com/office/officeart/2005/8/layout/list1"/>
    <dgm:cxn modelId="{F617155A-07A4-40C6-B9E5-6E820D5C2875}" srcId="{38D6ECF3-9DC0-4FA5-AA85-AE678086D86F}" destId="{29647C36-AD56-480A-B274-AFD85B8257AC}" srcOrd="2" destOrd="0" parTransId="{4CAE2BE9-B466-4310-88AB-C78BF23B7371}" sibTransId="{8B89DDF0-7CED-46E8-8F61-0B17466698FF}"/>
    <dgm:cxn modelId="{D226197F-CE6B-4E8C-8CDE-97726899C8AD}" type="presOf" srcId="{FB36F50F-332B-41E1-B818-61C37228C5CE}" destId="{4EFCDA67-9C44-44DD-A910-D775D3C6B542}" srcOrd="0" destOrd="1" presId="urn:microsoft.com/office/officeart/2005/8/layout/list1"/>
    <dgm:cxn modelId="{23E9C680-B431-4473-9AF5-E1D6CFC8BC2E}" type="presOf" srcId="{98B28FD7-1DA8-4B1D-A743-BD64C0AAE85A}" destId="{35D5CD7D-3A20-4EB8-B442-65E54571D39E}" srcOrd="0" destOrd="2" presId="urn:microsoft.com/office/officeart/2005/8/layout/list1"/>
    <dgm:cxn modelId="{6E1DD283-6A02-4C7B-967E-43E4F2241590}" srcId="{2CB7F8B1-2637-4408-9185-3A95A2E4D4D4}" destId="{D49A736D-D090-4C3F-B7C8-90E12189F4E6}" srcOrd="0" destOrd="0" parTransId="{6CB8211D-3027-42B8-8E1D-7F7CC0C2C2AF}" sibTransId="{085597EB-8A00-4F32-B9FE-6AE8F6AD66DB}"/>
    <dgm:cxn modelId="{49B31584-FEF4-4442-B336-882A9C197EAC}" type="presOf" srcId="{92E8A65F-F99F-488E-AF0A-565C72278797}" destId="{77262FC2-D56C-47EC-A6D3-390D5DF0E708}" srcOrd="0" destOrd="1" presId="urn:microsoft.com/office/officeart/2005/8/layout/list1"/>
    <dgm:cxn modelId="{72240C85-9D5C-458C-B319-EA4B04B6FA8A}" srcId="{D67F9A5A-5E88-44A1-939C-135CE3AF4041}" destId="{51776FAA-A67F-43C9-93A9-09460B1195D0}" srcOrd="2" destOrd="0" parTransId="{F49DC0A9-8665-4ADA-A379-AC107454A3ED}" sibTransId="{C8B4DFF5-5087-4292-AE4B-32507D166EBF}"/>
    <dgm:cxn modelId="{44A4FD8C-B715-4763-9E06-4EBC7F129D51}" srcId="{CF4F553E-C1BC-4366-8D1F-2538C739F34D}" destId="{FB36F50F-332B-41E1-B818-61C37228C5CE}" srcOrd="1" destOrd="0" parTransId="{1B402964-486C-4D88-B25B-BFBD3B7CB725}" sibTransId="{2F60FF59-EE81-4035-BCD0-A1A526D6233D}"/>
    <dgm:cxn modelId="{67B9198E-5C25-4F67-B9CB-41843459D987}" type="presOf" srcId="{C8F6D009-A118-4555-A677-CBA61BF6F0D5}" destId="{BEC4ABD6-0E89-47BE-B95E-5D5D71B73DA1}" srcOrd="0" destOrd="2" presId="urn:microsoft.com/office/officeart/2005/8/layout/list1"/>
    <dgm:cxn modelId="{E7A50992-9030-47C1-8E52-A2B896656A51}" type="presOf" srcId="{34106E7C-5D09-4727-92DE-E55E74AC51EE}" destId="{3BC1BA34-3099-48F7-ADCC-C59CA8F05523}" srcOrd="0" destOrd="4"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A8694B9B-DC05-4BB0-A409-CBB61FB7F639}" srcId="{2CB7F8B1-2637-4408-9185-3A95A2E4D4D4}" destId="{789B5BC8-288B-4DDA-AB25-039F66BEA3B1}" srcOrd="1" destOrd="0" parTransId="{20DF2F84-B159-462C-A073-B863B19CCFA9}" sibTransId="{F75FF99A-F150-48D0-B60B-5CB30D5A0E5A}"/>
    <dgm:cxn modelId="{B7FD2BA0-B80B-4666-86AB-099B7EA06341}" type="presOf" srcId="{E9D3C62B-362B-44C9-A42A-154B9DBAE91C}" destId="{FA8C06B1-BAA1-4827-A601-D14B18466DB6}" srcOrd="0" destOrd="2" presId="urn:microsoft.com/office/officeart/2005/8/layout/list1"/>
    <dgm:cxn modelId="{E88658A0-3BDE-454E-A794-8505E55DC105}" srcId="{DCD48D7A-4B03-4423-8CB5-5C5D79405805}" destId="{CF4F553E-C1BC-4366-8D1F-2538C739F34D}" srcOrd="4" destOrd="0" parTransId="{87729DE7-2820-4664-B237-4A95FE1E2F12}" sibTransId="{94558B0E-E006-4B59-8C83-CEE5060F8235}"/>
    <dgm:cxn modelId="{B6A3FAA2-72B7-4EDF-9F2B-07756CCFD145}" type="presOf" srcId="{0C7E1392-1B2E-4473-98A3-7DB95B0F3E41}" destId="{3BC1BA34-3099-48F7-ADCC-C59CA8F05523}" srcOrd="0" destOrd="3" presId="urn:microsoft.com/office/officeart/2005/8/layout/list1"/>
    <dgm:cxn modelId="{62C6A6A5-51AF-43F3-B103-5345821FAFEE}" srcId="{0E652C00-4F5E-4225-B0DE-1E16E467F052}" destId="{E9D3C62B-362B-44C9-A42A-154B9DBAE91C}" srcOrd="2" destOrd="0" parTransId="{C9AEF7BE-B561-478B-BAC4-CA5215113050}" sibTransId="{FFF495EB-AA84-4FB0-A607-B67EEC28EFF6}"/>
    <dgm:cxn modelId="{F5B463A9-1C63-49AF-836D-039CF3C3D222}" type="presOf" srcId="{CF379588-8D99-446E-9DA3-7D31B1AC5467}" destId="{06ACE6F8-0FA9-44AE-BA37-8718AB57D422}" srcOrd="0" destOrd="0" presId="urn:microsoft.com/office/officeart/2005/8/layout/list1"/>
    <dgm:cxn modelId="{C7759BAB-9FB4-42A6-99DA-5E5775983911}" type="presOf" srcId="{C14DAE80-C9AD-4DF2-AB00-76A03871C660}" destId="{4EFCDA67-9C44-44DD-A910-D775D3C6B542}" srcOrd="0" destOrd="0" presId="urn:microsoft.com/office/officeart/2005/8/layout/list1"/>
    <dgm:cxn modelId="{0CAB92AF-DA12-4A69-B592-C211B1603E46}" type="presOf" srcId="{F2356AF9-BEEF-4B44-8D11-6960D17AF916}" destId="{06ACE6F8-0FA9-44AE-BA37-8718AB57D422}" srcOrd="0" destOrd="1" presId="urn:microsoft.com/office/officeart/2005/8/layout/list1"/>
    <dgm:cxn modelId="{21FF54B0-7061-409D-AA77-9C011DC7E50B}" srcId="{717ECC8B-6813-4A27-9DC1-A0349E570257}" destId="{0C7E1392-1B2E-4473-98A3-7DB95B0F3E41}" srcOrd="3" destOrd="0" parTransId="{1BB85BBF-AE3C-4053-94E1-A07AA9D27118}" sibTransId="{170804D9-020B-4492-BDDC-2864E2B9B088}"/>
    <dgm:cxn modelId="{48FD79B7-0A80-4168-B74D-E45585C648D8}" srcId="{DCD48D7A-4B03-4423-8CB5-5C5D79405805}" destId="{717ECC8B-6813-4A27-9DC1-A0349E570257}" srcOrd="2" destOrd="0" parTransId="{D945DCAA-29DE-415E-9EC0-2EA9CDBA637F}" sibTransId="{60E19195-CF68-47DE-9785-66C048977208}"/>
    <dgm:cxn modelId="{794DEFC0-78A8-4CCF-9C86-48F2FE94417F}" type="presOf" srcId="{90932CD4-98AF-4D20-B3A5-3F4217DAB33C}" destId="{3BC1BA34-3099-48F7-ADCC-C59CA8F05523}" srcOrd="0" destOrd="0" presId="urn:microsoft.com/office/officeart/2005/8/layout/list1"/>
    <dgm:cxn modelId="{5B0414C2-1728-459D-B4A9-EB7A43C62996}" type="presOf" srcId="{717ECC8B-6813-4A27-9DC1-A0349E570257}" destId="{9702987D-0E97-487C-8CCC-50D92DF3BD3E}" srcOrd="0" destOrd="0" presId="urn:microsoft.com/office/officeart/2005/8/layout/list1"/>
    <dgm:cxn modelId="{5EFBE1C5-BAFA-4A4F-97DC-DCEC94D3930E}" type="presOf" srcId="{7AD3D970-693A-46CB-93F2-8719BB4A2138}" destId="{77262FC2-D56C-47EC-A6D3-390D5DF0E708}" srcOrd="0" destOrd="0" presId="urn:microsoft.com/office/officeart/2005/8/layout/list1"/>
    <dgm:cxn modelId="{B2CEC7D1-0EF3-43E8-A8C4-CA91F9F8B2C6}" srcId="{717ECC8B-6813-4A27-9DC1-A0349E570257}" destId="{320F87EC-CED1-4210-8A86-B8F3B4014BD7}" srcOrd="2" destOrd="0" parTransId="{3E66B59C-1F4A-4068-B805-1D0FD9DF5EB9}" sibTransId="{9C227A2C-DB8C-4F82-9033-31A1665D63A3}"/>
    <dgm:cxn modelId="{F0618CD4-2AC3-47D0-8F11-BACCD701AD92}" type="presOf" srcId="{717ECC8B-6813-4A27-9DC1-A0349E570257}" destId="{2F94551E-AD58-4389-A867-ACC7E854241D}" srcOrd="1"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DB12D2DB-01C4-4C72-B613-D8E0FA85016F}" type="presOf" srcId="{D67F9A5A-5E88-44A1-939C-135CE3AF4041}" destId="{3B8B29A2-8F27-4747-815F-4C192BC39EFB}"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78FA5E5-A2BA-4B5D-B58A-F79B8B58EBA0}" type="presOf" srcId="{2DDC3C6B-EB89-41BC-9626-2C8602AFD180}" destId="{4EFCDA67-9C44-44DD-A910-D775D3C6B542}" srcOrd="0" destOrd="2" presId="urn:microsoft.com/office/officeart/2005/8/layout/list1"/>
    <dgm:cxn modelId="{390B20E6-A9D0-40A0-91E1-C0FE58040D6E}" type="presOf" srcId="{260FD557-A6C6-4FE3-8993-4A56E5810063}" destId="{35D5CD7D-3A20-4EB8-B442-65E54571D39E}" srcOrd="0" destOrd="3" presId="urn:microsoft.com/office/officeart/2005/8/layout/list1"/>
    <dgm:cxn modelId="{6ECE81EC-BB4B-453C-92DD-2559DD914CE7}" type="presOf" srcId="{2CB7F8B1-2637-4408-9185-3A95A2E4D4D4}" destId="{E6E34545-7A70-45F5-AF30-5300FEAF0CB4}" srcOrd="1" destOrd="0" presId="urn:microsoft.com/office/officeart/2005/8/layout/list1"/>
    <dgm:cxn modelId="{C0D90BEF-14F4-437B-ACE6-480F7ECC25D2}" type="presOf" srcId="{38D6ECF3-9DC0-4FA5-AA85-AE678086D86F}" destId="{0BB363C2-1000-4D63-89E1-75C121258685}" srcOrd="1" destOrd="0" presId="urn:microsoft.com/office/officeart/2005/8/layout/list1"/>
    <dgm:cxn modelId="{AF2C1DF1-0917-4A12-AD82-87034F4AA6BD}" srcId="{717ECC8B-6813-4A27-9DC1-A0349E570257}" destId="{4A7800C9-7D3D-4FD3-A0C8-055EA574631C}" srcOrd="1" destOrd="0" parTransId="{E88C88D6-C647-44AC-8F34-1CDDF9D56EAE}" sibTransId="{011E79F5-D3D2-430D-AB83-E364AA563D3C}"/>
    <dgm:cxn modelId="{B83F70F1-0D48-4D91-8D66-89823BD64B2E}" type="presOf" srcId="{0E652C00-4F5E-4225-B0DE-1E16E467F052}" destId="{C7C02459-324F-4CBA-B9A7-D10266029FAC}" srcOrd="0" destOrd="0" presId="urn:microsoft.com/office/officeart/2005/8/layout/list1"/>
    <dgm:cxn modelId="{954406F2-1B59-4EB7-8571-C1BB56C70C82}" type="presOf" srcId="{320F87EC-CED1-4210-8A86-B8F3B4014BD7}" destId="{3BC1BA34-3099-48F7-ADCC-C59CA8F05523}" srcOrd="0" destOrd="2" presId="urn:microsoft.com/office/officeart/2005/8/layout/list1"/>
    <dgm:cxn modelId="{952D29FA-01DB-4FF4-B950-87A63CC80292}" srcId="{D67F9A5A-5E88-44A1-939C-135CE3AF4041}" destId="{F2356AF9-BEEF-4B44-8D11-6960D17AF916}" srcOrd="1" destOrd="0" parTransId="{30965C44-C041-42DC-BEED-B4376C8E6B72}" sibTransId="{B601354C-9FC2-4283-877B-28B5BED5CBBC}"/>
    <dgm:cxn modelId="{6C6EB5FC-FF88-485A-AB17-1DEBD14B1B4D}" srcId="{717ECC8B-6813-4A27-9DC1-A0349E570257}" destId="{34106E7C-5D09-4727-92DE-E55E74AC51EE}" srcOrd="4" destOrd="0" parTransId="{9975E2E8-9436-4F43-A130-25EADB8F15E6}" sibTransId="{55FD3231-A594-44A3-9758-E80BFF642EBF}"/>
    <dgm:cxn modelId="{01DF30FD-85F5-4932-8A85-620FE2B1C5CA}" type="presOf" srcId="{38D6ECF3-9DC0-4FA5-AA85-AE678086D86F}" destId="{A03587EF-2C72-4284-B879-B71BE0640BA4}" srcOrd="0"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5D5CD7D-3A20-4EB8-B442-65E54571D39E}">
      <dsp:nvSpPr>
        <dsp:cNvPr id="0" name=""/>
        <dsp:cNvSpPr/>
      </dsp:nvSpPr>
      <dsp:spPr>
        <a:xfrm>
          <a:off x="0" y="385322"/>
          <a:ext cx="3723005" cy="1071000"/>
        </a:xfrm>
        <a:prstGeom prst="rect">
          <a:avLst/>
        </a:prstGeom>
        <a:solidFill>
          <a:schemeClr val="lt1">
            <a:alpha val="90000"/>
            <a:hueOff val="0"/>
            <a:satOff val="0"/>
            <a:lumOff val="0"/>
            <a:alphaOff val="0"/>
          </a:schemeClr>
        </a:solidFill>
        <a:ln w="12700" cap="flat" cmpd="sng" algn="ctr">
          <a:solidFill>
            <a:schemeClr val="accent5">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Definición de la unidad objeto de ordenación forestal</a:t>
          </a:r>
        </a:p>
        <a:p>
          <a:pPr marL="57150" lvl="1" indent="-57150" algn="l" defTabSz="400050">
            <a:lnSpc>
              <a:spcPct val="90000"/>
            </a:lnSpc>
            <a:spcBef>
              <a:spcPct val="0"/>
            </a:spcBef>
            <a:spcAft>
              <a:spcPct val="15000"/>
            </a:spcAft>
            <a:buChar char="•"/>
          </a:pPr>
          <a:r>
            <a:rPr lang="es-CO" sz="900" kern="1200"/>
            <a:t>Asignación de recursos</a:t>
          </a:r>
        </a:p>
        <a:p>
          <a:pPr marL="57150" lvl="1" indent="-57150" algn="l" defTabSz="400050">
            <a:lnSpc>
              <a:spcPct val="90000"/>
            </a:lnSpc>
            <a:spcBef>
              <a:spcPct val="0"/>
            </a:spcBef>
            <a:spcAft>
              <a:spcPct val="15000"/>
            </a:spcAft>
            <a:buChar char="•"/>
          </a:pPr>
          <a:r>
            <a:rPr lang="es-CO" sz="900" kern="1200"/>
            <a:t>Inicio del proceso pre y contractual</a:t>
          </a:r>
        </a:p>
        <a:p>
          <a:pPr marL="57150" lvl="1" indent="-57150" algn="l" defTabSz="400050">
            <a:lnSpc>
              <a:spcPct val="90000"/>
            </a:lnSpc>
            <a:spcBef>
              <a:spcPct val="0"/>
            </a:spcBef>
            <a:spcAft>
              <a:spcPct val="15000"/>
            </a:spcAft>
            <a:buChar char="•"/>
          </a:pPr>
          <a:r>
            <a:rPr lang="es-CO" sz="900" kern="1200"/>
            <a:t>Conformación del equipo de trabajo  </a:t>
          </a:r>
        </a:p>
      </dsp:txBody>
      <dsp:txXfrm>
        <a:off x="0" y="385322"/>
        <a:ext cx="3723005" cy="1071000"/>
      </dsp:txXfrm>
    </dsp:sp>
    <dsp:sp modelId="{E6E34545-7A70-45F5-AF30-5300FEAF0CB4}">
      <dsp:nvSpPr>
        <dsp:cNvPr id="0" name=""/>
        <dsp:cNvSpPr/>
      </dsp:nvSpPr>
      <dsp:spPr>
        <a:xfrm>
          <a:off x="186150" y="18235"/>
          <a:ext cx="2606103" cy="590400"/>
        </a:xfrm>
        <a:prstGeom prst="roundRect">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1. FASE DE PREPARACION</a:t>
          </a:r>
        </a:p>
      </dsp:txBody>
      <dsp:txXfrm>
        <a:off x="214971" y="47056"/>
        <a:ext cx="2548461" cy="532758"/>
      </dsp:txXfrm>
    </dsp:sp>
    <dsp:sp modelId="{BEC4ABD6-0E89-47BE-B95E-5D5D71B73DA1}">
      <dsp:nvSpPr>
        <dsp:cNvPr id="0" name=""/>
        <dsp:cNvSpPr/>
      </dsp:nvSpPr>
      <dsp:spPr>
        <a:xfrm>
          <a:off x="0" y="1859522"/>
          <a:ext cx="3723005" cy="1197000"/>
        </a:xfrm>
        <a:prstGeom prst="rect">
          <a:avLst/>
        </a:prstGeom>
        <a:solidFill>
          <a:schemeClr val="lt1">
            <a:alpha val="90000"/>
            <a:hueOff val="0"/>
            <a:satOff val="0"/>
            <a:lumOff val="0"/>
            <a:alphaOff val="0"/>
          </a:schemeClr>
        </a:solidFill>
        <a:ln w="12700" cap="flat" cmpd="sng" algn="ctr">
          <a:solidFill>
            <a:schemeClr val="accent5">
              <a:hueOff val="-1225557"/>
              <a:satOff val="-1705"/>
              <a:lumOff val="-654"/>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Consulta, validación y digitalización de información secundaria</a:t>
          </a:r>
        </a:p>
        <a:p>
          <a:pPr marL="57150" lvl="1" indent="-57150" algn="l" defTabSz="400050">
            <a:lnSpc>
              <a:spcPct val="90000"/>
            </a:lnSpc>
            <a:spcBef>
              <a:spcPct val="0"/>
            </a:spcBef>
            <a:spcAft>
              <a:spcPct val="15000"/>
            </a:spcAft>
            <a:buChar char="•"/>
          </a:pPr>
          <a:r>
            <a:rPr lang="es-CO" sz="900" kern="1200"/>
            <a:t>Procesamiento e interpretación de imágenes satelitales</a:t>
          </a:r>
        </a:p>
        <a:p>
          <a:pPr marL="57150" lvl="1" indent="-57150" algn="l" defTabSz="400050">
            <a:lnSpc>
              <a:spcPct val="90000"/>
            </a:lnSpc>
            <a:spcBef>
              <a:spcPct val="0"/>
            </a:spcBef>
            <a:spcAft>
              <a:spcPct val="15000"/>
            </a:spcAft>
            <a:buChar char="•"/>
          </a:pPr>
          <a:r>
            <a:rPr lang="es-CO" sz="900" kern="1200"/>
            <a:t>Generación de información cartográfica preliminar</a:t>
          </a:r>
        </a:p>
        <a:p>
          <a:pPr marL="57150" lvl="1" indent="-57150" algn="l" defTabSz="400050">
            <a:lnSpc>
              <a:spcPct val="90000"/>
            </a:lnSpc>
            <a:spcBef>
              <a:spcPct val="0"/>
            </a:spcBef>
            <a:spcAft>
              <a:spcPct val="15000"/>
            </a:spcAft>
            <a:buChar char="•"/>
          </a:pPr>
          <a:r>
            <a:rPr lang="es-CO" sz="900" kern="1200"/>
            <a:t>Definición de metodología para levantamiento de información primaria</a:t>
          </a:r>
        </a:p>
      </dsp:txBody>
      <dsp:txXfrm>
        <a:off x="0" y="1859522"/>
        <a:ext cx="3723005" cy="1197000"/>
      </dsp:txXfrm>
    </dsp:sp>
    <dsp:sp modelId="{C4175353-957F-4B0A-882A-9D65932C4C45}">
      <dsp:nvSpPr>
        <dsp:cNvPr id="0" name=""/>
        <dsp:cNvSpPr/>
      </dsp:nvSpPr>
      <dsp:spPr>
        <a:xfrm>
          <a:off x="200779" y="1547354"/>
          <a:ext cx="2606103" cy="590400"/>
        </a:xfrm>
        <a:prstGeom prst="roundRect">
          <a:avLst/>
        </a:prstGeom>
        <a:solidFill>
          <a:schemeClr val="accent5">
            <a:hueOff val="-1225557"/>
            <a:satOff val="-1705"/>
            <a:lumOff val="-654"/>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2. FASE DE APRESTAMIENTO</a:t>
          </a:r>
        </a:p>
      </dsp:txBody>
      <dsp:txXfrm>
        <a:off x="229600" y="1576175"/>
        <a:ext cx="2548461" cy="532758"/>
      </dsp:txXfrm>
    </dsp:sp>
    <dsp:sp modelId="{3BC1BA34-3099-48F7-ADCC-C59CA8F05523}">
      <dsp:nvSpPr>
        <dsp:cNvPr id="0" name=""/>
        <dsp:cNvSpPr/>
      </dsp:nvSpPr>
      <dsp:spPr>
        <a:xfrm>
          <a:off x="0" y="3459721"/>
          <a:ext cx="3723005" cy="1383260"/>
        </a:xfrm>
        <a:prstGeom prst="rect">
          <a:avLst/>
        </a:prstGeom>
        <a:solidFill>
          <a:schemeClr val="lt1">
            <a:alpha val="90000"/>
            <a:hueOff val="0"/>
            <a:satOff val="0"/>
            <a:lumOff val="0"/>
            <a:alphaOff val="0"/>
          </a:schemeClr>
        </a:solidFill>
        <a:ln w="12700" cap="flat" cmpd="sng" algn="ctr">
          <a:solidFill>
            <a:schemeClr val="accent5">
              <a:hueOff val="-2451115"/>
              <a:satOff val="-3409"/>
              <a:lumOff val="-1307"/>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y acuerdos con actores regionales y locales</a:t>
          </a:r>
        </a:p>
        <a:p>
          <a:pPr marL="57150" lvl="1" indent="-57150" algn="l" defTabSz="400050">
            <a:lnSpc>
              <a:spcPct val="90000"/>
            </a:lnSpc>
            <a:spcBef>
              <a:spcPct val="0"/>
            </a:spcBef>
            <a:spcAft>
              <a:spcPct val="15000"/>
            </a:spcAft>
            <a:buChar char="•"/>
          </a:pPr>
          <a:r>
            <a:rPr lang="es-CO" sz="900" kern="1200"/>
            <a:t>Chequeo cartografía en campo</a:t>
          </a:r>
        </a:p>
        <a:p>
          <a:pPr marL="57150" lvl="1" indent="-57150" algn="l" defTabSz="400050">
            <a:lnSpc>
              <a:spcPct val="90000"/>
            </a:lnSpc>
            <a:spcBef>
              <a:spcPct val="0"/>
            </a:spcBef>
            <a:spcAft>
              <a:spcPct val="15000"/>
            </a:spcAft>
            <a:buChar char="•"/>
          </a:pPr>
          <a:r>
            <a:rPr lang="es-CO" sz="900" kern="1200"/>
            <a:t>Desarrollo del premuestreo, ajuste y realización del inventario forestal</a:t>
          </a:r>
        </a:p>
        <a:p>
          <a:pPr marL="57150" lvl="1" indent="-57150" algn="l" defTabSz="400050">
            <a:lnSpc>
              <a:spcPct val="90000"/>
            </a:lnSpc>
            <a:spcBef>
              <a:spcPct val="0"/>
            </a:spcBef>
            <a:spcAft>
              <a:spcPct val="15000"/>
            </a:spcAft>
            <a:buChar char="•"/>
          </a:pPr>
          <a:r>
            <a:rPr lang="es-CO" sz="900" kern="1200"/>
            <a:t>Desarrollo del componente fauna</a:t>
          </a:r>
        </a:p>
        <a:p>
          <a:pPr marL="57150" lvl="1" indent="-57150" algn="l" defTabSz="400050">
            <a:lnSpc>
              <a:spcPct val="90000"/>
            </a:lnSpc>
            <a:spcBef>
              <a:spcPct val="0"/>
            </a:spcBef>
            <a:spcAft>
              <a:spcPct val="15000"/>
            </a:spcAft>
            <a:buChar char="•"/>
          </a:pPr>
          <a:r>
            <a:rPr lang="es-CO" sz="900" kern="1200"/>
            <a:t>Desarrollo del componente socieconomico</a:t>
          </a:r>
        </a:p>
        <a:p>
          <a:pPr marL="57150" lvl="1" indent="-57150" algn="l" defTabSz="400050">
            <a:lnSpc>
              <a:spcPct val="90000"/>
            </a:lnSpc>
            <a:spcBef>
              <a:spcPct val="0"/>
            </a:spcBef>
            <a:spcAft>
              <a:spcPct val="15000"/>
            </a:spcAft>
            <a:buChar char="•"/>
          </a:pPr>
          <a:r>
            <a:rPr lang="es-CO" sz="900" kern="1200"/>
            <a:t>Desarrollo del componente suelos</a:t>
          </a:r>
        </a:p>
      </dsp:txBody>
      <dsp:txXfrm>
        <a:off x="0" y="3459721"/>
        <a:ext cx="3723005" cy="1383260"/>
      </dsp:txXfrm>
    </dsp:sp>
    <dsp:sp modelId="{2F94551E-AD58-4389-A867-ACC7E854241D}">
      <dsp:nvSpPr>
        <dsp:cNvPr id="0" name=""/>
        <dsp:cNvSpPr/>
      </dsp:nvSpPr>
      <dsp:spPr>
        <a:xfrm>
          <a:off x="178834" y="3147554"/>
          <a:ext cx="2606103" cy="590400"/>
        </a:xfrm>
        <a:prstGeom prst="roundRect">
          <a:avLst/>
        </a:prstGeom>
        <a:solidFill>
          <a:schemeClr val="accent5">
            <a:hueOff val="-2451115"/>
            <a:satOff val="-3409"/>
            <a:lumOff val="-1307"/>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3. FASE  LOGISTICA Y OPERATIVA</a:t>
          </a:r>
        </a:p>
      </dsp:txBody>
      <dsp:txXfrm>
        <a:off x="207655" y="3176375"/>
        <a:ext cx="2548461" cy="532758"/>
      </dsp:txXfrm>
    </dsp:sp>
    <dsp:sp modelId="{06ACE6F8-0FA9-44AE-BA37-8718AB57D422}">
      <dsp:nvSpPr>
        <dsp:cNvPr id="0" name=""/>
        <dsp:cNvSpPr/>
      </dsp:nvSpPr>
      <dsp:spPr>
        <a:xfrm>
          <a:off x="0" y="5289131"/>
          <a:ext cx="3723005" cy="1197000"/>
        </a:xfrm>
        <a:prstGeom prst="rect">
          <a:avLst/>
        </a:prstGeom>
        <a:solidFill>
          <a:schemeClr val="lt1">
            <a:alpha val="90000"/>
            <a:hueOff val="0"/>
            <a:satOff val="0"/>
            <a:lumOff val="0"/>
            <a:alphaOff val="0"/>
          </a:schemeClr>
        </a:solidFill>
        <a:ln w="12700" cap="flat" cmpd="sng" algn="ctr">
          <a:solidFill>
            <a:schemeClr val="accent5">
              <a:hueOff val="-3676672"/>
              <a:satOff val="-5114"/>
              <a:lumOff val="-1961"/>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Procesamiento y análisis de información primaria</a:t>
          </a:r>
        </a:p>
        <a:p>
          <a:pPr marL="57150" lvl="1" indent="-57150" algn="l" defTabSz="400050">
            <a:lnSpc>
              <a:spcPct val="90000"/>
            </a:lnSpc>
            <a:spcBef>
              <a:spcPct val="0"/>
            </a:spcBef>
            <a:spcAft>
              <a:spcPct val="15000"/>
            </a:spcAft>
            <a:buChar char="•"/>
          </a:pPr>
          <a:r>
            <a:rPr lang="es-CO" sz="900" kern="1200"/>
            <a:t>Propuesta zonificación inicial de la UOF</a:t>
          </a:r>
        </a:p>
        <a:p>
          <a:pPr marL="57150" lvl="1" indent="-57150" algn="l" defTabSz="400050">
            <a:lnSpc>
              <a:spcPct val="90000"/>
            </a:lnSpc>
            <a:spcBef>
              <a:spcPct val="0"/>
            </a:spcBef>
            <a:spcAft>
              <a:spcPct val="15000"/>
            </a:spcAft>
            <a:buChar char="•"/>
          </a:pPr>
          <a:r>
            <a:rPr lang="es-CO" sz="900" kern="1200"/>
            <a:t>Propuesta de zonificación de las áreas forestales que componen la UOF</a:t>
          </a:r>
        </a:p>
        <a:p>
          <a:pPr marL="57150" lvl="1" indent="-57150" algn="l" defTabSz="400050">
            <a:lnSpc>
              <a:spcPct val="90000"/>
            </a:lnSpc>
            <a:spcBef>
              <a:spcPct val="0"/>
            </a:spcBef>
            <a:spcAft>
              <a:spcPct val="15000"/>
            </a:spcAft>
            <a:buChar char="•"/>
          </a:pPr>
          <a:r>
            <a:rPr lang="es-CO" sz="900" kern="1200"/>
            <a:t> Formulación del POF para cada área forestal de la UOF</a:t>
          </a:r>
        </a:p>
      </dsp:txBody>
      <dsp:txXfrm>
        <a:off x="0" y="5289131"/>
        <a:ext cx="3723005" cy="1197000"/>
      </dsp:txXfrm>
    </dsp:sp>
    <dsp:sp modelId="{514BAA5A-25A1-407B-9E98-4F585743FC17}">
      <dsp:nvSpPr>
        <dsp:cNvPr id="0" name=""/>
        <dsp:cNvSpPr/>
      </dsp:nvSpPr>
      <dsp:spPr>
        <a:xfrm>
          <a:off x="186150" y="4934015"/>
          <a:ext cx="2606103" cy="590400"/>
        </a:xfrm>
        <a:prstGeom prst="roundRect">
          <a:avLst/>
        </a:prstGeom>
        <a:solidFill>
          <a:schemeClr val="accent5">
            <a:hueOff val="-3676672"/>
            <a:satOff val="-5114"/>
            <a:lumOff val="-1961"/>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4. FASE DE OFICINA</a:t>
          </a:r>
        </a:p>
      </dsp:txBody>
      <dsp:txXfrm>
        <a:off x="214971" y="4962836"/>
        <a:ext cx="2548461" cy="532758"/>
      </dsp:txXfrm>
    </dsp:sp>
    <dsp:sp modelId="{4EFCDA67-9C44-44DD-A910-D775D3C6B542}">
      <dsp:nvSpPr>
        <dsp:cNvPr id="0" name=""/>
        <dsp:cNvSpPr/>
      </dsp:nvSpPr>
      <dsp:spPr>
        <a:xfrm>
          <a:off x="0" y="6860759"/>
          <a:ext cx="3723005" cy="796827"/>
        </a:xfrm>
        <a:prstGeom prst="rect">
          <a:avLst/>
        </a:prstGeom>
        <a:solidFill>
          <a:schemeClr val="lt1">
            <a:alpha val="90000"/>
            <a:hueOff val="0"/>
            <a:satOff val="0"/>
            <a:lumOff val="0"/>
            <a:alphaOff val="0"/>
          </a:schemeClr>
        </a:solidFill>
        <a:ln w="12700" cap="flat" cmpd="sng" algn="ctr">
          <a:solidFill>
            <a:schemeClr val="accent5">
              <a:hueOff val="-4902230"/>
              <a:satOff val="-6819"/>
              <a:lumOff val="-2615"/>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versión premiminar de los POF</a:t>
          </a:r>
        </a:p>
        <a:p>
          <a:pPr marL="57150" lvl="1" indent="-57150" algn="l" defTabSz="400050">
            <a:lnSpc>
              <a:spcPct val="90000"/>
            </a:lnSpc>
            <a:spcBef>
              <a:spcPct val="0"/>
            </a:spcBef>
            <a:spcAft>
              <a:spcPct val="15000"/>
            </a:spcAft>
            <a:buChar char="•"/>
          </a:pPr>
          <a:r>
            <a:rPr lang="es-CO" sz="900" kern="1200"/>
            <a:t>Armonización de los POF con actores locales y regionales</a:t>
          </a:r>
        </a:p>
        <a:p>
          <a:pPr marL="57150" lvl="1" indent="-57150" algn="l" defTabSz="400050">
            <a:lnSpc>
              <a:spcPct val="90000"/>
            </a:lnSpc>
            <a:spcBef>
              <a:spcPct val="0"/>
            </a:spcBef>
            <a:spcAft>
              <a:spcPct val="15000"/>
            </a:spcAft>
            <a:buChar char="•"/>
          </a:pPr>
          <a:r>
            <a:rPr lang="es-CO" sz="900" kern="1200"/>
            <a:t>Edición y ajustes de los POF</a:t>
          </a:r>
        </a:p>
      </dsp:txBody>
      <dsp:txXfrm>
        <a:off x="0" y="6860759"/>
        <a:ext cx="3723005" cy="796827"/>
      </dsp:txXfrm>
    </dsp:sp>
    <dsp:sp modelId="{72C2FA48-4513-4CD5-8267-CAFA222E040F}">
      <dsp:nvSpPr>
        <dsp:cNvPr id="0" name=""/>
        <dsp:cNvSpPr/>
      </dsp:nvSpPr>
      <dsp:spPr>
        <a:xfrm>
          <a:off x="178834" y="6570826"/>
          <a:ext cx="2606103" cy="590400"/>
        </a:xfrm>
        <a:prstGeom prst="roundRect">
          <a:avLst/>
        </a:prstGeom>
        <a:solidFill>
          <a:schemeClr val="accent5">
            <a:hueOff val="-4902230"/>
            <a:satOff val="-6819"/>
            <a:lumOff val="-261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5. FASE DE FORMULACION</a:t>
          </a:r>
        </a:p>
      </dsp:txBody>
      <dsp:txXfrm>
        <a:off x="207655" y="6599647"/>
        <a:ext cx="2548461" cy="532758"/>
      </dsp:txXfrm>
    </dsp:sp>
    <dsp:sp modelId="{FA8C06B1-BAA1-4827-A601-D14B18466DB6}">
      <dsp:nvSpPr>
        <dsp:cNvPr id="0" name=""/>
        <dsp:cNvSpPr/>
      </dsp:nvSpPr>
      <dsp:spPr>
        <a:xfrm>
          <a:off x="0" y="8046411"/>
          <a:ext cx="3723005" cy="1165500"/>
        </a:xfrm>
        <a:prstGeom prst="rect">
          <a:avLst/>
        </a:prstGeom>
        <a:solidFill>
          <a:schemeClr val="lt1">
            <a:alpha val="90000"/>
            <a:hueOff val="0"/>
            <a:satOff val="0"/>
            <a:lumOff val="0"/>
            <a:alphaOff val="0"/>
          </a:schemeClr>
        </a:solidFill>
        <a:ln w="12700" cap="flat" cmpd="sng" algn="ctr">
          <a:solidFill>
            <a:schemeClr val="accent5">
              <a:hueOff val="-6127787"/>
              <a:satOff val="-8523"/>
              <a:lumOff val="-3268"/>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Aprobación de los POF por Consejo Directivo de la autoridad ambiental competente</a:t>
          </a:r>
        </a:p>
        <a:p>
          <a:pPr marL="57150" lvl="1" indent="-57150" algn="l" defTabSz="400050">
            <a:lnSpc>
              <a:spcPct val="90000"/>
            </a:lnSpc>
            <a:spcBef>
              <a:spcPct val="0"/>
            </a:spcBef>
            <a:spcAft>
              <a:spcPct val="15000"/>
            </a:spcAft>
            <a:buChar char="•"/>
          </a:pPr>
          <a:r>
            <a:rPr lang="es-CO" sz="900" kern="1200"/>
            <a:t>Incorporación de los POF en el POA de la autoridad ambiental competente</a:t>
          </a:r>
        </a:p>
        <a:p>
          <a:pPr marL="57150" lvl="1" indent="-57150" algn="l" defTabSz="400050">
            <a:lnSpc>
              <a:spcPct val="90000"/>
            </a:lnSpc>
            <a:spcBef>
              <a:spcPct val="0"/>
            </a:spcBef>
            <a:spcAft>
              <a:spcPct val="15000"/>
            </a:spcAft>
            <a:buChar char="•"/>
          </a:pPr>
          <a:r>
            <a:rPr lang="es-CO" sz="900" kern="1200"/>
            <a:t>Desarrollo de planes, programas y proyectos de cada POF </a:t>
          </a:r>
        </a:p>
      </dsp:txBody>
      <dsp:txXfrm>
        <a:off x="0" y="8046411"/>
        <a:ext cx="3723005" cy="1165500"/>
      </dsp:txXfrm>
    </dsp:sp>
    <dsp:sp modelId="{4E9F94DE-8CF1-4FE7-9A6B-53CB416743FC}">
      <dsp:nvSpPr>
        <dsp:cNvPr id="0" name=""/>
        <dsp:cNvSpPr/>
      </dsp:nvSpPr>
      <dsp:spPr>
        <a:xfrm>
          <a:off x="186150" y="7752545"/>
          <a:ext cx="2606103" cy="590400"/>
        </a:xfrm>
        <a:prstGeom prst="roundRect">
          <a:avLst/>
        </a:prstGeom>
        <a:solidFill>
          <a:schemeClr val="accent5">
            <a:hueOff val="-6127787"/>
            <a:satOff val="-8523"/>
            <a:lumOff val="-326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6. FASE DE IMPLEMENTACION</a:t>
          </a:r>
        </a:p>
      </dsp:txBody>
      <dsp:txXfrm>
        <a:off x="214971" y="7781366"/>
        <a:ext cx="2548461" cy="532758"/>
      </dsp:txXfrm>
    </dsp:sp>
    <dsp:sp modelId="{77262FC2-D56C-47EC-A6D3-390D5DF0E708}">
      <dsp:nvSpPr>
        <dsp:cNvPr id="0" name=""/>
        <dsp:cNvSpPr/>
      </dsp:nvSpPr>
      <dsp:spPr>
        <a:xfrm>
          <a:off x="0" y="9561460"/>
          <a:ext cx="3723005" cy="913500"/>
        </a:xfrm>
        <a:prstGeom prst="rect">
          <a:avLst/>
        </a:prstGeom>
        <a:solidFill>
          <a:schemeClr val="lt1">
            <a:alpha val="90000"/>
            <a:hueOff val="0"/>
            <a:satOff val="0"/>
            <a:lumOff val="0"/>
            <a:alphaOff val="0"/>
          </a:schemeClr>
        </a:solidFill>
        <a:ln w="12700" cap="flat" cmpd="sng" algn="ctr">
          <a:solidFill>
            <a:schemeClr val="accent5">
              <a:hueOff val="-7353344"/>
              <a:satOff val="-10228"/>
              <a:lumOff val="-3922"/>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312420"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Seguimiento a los POF</a:t>
          </a:r>
        </a:p>
        <a:p>
          <a:pPr marL="57150" lvl="1" indent="-57150" algn="l" defTabSz="400050">
            <a:lnSpc>
              <a:spcPct val="90000"/>
            </a:lnSpc>
            <a:spcBef>
              <a:spcPct val="0"/>
            </a:spcBef>
            <a:spcAft>
              <a:spcPct val="15000"/>
            </a:spcAft>
            <a:buChar char="•"/>
          </a:pPr>
          <a:r>
            <a:rPr lang="es-CO" sz="900" kern="1200"/>
            <a:t>Revisión y evaluación de los POF</a:t>
          </a:r>
        </a:p>
        <a:p>
          <a:pPr marL="57150" lvl="1" indent="-57150" algn="l" defTabSz="400050">
            <a:lnSpc>
              <a:spcPct val="90000"/>
            </a:lnSpc>
            <a:spcBef>
              <a:spcPct val="0"/>
            </a:spcBef>
            <a:spcAft>
              <a:spcPct val="15000"/>
            </a:spcAft>
            <a:buChar char="•"/>
          </a:pPr>
          <a:r>
            <a:rPr lang="es-CO" sz="900" kern="1200"/>
            <a:t>Actualización de los POF  </a:t>
          </a:r>
        </a:p>
      </dsp:txBody>
      <dsp:txXfrm>
        <a:off x="0" y="9561460"/>
        <a:ext cx="3723005" cy="913500"/>
      </dsp:txXfrm>
    </dsp:sp>
    <dsp:sp modelId="{0BB363C2-1000-4D63-89E1-75C121258685}">
      <dsp:nvSpPr>
        <dsp:cNvPr id="0" name=""/>
        <dsp:cNvSpPr/>
      </dsp:nvSpPr>
      <dsp:spPr>
        <a:xfrm>
          <a:off x="193465" y="9321245"/>
          <a:ext cx="2606103" cy="590400"/>
        </a:xfrm>
        <a:prstGeom prst="roundRect">
          <a:avLst/>
        </a:prstGeom>
        <a:solidFill>
          <a:schemeClr val="accent5">
            <a:hueOff val="-7353344"/>
            <a:satOff val="-10228"/>
            <a:lumOff val="-3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7. FASE DE SEGUIMIENTO Y ACTUALIZACION</a:t>
          </a:r>
        </a:p>
      </dsp:txBody>
      <dsp:txXfrm>
        <a:off x="222286" y="9350066"/>
        <a:ext cx="2548461" cy="532758"/>
      </dsp:txXfrm>
    </dsp:sp>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png"/><Relationship Id="rId5" Type="http://schemas.openxmlformats.org/officeDocument/2006/relationships/image" Target="../media/image14.png"/><Relationship Id="rId4"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7.png"/><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20.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2.png"/><Relationship Id="rId1" Type="http://schemas.openxmlformats.org/officeDocument/2006/relationships/image" Target="../media/image2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4.png"/><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6.png"/><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8.png"/><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9.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0.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2.png"/><Relationship Id="rId1" Type="http://schemas.openxmlformats.org/officeDocument/2006/relationships/image" Target="../media/image3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4.png"/><Relationship Id="rId1" Type="http://schemas.openxmlformats.org/officeDocument/2006/relationships/image" Target="../media/image33.png"/></Relationships>
</file>

<file path=xl/drawings/_rels/drawing2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6.png"/><Relationship Id="rId1" Type="http://schemas.openxmlformats.org/officeDocument/2006/relationships/image" Target="../media/image35.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7.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9.png"/><Relationship Id="rId1" Type="http://schemas.openxmlformats.org/officeDocument/2006/relationships/image" Target="../media/image38.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2.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png"/><Relationship Id="rId1" Type="http://schemas.openxmlformats.org/officeDocument/2006/relationships/image" Target="../media/image43.png"/><Relationship Id="rId4"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7.png"/><Relationship Id="rId1" Type="http://schemas.openxmlformats.org/officeDocument/2006/relationships/image" Target="../media/image4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119063</xdr:colOff>
      <xdr:row>0</xdr:row>
      <xdr:rowOff>107157</xdr:rowOff>
    </xdr:from>
    <xdr:to>
      <xdr:col>1</xdr:col>
      <xdr:colOff>571501</xdr:colOff>
      <xdr:row>0</xdr:row>
      <xdr:rowOff>1750220</xdr:rowOff>
    </xdr:to>
    <xdr:pic>
      <xdr:nvPicPr>
        <xdr:cNvPr id="4" name="1 Imagen" descr="ESCUDO-transp-lema-blanco.pn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119063" y="107157"/>
          <a:ext cx="1109663" cy="1643063"/>
        </a:xfrm>
        <a:prstGeom prst="rect">
          <a:avLst/>
        </a:prstGeom>
        <a:noFill/>
        <a:ln w="9525">
          <a:noFill/>
          <a:miter lim="800000"/>
          <a:headEnd/>
          <a:tailEnd/>
        </a:ln>
      </xdr:spPr>
    </xdr:pic>
    <xdr:clientData/>
  </xdr:twoCellAnchor>
  <xdr:twoCellAnchor>
    <xdr:from>
      <xdr:col>1</xdr:col>
      <xdr:colOff>647700</xdr:colOff>
      <xdr:row>0</xdr:row>
      <xdr:rowOff>381000</xdr:rowOff>
    </xdr:from>
    <xdr:to>
      <xdr:col>4</xdr:col>
      <xdr:colOff>59531</xdr:colOff>
      <xdr:row>0</xdr:row>
      <xdr:rowOff>1440656</xdr:rowOff>
    </xdr:to>
    <xdr:sp macro="" textlink="">
      <xdr:nvSpPr>
        <xdr:cNvPr id="5" name="5 CuadroTexto">
          <a:extLst>
            <a:ext uri="{FF2B5EF4-FFF2-40B4-BE49-F238E27FC236}">
              <a16:creationId xmlns:a16="http://schemas.microsoft.com/office/drawing/2014/main" id="{00000000-0008-0000-0400-000005000000}"/>
            </a:ext>
          </a:extLst>
        </xdr:cNvPr>
        <xdr:cNvSpPr txBox="1"/>
      </xdr:nvSpPr>
      <xdr:spPr bwMode="auto">
        <a:xfrm>
          <a:off x="1304925" y="381000"/>
          <a:ext cx="2412206" cy="10596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C00-000003000000}"/>
            </a:ext>
          </a:extLst>
        </xdr:cNvPr>
        <xdr:cNvGrpSpPr>
          <a:grpSpLocks/>
        </xdr:cNvGrpSpPr>
      </xdr:nvGrpSpPr>
      <xdr:grpSpPr bwMode="auto">
        <a:xfrm>
          <a:off x="0" y="0"/>
          <a:ext cx="6619038" cy="1274375"/>
          <a:chOff x="57150" y="47625"/>
          <a:chExt cx="6316603" cy="1200288"/>
        </a:xfrm>
      </xdr:grpSpPr>
      <xdr:pic>
        <xdr:nvPicPr>
          <xdr:cNvPr id="4" name="1 Imagen" descr="ESCUDO-transp-lema-blanco.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C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0CAABAC7-6332-431E-9432-7464B9DD1A46}"/>
            </a:ext>
          </a:extLst>
        </xdr:cNvPr>
        <xdr:cNvGrpSpPr>
          <a:grpSpLocks/>
        </xdr:cNvGrpSpPr>
      </xdr:nvGrpSpPr>
      <xdr:grpSpPr bwMode="auto">
        <a:xfrm>
          <a:off x="0" y="0"/>
          <a:ext cx="6619038" cy="1274375"/>
          <a:chOff x="57150" y="47625"/>
          <a:chExt cx="6316603" cy="1200288"/>
        </a:xfrm>
      </xdr:grpSpPr>
      <xdr:pic>
        <xdr:nvPicPr>
          <xdr:cNvPr id="7" name="1 Imagen" descr="ESCUDO-transp-lema-blanco.png">
            <a:extLst>
              <a:ext uri="{FF2B5EF4-FFF2-40B4-BE49-F238E27FC236}">
                <a16:creationId xmlns:a16="http://schemas.microsoft.com/office/drawing/2014/main" id="{F3C9E351-2517-4147-95EF-1B8426BF0C5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02DDC8DA-D28F-44B6-AC5A-BFC9B94614D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09EA0FDF-EB3E-4552-8DB0-E1BCA5FA41FB}"/>
            </a:ext>
          </a:extLst>
        </xdr:cNvPr>
        <xdr:cNvGrpSpPr>
          <a:grpSpLocks/>
        </xdr:cNvGrpSpPr>
      </xdr:nvGrpSpPr>
      <xdr:grpSpPr bwMode="auto">
        <a:xfrm>
          <a:off x="0" y="0"/>
          <a:ext cx="6619038" cy="1274375"/>
          <a:chOff x="57150" y="47625"/>
          <a:chExt cx="6316603" cy="1200288"/>
        </a:xfrm>
      </xdr:grpSpPr>
      <xdr:pic>
        <xdr:nvPicPr>
          <xdr:cNvPr id="10" name="1 Imagen" descr="ESCUDO-transp-lema-blanco.png">
            <a:extLst>
              <a:ext uri="{FF2B5EF4-FFF2-40B4-BE49-F238E27FC236}">
                <a16:creationId xmlns:a16="http://schemas.microsoft.com/office/drawing/2014/main" id="{3B674FEE-4EFD-4F3C-8B02-A8EE49F1F25A}"/>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BD8B9441-CACE-4CF3-A7FD-D5556AF302B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9FEAF726-6805-4D83-88C7-1D212E389E7B}"/>
            </a:ext>
          </a:extLst>
        </xdr:cNvPr>
        <xdr:cNvGrpSpPr>
          <a:grpSpLocks/>
        </xdr:cNvGrpSpPr>
      </xdr:nvGrpSpPr>
      <xdr:grpSpPr bwMode="auto">
        <a:xfrm>
          <a:off x="0" y="0"/>
          <a:ext cx="6619038" cy="1274375"/>
          <a:chOff x="57150" y="47625"/>
          <a:chExt cx="6316603" cy="1200288"/>
        </a:xfrm>
      </xdr:grpSpPr>
      <xdr:pic>
        <xdr:nvPicPr>
          <xdr:cNvPr id="13" name="1 Imagen" descr="ESCUDO-transp-lema-blanco.png">
            <a:extLst>
              <a:ext uri="{FF2B5EF4-FFF2-40B4-BE49-F238E27FC236}">
                <a16:creationId xmlns:a16="http://schemas.microsoft.com/office/drawing/2014/main" id="{1A4F6F16-6179-4C24-B425-E629AFBFF58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7954EDAA-4F81-4583-ACA3-F94D5A71771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D00-000003000000}"/>
            </a:ext>
          </a:extLst>
        </xdr:cNvPr>
        <xdr:cNvGrpSpPr>
          <a:grpSpLocks/>
        </xdr:cNvGrpSpPr>
      </xdr:nvGrpSpPr>
      <xdr:grpSpPr bwMode="auto">
        <a:xfrm>
          <a:off x="0" y="0"/>
          <a:ext cx="6095407" cy="1274375"/>
          <a:chOff x="57150" y="47625"/>
          <a:chExt cx="6316603" cy="1200288"/>
        </a:xfrm>
      </xdr:grpSpPr>
      <xdr:pic>
        <xdr:nvPicPr>
          <xdr:cNvPr id="4" name="1 Imagen" descr="ESCUDO-transp-lema-blanco.png">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7C4DB642-75B2-445F-A3F9-E9E52B86F867}"/>
            </a:ext>
          </a:extLst>
        </xdr:cNvPr>
        <xdr:cNvGrpSpPr>
          <a:grpSpLocks/>
        </xdr:cNvGrpSpPr>
      </xdr:nvGrpSpPr>
      <xdr:grpSpPr bwMode="auto">
        <a:xfrm>
          <a:off x="0" y="0"/>
          <a:ext cx="6095407" cy="1274375"/>
          <a:chOff x="57150" y="47625"/>
          <a:chExt cx="6316603" cy="1200288"/>
        </a:xfrm>
      </xdr:grpSpPr>
      <xdr:pic>
        <xdr:nvPicPr>
          <xdr:cNvPr id="7" name="1 Imagen" descr="ESCUDO-transp-lema-blanco.png">
            <a:extLst>
              <a:ext uri="{FF2B5EF4-FFF2-40B4-BE49-F238E27FC236}">
                <a16:creationId xmlns:a16="http://schemas.microsoft.com/office/drawing/2014/main" id="{0DA0D6B8-C5E5-4FB0-8A48-9183AB3A10F1}"/>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F3271170-369D-4301-A2B1-9E2CE65A5C07}"/>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A15F1C95-69E5-475C-A1DA-B177DD629E96}"/>
            </a:ext>
          </a:extLst>
        </xdr:cNvPr>
        <xdr:cNvGrpSpPr>
          <a:grpSpLocks/>
        </xdr:cNvGrpSpPr>
      </xdr:nvGrpSpPr>
      <xdr:grpSpPr bwMode="auto">
        <a:xfrm>
          <a:off x="0" y="0"/>
          <a:ext cx="6095407" cy="1274375"/>
          <a:chOff x="57150" y="47625"/>
          <a:chExt cx="6316603" cy="1200288"/>
        </a:xfrm>
      </xdr:grpSpPr>
      <xdr:pic>
        <xdr:nvPicPr>
          <xdr:cNvPr id="10" name="1 Imagen" descr="ESCUDO-transp-lema-blanco.png">
            <a:extLst>
              <a:ext uri="{FF2B5EF4-FFF2-40B4-BE49-F238E27FC236}">
                <a16:creationId xmlns:a16="http://schemas.microsoft.com/office/drawing/2014/main" id="{5085BD56-4000-4CA8-92FA-908EFA6B6DE3}"/>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7F4B74F1-87F5-4608-9221-6BA2D8BA6955}"/>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1564B148-0023-449F-A451-DAC3DDBAAF08}"/>
            </a:ext>
          </a:extLst>
        </xdr:cNvPr>
        <xdr:cNvGrpSpPr>
          <a:grpSpLocks/>
        </xdr:cNvGrpSpPr>
      </xdr:nvGrpSpPr>
      <xdr:grpSpPr bwMode="auto">
        <a:xfrm>
          <a:off x="0" y="0"/>
          <a:ext cx="6095407" cy="1274375"/>
          <a:chOff x="57150" y="47625"/>
          <a:chExt cx="6316603" cy="1200288"/>
        </a:xfrm>
      </xdr:grpSpPr>
      <xdr:pic>
        <xdr:nvPicPr>
          <xdr:cNvPr id="13" name="1 Imagen" descr="ESCUDO-transp-lema-blanco.png">
            <a:extLst>
              <a:ext uri="{FF2B5EF4-FFF2-40B4-BE49-F238E27FC236}">
                <a16:creationId xmlns:a16="http://schemas.microsoft.com/office/drawing/2014/main" id="{F5417BD6-7879-49E7-BFB8-4F958FC2034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D8DC0DE2-B5ED-47AC-8CD8-5CBDBC8C546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381000</xdr:colOff>
      <xdr:row>66</xdr:row>
      <xdr:rowOff>160020</xdr:rowOff>
    </xdr:from>
    <xdr:to>
      <xdr:col>2</xdr:col>
      <xdr:colOff>2065166</xdr:colOff>
      <xdr:row>68</xdr:row>
      <xdr:rowOff>60983</xdr:rowOff>
    </xdr:to>
    <xdr:pic>
      <xdr:nvPicPr>
        <xdr:cNvPr id="15" name="Imagen 14">
          <a:extLst>
            <a:ext uri="{FF2B5EF4-FFF2-40B4-BE49-F238E27FC236}">
              <a16:creationId xmlns:a16="http://schemas.microsoft.com/office/drawing/2014/main" id="{BC16BCB7-57D5-4064-B326-BDC2E000613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21450300"/>
          <a:ext cx="205886" cy="2948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16" name="1 Grupo">
          <a:extLst>
            <a:ext uri="{FF2B5EF4-FFF2-40B4-BE49-F238E27FC236}">
              <a16:creationId xmlns:a16="http://schemas.microsoft.com/office/drawing/2014/main" id="{3C695078-E342-44B6-A4D6-C963398A4DDF}"/>
            </a:ext>
          </a:extLst>
        </xdr:cNvPr>
        <xdr:cNvGrpSpPr>
          <a:grpSpLocks/>
        </xdr:cNvGrpSpPr>
      </xdr:nvGrpSpPr>
      <xdr:grpSpPr bwMode="auto">
        <a:xfrm>
          <a:off x="0" y="0"/>
          <a:ext cx="6095407" cy="1274375"/>
          <a:chOff x="57150" y="47625"/>
          <a:chExt cx="6316603" cy="1200288"/>
        </a:xfrm>
      </xdr:grpSpPr>
      <xdr:pic>
        <xdr:nvPicPr>
          <xdr:cNvPr id="17" name="1 Imagen" descr="ESCUDO-transp-lema-blanco.png">
            <a:extLst>
              <a:ext uri="{FF2B5EF4-FFF2-40B4-BE49-F238E27FC236}">
                <a16:creationId xmlns:a16="http://schemas.microsoft.com/office/drawing/2014/main" id="{5CF58EDD-630F-60B6-0999-219F63D2AC3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8" name="3 CuadroTexto">
            <a:extLst>
              <a:ext uri="{FF2B5EF4-FFF2-40B4-BE49-F238E27FC236}">
                <a16:creationId xmlns:a16="http://schemas.microsoft.com/office/drawing/2014/main" id="{8A0179DF-1C84-A58C-A8FE-052BFE1A7E5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9" name="1 Grupo">
          <a:extLst>
            <a:ext uri="{FF2B5EF4-FFF2-40B4-BE49-F238E27FC236}">
              <a16:creationId xmlns:a16="http://schemas.microsoft.com/office/drawing/2014/main" id="{0B9A397F-3D77-4D75-A707-21342691B3D0}"/>
            </a:ext>
          </a:extLst>
        </xdr:cNvPr>
        <xdr:cNvGrpSpPr>
          <a:grpSpLocks/>
        </xdr:cNvGrpSpPr>
      </xdr:nvGrpSpPr>
      <xdr:grpSpPr bwMode="auto">
        <a:xfrm>
          <a:off x="0" y="0"/>
          <a:ext cx="6095407" cy="1274375"/>
          <a:chOff x="57150" y="47625"/>
          <a:chExt cx="6316603" cy="1200288"/>
        </a:xfrm>
      </xdr:grpSpPr>
      <xdr:pic>
        <xdr:nvPicPr>
          <xdr:cNvPr id="20" name="1 Imagen" descr="ESCUDO-transp-lema-blanco.png">
            <a:extLst>
              <a:ext uri="{FF2B5EF4-FFF2-40B4-BE49-F238E27FC236}">
                <a16:creationId xmlns:a16="http://schemas.microsoft.com/office/drawing/2014/main" id="{EC9BE852-10E6-6507-4019-DD733678D02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1" name="3 CuadroTexto">
            <a:extLst>
              <a:ext uri="{FF2B5EF4-FFF2-40B4-BE49-F238E27FC236}">
                <a16:creationId xmlns:a16="http://schemas.microsoft.com/office/drawing/2014/main" id="{882861B4-AE7D-4B53-B38B-ECFBB787232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2" name="1 Grupo">
          <a:extLst>
            <a:ext uri="{FF2B5EF4-FFF2-40B4-BE49-F238E27FC236}">
              <a16:creationId xmlns:a16="http://schemas.microsoft.com/office/drawing/2014/main" id="{17C6AF4F-FA69-4479-86D1-892CA33D9AE6}"/>
            </a:ext>
          </a:extLst>
        </xdr:cNvPr>
        <xdr:cNvGrpSpPr>
          <a:grpSpLocks/>
        </xdr:cNvGrpSpPr>
      </xdr:nvGrpSpPr>
      <xdr:grpSpPr bwMode="auto">
        <a:xfrm>
          <a:off x="0" y="0"/>
          <a:ext cx="6095407" cy="1274375"/>
          <a:chOff x="57150" y="47625"/>
          <a:chExt cx="6316603" cy="1200288"/>
        </a:xfrm>
      </xdr:grpSpPr>
      <xdr:pic>
        <xdr:nvPicPr>
          <xdr:cNvPr id="23" name="1 Imagen" descr="ESCUDO-transp-lema-blanco.png">
            <a:extLst>
              <a:ext uri="{FF2B5EF4-FFF2-40B4-BE49-F238E27FC236}">
                <a16:creationId xmlns:a16="http://schemas.microsoft.com/office/drawing/2014/main" id="{52475225-B264-AEC9-D797-2FEAFBFE96F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4" name="3 CuadroTexto">
            <a:extLst>
              <a:ext uri="{FF2B5EF4-FFF2-40B4-BE49-F238E27FC236}">
                <a16:creationId xmlns:a16="http://schemas.microsoft.com/office/drawing/2014/main" id="{8746E053-B49D-C94A-B0A4-AF1A8C19724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5" name="1 Grupo">
          <a:extLst>
            <a:ext uri="{FF2B5EF4-FFF2-40B4-BE49-F238E27FC236}">
              <a16:creationId xmlns:a16="http://schemas.microsoft.com/office/drawing/2014/main" id="{201EB466-0741-4A48-9D59-CB126F03CEB7}"/>
            </a:ext>
          </a:extLst>
        </xdr:cNvPr>
        <xdr:cNvGrpSpPr>
          <a:grpSpLocks/>
        </xdr:cNvGrpSpPr>
      </xdr:nvGrpSpPr>
      <xdr:grpSpPr bwMode="auto">
        <a:xfrm>
          <a:off x="0" y="0"/>
          <a:ext cx="6095407" cy="1274375"/>
          <a:chOff x="57150" y="47625"/>
          <a:chExt cx="6316603" cy="1200288"/>
        </a:xfrm>
      </xdr:grpSpPr>
      <xdr:pic>
        <xdr:nvPicPr>
          <xdr:cNvPr id="26" name="1 Imagen" descr="ESCUDO-transp-lema-blanco.png">
            <a:extLst>
              <a:ext uri="{FF2B5EF4-FFF2-40B4-BE49-F238E27FC236}">
                <a16:creationId xmlns:a16="http://schemas.microsoft.com/office/drawing/2014/main" id="{BCD76DE9-9765-9099-875D-DAD76CEF17E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7" name="3 CuadroTexto">
            <a:extLst>
              <a:ext uri="{FF2B5EF4-FFF2-40B4-BE49-F238E27FC236}">
                <a16:creationId xmlns:a16="http://schemas.microsoft.com/office/drawing/2014/main" id="{768310E6-F008-EE47-3261-F976B5850EA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30481</xdr:colOff>
      <xdr:row>70</xdr:row>
      <xdr:rowOff>144780</xdr:rowOff>
    </xdr:from>
    <xdr:to>
      <xdr:col>2</xdr:col>
      <xdr:colOff>333960</xdr:colOff>
      <xdr:row>71</xdr:row>
      <xdr:rowOff>7321</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7829" y="25351182"/>
          <a:ext cx="303479" cy="48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335281</xdr:colOff>
      <xdr:row>81</xdr:row>
      <xdr:rowOff>0</xdr:rowOff>
    </xdr:from>
    <xdr:to>
      <xdr:col>3</xdr:col>
      <xdr:colOff>440</xdr:colOff>
      <xdr:row>82</xdr:row>
      <xdr:rowOff>3826</xdr:rowOff>
    </xdr:to>
    <xdr:pic>
      <xdr:nvPicPr>
        <xdr:cNvPr id="3" name="Imagen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2629" y="29632043"/>
          <a:ext cx="2018" cy="31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329566</xdr:colOff>
      <xdr:row>87</xdr:row>
      <xdr:rowOff>15240</xdr:rowOff>
    </xdr:from>
    <xdr:to>
      <xdr:col>2</xdr:col>
      <xdr:colOff>330417</xdr:colOff>
      <xdr:row>88</xdr:row>
      <xdr:rowOff>19066</xdr:rowOff>
    </xdr:to>
    <xdr:pic>
      <xdr:nvPicPr>
        <xdr:cNvPr id="4" name="Imagen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6914" y="34944112"/>
          <a:ext cx="851" cy="32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326</xdr:colOff>
      <xdr:row>93</xdr:row>
      <xdr:rowOff>144780</xdr:rowOff>
    </xdr:from>
    <xdr:to>
      <xdr:col>3</xdr:col>
      <xdr:colOff>326</xdr:colOff>
      <xdr:row>94</xdr:row>
      <xdr:rowOff>148606</xdr:rowOff>
    </xdr:to>
    <xdr:pic>
      <xdr:nvPicPr>
        <xdr:cNvPr id="5" name="Imagen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4533" y="36618560"/>
          <a:ext cx="0" cy="921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326</xdr:colOff>
      <xdr:row>100</xdr:row>
      <xdr:rowOff>53341</xdr:rowOff>
    </xdr:from>
    <xdr:to>
      <xdr:col>3</xdr:col>
      <xdr:colOff>326</xdr:colOff>
      <xdr:row>101</xdr:row>
      <xdr:rowOff>41164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4533" y="38989682"/>
          <a:ext cx="0" cy="173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00000000-0008-0000-0E00-000007000000}"/>
            </a:ext>
          </a:extLst>
        </xdr:cNvPr>
        <xdr:cNvGrpSpPr>
          <a:grpSpLocks/>
        </xdr:cNvGrpSpPr>
      </xdr:nvGrpSpPr>
      <xdr:grpSpPr bwMode="auto">
        <a:xfrm>
          <a:off x="0" y="0"/>
          <a:ext cx="7393738" cy="1280725"/>
          <a:chOff x="57150" y="47625"/>
          <a:chExt cx="6316603" cy="1200288"/>
        </a:xfrm>
      </xdr:grpSpPr>
      <xdr:pic>
        <xdr:nvPicPr>
          <xdr:cNvPr id="8" name="1 Imagen" descr="ESCUDO-transp-lema-blanco.png">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00000000-0008-0000-0E00-000009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0" name="1 Grupo">
          <a:extLst>
            <a:ext uri="{FF2B5EF4-FFF2-40B4-BE49-F238E27FC236}">
              <a16:creationId xmlns:a16="http://schemas.microsoft.com/office/drawing/2014/main" id="{C96BF834-6C57-44F8-AB5C-2D23CB75D38E}"/>
            </a:ext>
          </a:extLst>
        </xdr:cNvPr>
        <xdr:cNvGrpSpPr>
          <a:grpSpLocks/>
        </xdr:cNvGrpSpPr>
      </xdr:nvGrpSpPr>
      <xdr:grpSpPr bwMode="auto">
        <a:xfrm>
          <a:off x="0" y="0"/>
          <a:ext cx="7393738" cy="1280725"/>
          <a:chOff x="57150" y="47625"/>
          <a:chExt cx="6316603" cy="1200288"/>
        </a:xfrm>
      </xdr:grpSpPr>
      <xdr:pic>
        <xdr:nvPicPr>
          <xdr:cNvPr id="11" name="1 Imagen" descr="ESCUDO-transp-lema-blanco.png">
            <a:extLst>
              <a:ext uri="{FF2B5EF4-FFF2-40B4-BE49-F238E27FC236}">
                <a16:creationId xmlns:a16="http://schemas.microsoft.com/office/drawing/2014/main" id="{D4695F87-4B3C-4F73-B87C-0C0AB0F5E6E2}"/>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D084E7EC-9A9C-42DB-9DF8-A92DB5CB329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3" name="1 Grupo">
          <a:extLst>
            <a:ext uri="{FF2B5EF4-FFF2-40B4-BE49-F238E27FC236}">
              <a16:creationId xmlns:a16="http://schemas.microsoft.com/office/drawing/2014/main" id="{A3C2B36A-AB32-4135-B618-494398EF02FD}"/>
            </a:ext>
          </a:extLst>
        </xdr:cNvPr>
        <xdr:cNvGrpSpPr>
          <a:grpSpLocks/>
        </xdr:cNvGrpSpPr>
      </xdr:nvGrpSpPr>
      <xdr:grpSpPr bwMode="auto">
        <a:xfrm>
          <a:off x="0" y="0"/>
          <a:ext cx="7393738" cy="1280725"/>
          <a:chOff x="57150" y="47625"/>
          <a:chExt cx="6316603" cy="1200288"/>
        </a:xfrm>
      </xdr:grpSpPr>
      <xdr:pic>
        <xdr:nvPicPr>
          <xdr:cNvPr id="14" name="1 Imagen" descr="ESCUDO-transp-lema-blanco.png">
            <a:extLst>
              <a:ext uri="{FF2B5EF4-FFF2-40B4-BE49-F238E27FC236}">
                <a16:creationId xmlns:a16="http://schemas.microsoft.com/office/drawing/2014/main" id="{E1FE1A86-49BD-4DAB-BF8E-D6851D38FED9}"/>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5" name="3 CuadroTexto">
            <a:extLst>
              <a:ext uri="{FF2B5EF4-FFF2-40B4-BE49-F238E27FC236}">
                <a16:creationId xmlns:a16="http://schemas.microsoft.com/office/drawing/2014/main" id="{2ED8A752-00E2-492E-A26D-B0ADC9D0275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6" name="1 Grupo">
          <a:extLst>
            <a:ext uri="{FF2B5EF4-FFF2-40B4-BE49-F238E27FC236}">
              <a16:creationId xmlns:a16="http://schemas.microsoft.com/office/drawing/2014/main" id="{370AECE0-17D8-47EE-88FC-0E08A83F71B3}"/>
            </a:ext>
          </a:extLst>
        </xdr:cNvPr>
        <xdr:cNvGrpSpPr>
          <a:grpSpLocks/>
        </xdr:cNvGrpSpPr>
      </xdr:nvGrpSpPr>
      <xdr:grpSpPr bwMode="auto">
        <a:xfrm>
          <a:off x="0" y="0"/>
          <a:ext cx="7393738" cy="1280725"/>
          <a:chOff x="57150" y="47625"/>
          <a:chExt cx="6316603" cy="1200288"/>
        </a:xfrm>
      </xdr:grpSpPr>
      <xdr:pic>
        <xdr:nvPicPr>
          <xdr:cNvPr id="17" name="1 Imagen" descr="ESCUDO-transp-lema-blanco.png">
            <a:extLst>
              <a:ext uri="{FF2B5EF4-FFF2-40B4-BE49-F238E27FC236}">
                <a16:creationId xmlns:a16="http://schemas.microsoft.com/office/drawing/2014/main" id="{4C3DBCBB-55F1-406F-873F-748EA63C793C}"/>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8" name="3 CuadroTexto">
            <a:extLst>
              <a:ext uri="{FF2B5EF4-FFF2-40B4-BE49-F238E27FC236}">
                <a16:creationId xmlns:a16="http://schemas.microsoft.com/office/drawing/2014/main" id="{4E0F937E-7257-4271-82F2-3CF59FBF50B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6726</xdr:colOff>
      <xdr:row>72</xdr:row>
      <xdr:rowOff>0</xdr:rowOff>
    </xdr:from>
    <xdr:to>
      <xdr:col>3</xdr:col>
      <xdr:colOff>6726</xdr:colOff>
      <xdr:row>73</xdr:row>
      <xdr:rowOff>83843</xdr:rowOff>
    </xdr:to>
    <xdr:pic>
      <xdr:nvPicPr>
        <xdr:cNvPr id="2" name="Imagen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8843" y="32793214"/>
          <a:ext cx="0" cy="115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F00-000003000000}"/>
            </a:ext>
          </a:extLst>
        </xdr:cNvPr>
        <xdr:cNvGrpSpPr>
          <a:grpSpLocks/>
        </xdr:cNvGrpSpPr>
      </xdr:nvGrpSpPr>
      <xdr:grpSpPr bwMode="auto">
        <a:xfrm>
          <a:off x="0" y="0"/>
          <a:ext cx="7759965" cy="1279559"/>
          <a:chOff x="57150" y="47625"/>
          <a:chExt cx="6316603" cy="1200288"/>
        </a:xfrm>
      </xdr:grpSpPr>
      <xdr:pic>
        <xdr:nvPicPr>
          <xdr:cNvPr id="4" name="1 Imagen" descr="ESCUDO-transp-lema-blanco.png">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C5B5F187-9453-4423-B534-5EA96B7605B2}"/>
            </a:ext>
          </a:extLst>
        </xdr:cNvPr>
        <xdr:cNvGrpSpPr>
          <a:grpSpLocks/>
        </xdr:cNvGrpSpPr>
      </xdr:nvGrpSpPr>
      <xdr:grpSpPr bwMode="auto">
        <a:xfrm>
          <a:off x="0" y="0"/>
          <a:ext cx="7759965" cy="1279559"/>
          <a:chOff x="57150" y="47625"/>
          <a:chExt cx="6316603" cy="1200288"/>
        </a:xfrm>
      </xdr:grpSpPr>
      <xdr:pic>
        <xdr:nvPicPr>
          <xdr:cNvPr id="7" name="1 Imagen" descr="ESCUDO-transp-lema-blanco.png">
            <a:extLst>
              <a:ext uri="{FF2B5EF4-FFF2-40B4-BE49-F238E27FC236}">
                <a16:creationId xmlns:a16="http://schemas.microsoft.com/office/drawing/2014/main" id="{6E33DB7B-EB2E-491F-B31D-7AA1F266FB6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7D3D39BA-3486-4318-8AD0-2D91309A0A4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84529F20-82DD-41C2-AD4B-5915D5DAEABF}"/>
            </a:ext>
          </a:extLst>
        </xdr:cNvPr>
        <xdr:cNvGrpSpPr>
          <a:grpSpLocks/>
        </xdr:cNvGrpSpPr>
      </xdr:nvGrpSpPr>
      <xdr:grpSpPr bwMode="auto">
        <a:xfrm>
          <a:off x="0" y="0"/>
          <a:ext cx="7759965" cy="1279559"/>
          <a:chOff x="57150" y="47625"/>
          <a:chExt cx="6316603" cy="1200288"/>
        </a:xfrm>
      </xdr:grpSpPr>
      <xdr:pic>
        <xdr:nvPicPr>
          <xdr:cNvPr id="10" name="1 Imagen" descr="ESCUDO-transp-lema-blanco.png">
            <a:extLst>
              <a:ext uri="{FF2B5EF4-FFF2-40B4-BE49-F238E27FC236}">
                <a16:creationId xmlns:a16="http://schemas.microsoft.com/office/drawing/2014/main" id="{564F8514-07C1-4DBD-A2BB-9B3F3788BF4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F0E3A669-AAD6-40CD-A50A-F3D835EEF8C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BAA3C273-D7F9-4473-B021-5EADAD37CB36}"/>
            </a:ext>
          </a:extLst>
        </xdr:cNvPr>
        <xdr:cNvGrpSpPr>
          <a:grpSpLocks/>
        </xdr:cNvGrpSpPr>
      </xdr:nvGrpSpPr>
      <xdr:grpSpPr bwMode="auto">
        <a:xfrm>
          <a:off x="0" y="0"/>
          <a:ext cx="7759965" cy="1279559"/>
          <a:chOff x="57150" y="47625"/>
          <a:chExt cx="6316603" cy="1200288"/>
        </a:xfrm>
      </xdr:grpSpPr>
      <xdr:pic>
        <xdr:nvPicPr>
          <xdr:cNvPr id="13" name="1 Imagen" descr="ESCUDO-transp-lema-blanco.png">
            <a:extLst>
              <a:ext uri="{FF2B5EF4-FFF2-40B4-BE49-F238E27FC236}">
                <a16:creationId xmlns:a16="http://schemas.microsoft.com/office/drawing/2014/main" id="{E082FC52-3DD5-4EDB-AC5A-A81EC5BB9A8C}"/>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830BCE15-8677-456D-986D-C1FF34C8361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4821</xdr:colOff>
      <xdr:row>71</xdr:row>
      <xdr:rowOff>38100</xdr:rowOff>
    </xdr:from>
    <xdr:to>
      <xdr:col>3</xdr:col>
      <xdr:colOff>6816</xdr:colOff>
      <xdr:row>72</xdr:row>
      <xdr:rowOff>68598</xdr:rowOff>
    </xdr:to>
    <xdr:pic>
      <xdr:nvPicPr>
        <xdr:cNvPr id="2" name="Imagen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6938" y="22159427"/>
          <a:ext cx="1995" cy="3228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2916</xdr:colOff>
      <xdr:row>78</xdr:row>
      <xdr:rowOff>419100</xdr:rowOff>
    </xdr:from>
    <xdr:to>
      <xdr:col>3</xdr:col>
      <xdr:colOff>3012</xdr:colOff>
      <xdr:row>80</xdr:row>
      <xdr:rowOff>152432</xdr:rowOff>
    </xdr:to>
    <xdr:pic>
      <xdr:nvPicPr>
        <xdr:cNvPr id="3" name="Imagen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5033" y="30345095"/>
          <a:ext cx="96" cy="2328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000-000004000000}"/>
            </a:ext>
          </a:extLst>
        </xdr:cNvPr>
        <xdr:cNvGrpSpPr>
          <a:grpSpLocks/>
        </xdr:cNvGrpSpPr>
      </xdr:nvGrpSpPr>
      <xdr:grpSpPr bwMode="auto">
        <a:xfrm>
          <a:off x="0" y="0"/>
          <a:ext cx="6142658" cy="1279559"/>
          <a:chOff x="57150" y="47625"/>
          <a:chExt cx="6316603" cy="1200288"/>
        </a:xfrm>
      </xdr:grpSpPr>
      <xdr:pic>
        <xdr:nvPicPr>
          <xdr:cNvPr id="5" name="1 Imagen" descr="ESCUDO-transp-lema-blanco.png">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0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5630BCF4-B25A-47CE-9457-8AA7CEB26454}"/>
            </a:ext>
          </a:extLst>
        </xdr:cNvPr>
        <xdr:cNvGrpSpPr>
          <a:grpSpLocks/>
        </xdr:cNvGrpSpPr>
      </xdr:nvGrpSpPr>
      <xdr:grpSpPr bwMode="auto">
        <a:xfrm>
          <a:off x="0" y="0"/>
          <a:ext cx="6142658" cy="1279559"/>
          <a:chOff x="57150" y="47625"/>
          <a:chExt cx="6316603" cy="1200288"/>
        </a:xfrm>
      </xdr:grpSpPr>
      <xdr:pic>
        <xdr:nvPicPr>
          <xdr:cNvPr id="8" name="1 Imagen" descr="ESCUDO-transp-lema-blanco.png">
            <a:extLst>
              <a:ext uri="{FF2B5EF4-FFF2-40B4-BE49-F238E27FC236}">
                <a16:creationId xmlns:a16="http://schemas.microsoft.com/office/drawing/2014/main" id="{527F1B05-64CF-44F8-A712-950CDE48802A}"/>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A3306A63-BF28-4887-8C7A-524FF6B0CBA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0" name="1 Grupo">
          <a:extLst>
            <a:ext uri="{FF2B5EF4-FFF2-40B4-BE49-F238E27FC236}">
              <a16:creationId xmlns:a16="http://schemas.microsoft.com/office/drawing/2014/main" id="{D9BEB4EF-05E9-4E69-9624-75C1DC0415EC}"/>
            </a:ext>
          </a:extLst>
        </xdr:cNvPr>
        <xdr:cNvGrpSpPr>
          <a:grpSpLocks/>
        </xdr:cNvGrpSpPr>
      </xdr:nvGrpSpPr>
      <xdr:grpSpPr bwMode="auto">
        <a:xfrm>
          <a:off x="0" y="0"/>
          <a:ext cx="6142658" cy="1279559"/>
          <a:chOff x="57150" y="47625"/>
          <a:chExt cx="6316603" cy="1200288"/>
        </a:xfrm>
      </xdr:grpSpPr>
      <xdr:pic>
        <xdr:nvPicPr>
          <xdr:cNvPr id="11" name="1 Imagen" descr="ESCUDO-transp-lema-blanco.png">
            <a:extLst>
              <a:ext uri="{FF2B5EF4-FFF2-40B4-BE49-F238E27FC236}">
                <a16:creationId xmlns:a16="http://schemas.microsoft.com/office/drawing/2014/main" id="{05969C47-F81F-4810-B185-A1E2AEE22AD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96E971DA-FB0D-45A6-B7AD-7AD89C303F6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3" name="1 Grupo">
          <a:extLst>
            <a:ext uri="{FF2B5EF4-FFF2-40B4-BE49-F238E27FC236}">
              <a16:creationId xmlns:a16="http://schemas.microsoft.com/office/drawing/2014/main" id="{DFAD292A-9CE5-4F37-A531-99B636FEA43A}"/>
            </a:ext>
          </a:extLst>
        </xdr:cNvPr>
        <xdr:cNvGrpSpPr>
          <a:grpSpLocks/>
        </xdr:cNvGrpSpPr>
      </xdr:nvGrpSpPr>
      <xdr:grpSpPr bwMode="auto">
        <a:xfrm>
          <a:off x="0" y="0"/>
          <a:ext cx="6142658" cy="1279559"/>
          <a:chOff x="57150" y="47625"/>
          <a:chExt cx="6316603" cy="1200288"/>
        </a:xfrm>
      </xdr:grpSpPr>
      <xdr:pic>
        <xdr:nvPicPr>
          <xdr:cNvPr id="14" name="1 Imagen" descr="ESCUDO-transp-lema-blanco.png">
            <a:extLst>
              <a:ext uri="{FF2B5EF4-FFF2-40B4-BE49-F238E27FC236}">
                <a16:creationId xmlns:a16="http://schemas.microsoft.com/office/drawing/2014/main" id="{D577FC6C-7B24-4CC4-8D5A-25AA166C452B}"/>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5" name="3 CuadroTexto">
            <a:extLst>
              <a:ext uri="{FF2B5EF4-FFF2-40B4-BE49-F238E27FC236}">
                <a16:creationId xmlns:a16="http://schemas.microsoft.com/office/drawing/2014/main" id="{3367E8CD-1CA9-4AF9-8236-A58B45BBC83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329566</xdr:colOff>
      <xdr:row>133</xdr:row>
      <xdr:rowOff>15240</xdr:rowOff>
    </xdr:from>
    <xdr:to>
      <xdr:col>3</xdr:col>
      <xdr:colOff>4955</xdr:colOff>
      <xdr:row>134</xdr:row>
      <xdr:rowOff>137186</xdr:rowOff>
    </xdr:to>
    <xdr:pic>
      <xdr:nvPicPr>
        <xdr:cNvPr id="2" name="Imagen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1224" y="36929475"/>
          <a:ext cx="5848" cy="316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100-000003000000}"/>
            </a:ext>
          </a:extLst>
        </xdr:cNvPr>
        <xdr:cNvGrpSpPr>
          <a:grpSpLocks/>
        </xdr:cNvGrpSpPr>
      </xdr:nvGrpSpPr>
      <xdr:grpSpPr bwMode="auto">
        <a:xfrm>
          <a:off x="0" y="0"/>
          <a:ext cx="7021291" cy="1279559"/>
          <a:chOff x="57150" y="47625"/>
          <a:chExt cx="6316603" cy="1200288"/>
        </a:xfrm>
      </xdr:grpSpPr>
      <xdr:pic>
        <xdr:nvPicPr>
          <xdr:cNvPr id="4" name="1 Imagen" descr="ESCUDO-transp-lema-blanco.png">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643ADF30-2FC7-46F6-9E6C-017AC74FCF47}"/>
            </a:ext>
          </a:extLst>
        </xdr:cNvPr>
        <xdr:cNvGrpSpPr>
          <a:grpSpLocks/>
        </xdr:cNvGrpSpPr>
      </xdr:nvGrpSpPr>
      <xdr:grpSpPr bwMode="auto">
        <a:xfrm>
          <a:off x="0" y="0"/>
          <a:ext cx="7021291" cy="1279559"/>
          <a:chOff x="57150" y="47625"/>
          <a:chExt cx="6316603" cy="1200288"/>
        </a:xfrm>
      </xdr:grpSpPr>
      <xdr:pic>
        <xdr:nvPicPr>
          <xdr:cNvPr id="7" name="1 Imagen" descr="ESCUDO-transp-lema-blanco.png">
            <a:extLst>
              <a:ext uri="{FF2B5EF4-FFF2-40B4-BE49-F238E27FC236}">
                <a16:creationId xmlns:a16="http://schemas.microsoft.com/office/drawing/2014/main" id="{E06CE3C0-DB7A-4C7B-B422-45D2FC78D851}"/>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BB9A6D01-DAAA-48E8-BB6B-A3E5906C59C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3572A274-FFD3-4425-836E-34B80BBC2109}"/>
            </a:ext>
          </a:extLst>
        </xdr:cNvPr>
        <xdr:cNvGrpSpPr>
          <a:grpSpLocks/>
        </xdr:cNvGrpSpPr>
      </xdr:nvGrpSpPr>
      <xdr:grpSpPr bwMode="auto">
        <a:xfrm>
          <a:off x="0" y="0"/>
          <a:ext cx="7021291" cy="1279559"/>
          <a:chOff x="57150" y="47625"/>
          <a:chExt cx="6316603" cy="1200288"/>
        </a:xfrm>
      </xdr:grpSpPr>
      <xdr:pic>
        <xdr:nvPicPr>
          <xdr:cNvPr id="10" name="1 Imagen" descr="ESCUDO-transp-lema-blanco.png">
            <a:extLst>
              <a:ext uri="{FF2B5EF4-FFF2-40B4-BE49-F238E27FC236}">
                <a16:creationId xmlns:a16="http://schemas.microsoft.com/office/drawing/2014/main" id="{AA284D76-FAE0-4927-9C24-28A4EFCC8F3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BCCB21BD-B484-4171-94E8-F7F7B8C86D07}"/>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033D8627-711B-47BA-8D23-F61464ACCB41}"/>
            </a:ext>
          </a:extLst>
        </xdr:cNvPr>
        <xdr:cNvGrpSpPr>
          <a:grpSpLocks/>
        </xdr:cNvGrpSpPr>
      </xdr:nvGrpSpPr>
      <xdr:grpSpPr bwMode="auto">
        <a:xfrm>
          <a:off x="0" y="0"/>
          <a:ext cx="7021291" cy="1279559"/>
          <a:chOff x="57150" y="47625"/>
          <a:chExt cx="6316603" cy="1200288"/>
        </a:xfrm>
      </xdr:grpSpPr>
      <xdr:pic>
        <xdr:nvPicPr>
          <xdr:cNvPr id="13" name="1 Imagen" descr="ESCUDO-transp-lema-blanco.png">
            <a:extLst>
              <a:ext uri="{FF2B5EF4-FFF2-40B4-BE49-F238E27FC236}">
                <a16:creationId xmlns:a16="http://schemas.microsoft.com/office/drawing/2014/main" id="{24F57162-9C55-4DCA-AFBD-970A2089FC6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0233F12C-5F5F-4976-9563-5694E8349F45}"/>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200-000003000000}"/>
            </a:ext>
          </a:extLst>
        </xdr:cNvPr>
        <xdr:cNvGrpSpPr>
          <a:grpSpLocks/>
        </xdr:cNvGrpSpPr>
      </xdr:nvGrpSpPr>
      <xdr:grpSpPr bwMode="auto">
        <a:xfrm>
          <a:off x="0" y="0"/>
          <a:ext cx="5598373" cy="1279559"/>
          <a:chOff x="57150" y="47625"/>
          <a:chExt cx="6316603" cy="1200288"/>
        </a:xfrm>
      </xdr:grpSpPr>
      <xdr:pic>
        <xdr:nvPicPr>
          <xdr:cNvPr id="4" name="1 Imagen" descr="ESCUDO-transp-lema-blanco.png">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2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8FAD8697-247C-4DB8-B5EE-A2CB6AB89C58}"/>
            </a:ext>
          </a:extLst>
        </xdr:cNvPr>
        <xdr:cNvGrpSpPr>
          <a:grpSpLocks/>
        </xdr:cNvGrpSpPr>
      </xdr:nvGrpSpPr>
      <xdr:grpSpPr bwMode="auto">
        <a:xfrm>
          <a:off x="0" y="0"/>
          <a:ext cx="5598373" cy="1279559"/>
          <a:chOff x="57150" y="47625"/>
          <a:chExt cx="6316603" cy="1200288"/>
        </a:xfrm>
      </xdr:grpSpPr>
      <xdr:pic>
        <xdr:nvPicPr>
          <xdr:cNvPr id="7" name="1 Imagen" descr="ESCUDO-transp-lema-blanco.png">
            <a:extLst>
              <a:ext uri="{FF2B5EF4-FFF2-40B4-BE49-F238E27FC236}">
                <a16:creationId xmlns:a16="http://schemas.microsoft.com/office/drawing/2014/main" id="{5CD93A83-51A1-4A4B-91F6-3233CC2BDF99}"/>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1E59D573-3FF6-4E85-AC84-6CBC4DD13FE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7136EA67-10E6-413F-B1AB-68E9BD0F8B6F}"/>
            </a:ext>
          </a:extLst>
        </xdr:cNvPr>
        <xdr:cNvGrpSpPr>
          <a:grpSpLocks/>
        </xdr:cNvGrpSpPr>
      </xdr:nvGrpSpPr>
      <xdr:grpSpPr bwMode="auto">
        <a:xfrm>
          <a:off x="0" y="0"/>
          <a:ext cx="5598373" cy="1279559"/>
          <a:chOff x="57150" y="47625"/>
          <a:chExt cx="6316603" cy="1200288"/>
        </a:xfrm>
      </xdr:grpSpPr>
      <xdr:pic>
        <xdr:nvPicPr>
          <xdr:cNvPr id="10" name="1 Imagen" descr="ESCUDO-transp-lema-blanco.png">
            <a:extLst>
              <a:ext uri="{FF2B5EF4-FFF2-40B4-BE49-F238E27FC236}">
                <a16:creationId xmlns:a16="http://schemas.microsoft.com/office/drawing/2014/main" id="{02568295-8AD4-44B2-B82A-E3982815664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E1F99F6A-C0BF-44B5-8AA4-3B6F359256A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300-000004000000}"/>
            </a:ext>
          </a:extLst>
        </xdr:cNvPr>
        <xdr:cNvGrpSpPr>
          <a:grpSpLocks/>
        </xdr:cNvGrpSpPr>
      </xdr:nvGrpSpPr>
      <xdr:grpSpPr bwMode="auto">
        <a:xfrm>
          <a:off x="0" y="0"/>
          <a:ext cx="6842454" cy="1279559"/>
          <a:chOff x="57150" y="47625"/>
          <a:chExt cx="6316603" cy="1200288"/>
        </a:xfrm>
      </xdr:grpSpPr>
      <xdr:pic>
        <xdr:nvPicPr>
          <xdr:cNvPr id="5" name="1 Imagen" descr="ESCUDO-transp-lema-blanco.png">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F283297E-8616-4C39-A77C-C0D67AD219BD}"/>
            </a:ext>
          </a:extLst>
        </xdr:cNvPr>
        <xdr:cNvGrpSpPr>
          <a:grpSpLocks/>
        </xdr:cNvGrpSpPr>
      </xdr:nvGrpSpPr>
      <xdr:grpSpPr bwMode="auto">
        <a:xfrm>
          <a:off x="0" y="0"/>
          <a:ext cx="6842454" cy="1279559"/>
          <a:chOff x="57150" y="47625"/>
          <a:chExt cx="6316603" cy="1200288"/>
        </a:xfrm>
      </xdr:grpSpPr>
      <xdr:pic>
        <xdr:nvPicPr>
          <xdr:cNvPr id="8" name="1 Imagen" descr="ESCUDO-transp-lema-blanco.png">
            <a:extLst>
              <a:ext uri="{FF2B5EF4-FFF2-40B4-BE49-F238E27FC236}">
                <a16:creationId xmlns:a16="http://schemas.microsoft.com/office/drawing/2014/main" id="{18A12D31-316C-4CF5-A2F2-51A14FC6E39C}"/>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A180582F-E71F-4469-A84A-9F86279FF38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0" name="1 Grupo">
          <a:extLst>
            <a:ext uri="{FF2B5EF4-FFF2-40B4-BE49-F238E27FC236}">
              <a16:creationId xmlns:a16="http://schemas.microsoft.com/office/drawing/2014/main" id="{65DE9AC1-438C-40B9-9DF3-98E70033CD72}"/>
            </a:ext>
          </a:extLst>
        </xdr:cNvPr>
        <xdr:cNvGrpSpPr>
          <a:grpSpLocks/>
        </xdr:cNvGrpSpPr>
      </xdr:nvGrpSpPr>
      <xdr:grpSpPr bwMode="auto">
        <a:xfrm>
          <a:off x="0" y="0"/>
          <a:ext cx="6842454" cy="1279559"/>
          <a:chOff x="57150" y="47625"/>
          <a:chExt cx="6316603" cy="1200288"/>
        </a:xfrm>
      </xdr:grpSpPr>
      <xdr:pic>
        <xdr:nvPicPr>
          <xdr:cNvPr id="11" name="1 Imagen" descr="ESCUDO-transp-lema-blanco.png">
            <a:extLst>
              <a:ext uri="{FF2B5EF4-FFF2-40B4-BE49-F238E27FC236}">
                <a16:creationId xmlns:a16="http://schemas.microsoft.com/office/drawing/2014/main" id="{51EC192F-6FAE-4E1C-95F9-C69E00B64C5E}"/>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5BB7EAB8-BF72-4714-A9B6-85D9DD819F37}"/>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2072</xdr:colOff>
      <xdr:row>70</xdr:row>
      <xdr:rowOff>68580</xdr:rowOff>
    </xdr:from>
    <xdr:to>
      <xdr:col>3</xdr:col>
      <xdr:colOff>2181</xdr:colOff>
      <xdr:row>72</xdr:row>
      <xdr:rowOff>26</xdr:rowOff>
    </xdr:to>
    <xdr:pic>
      <xdr:nvPicPr>
        <xdr:cNvPr id="2" name="Imagen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3485" y="33475102"/>
          <a:ext cx="109" cy="312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2072</xdr:colOff>
      <xdr:row>77</xdr:row>
      <xdr:rowOff>53340</xdr:rowOff>
    </xdr:from>
    <xdr:to>
      <xdr:col>3</xdr:col>
      <xdr:colOff>5973</xdr:colOff>
      <xdr:row>79</xdr:row>
      <xdr:rowOff>60992</xdr:rowOff>
    </xdr:to>
    <xdr:pic>
      <xdr:nvPicPr>
        <xdr:cNvPr id="3" name="Imagen 2">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3485" y="40955623"/>
          <a:ext cx="3901" cy="684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400-000004000000}"/>
            </a:ext>
          </a:extLst>
        </xdr:cNvPr>
        <xdr:cNvGrpSpPr>
          <a:grpSpLocks/>
        </xdr:cNvGrpSpPr>
      </xdr:nvGrpSpPr>
      <xdr:grpSpPr bwMode="auto">
        <a:xfrm>
          <a:off x="0" y="0"/>
          <a:ext cx="7123080" cy="1280972"/>
          <a:chOff x="57150" y="47625"/>
          <a:chExt cx="6316603" cy="1200288"/>
        </a:xfrm>
      </xdr:grpSpPr>
      <xdr:pic>
        <xdr:nvPicPr>
          <xdr:cNvPr id="5" name="1 Imagen" descr="ESCUDO-transp-lema-blanco.png">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4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DC2A5DE2-3B17-4E3F-A88B-4D47A534819B}"/>
            </a:ext>
          </a:extLst>
        </xdr:cNvPr>
        <xdr:cNvGrpSpPr>
          <a:grpSpLocks/>
        </xdr:cNvGrpSpPr>
      </xdr:nvGrpSpPr>
      <xdr:grpSpPr bwMode="auto">
        <a:xfrm>
          <a:off x="0" y="0"/>
          <a:ext cx="7123080" cy="1280972"/>
          <a:chOff x="57150" y="47625"/>
          <a:chExt cx="6316603" cy="1200288"/>
        </a:xfrm>
      </xdr:grpSpPr>
      <xdr:pic>
        <xdr:nvPicPr>
          <xdr:cNvPr id="8" name="1 Imagen" descr="ESCUDO-transp-lema-blanco.png">
            <a:extLst>
              <a:ext uri="{FF2B5EF4-FFF2-40B4-BE49-F238E27FC236}">
                <a16:creationId xmlns:a16="http://schemas.microsoft.com/office/drawing/2014/main" id="{6A1D5B81-6843-40FB-A552-9A1BCC9D1F8C}"/>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A85EB3C6-4CE2-4C66-85D4-3D632F5CF21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762000</xdr:colOff>
      <xdr:row>83</xdr:row>
      <xdr:rowOff>106680</xdr:rowOff>
    </xdr:from>
    <xdr:to>
      <xdr:col>2</xdr:col>
      <xdr:colOff>1981306</xdr:colOff>
      <xdr:row>84</xdr:row>
      <xdr:rowOff>160040</xdr:rowOff>
    </xdr:to>
    <xdr:pic>
      <xdr:nvPicPr>
        <xdr:cNvPr id="2" name="Imagen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89</xdr:row>
      <xdr:rowOff>419100</xdr:rowOff>
    </xdr:from>
    <xdr:to>
      <xdr:col>2</xdr:col>
      <xdr:colOff>1790796</xdr:colOff>
      <xdr:row>91</xdr:row>
      <xdr:rowOff>152432</xdr:rowOff>
    </xdr:to>
    <xdr:pic>
      <xdr:nvPicPr>
        <xdr:cNvPr id="3" name="Imagen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500-000004000000}"/>
            </a:ext>
          </a:extLst>
        </xdr:cNvPr>
        <xdr:cNvGrpSpPr>
          <a:grpSpLocks/>
        </xdr:cNvGrpSpPr>
      </xdr:nvGrpSpPr>
      <xdr:grpSpPr bwMode="auto">
        <a:xfrm>
          <a:off x="0" y="0"/>
          <a:ext cx="5264026" cy="1279559"/>
          <a:chOff x="57150" y="47625"/>
          <a:chExt cx="6316603" cy="1200288"/>
        </a:xfrm>
      </xdr:grpSpPr>
      <xdr:pic>
        <xdr:nvPicPr>
          <xdr:cNvPr id="5" name="1 Imagen" descr="ESCUDO-transp-lema-blanco.png">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5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B652A817-F8B2-4216-9C79-FD9B76A50825}"/>
            </a:ext>
          </a:extLst>
        </xdr:cNvPr>
        <xdr:cNvGrpSpPr>
          <a:grpSpLocks/>
        </xdr:cNvGrpSpPr>
      </xdr:nvGrpSpPr>
      <xdr:grpSpPr bwMode="auto">
        <a:xfrm>
          <a:off x="0" y="0"/>
          <a:ext cx="5264026" cy="1279559"/>
          <a:chOff x="57150" y="47625"/>
          <a:chExt cx="6316603" cy="1200288"/>
        </a:xfrm>
      </xdr:grpSpPr>
      <xdr:pic>
        <xdr:nvPicPr>
          <xdr:cNvPr id="8" name="1 Imagen" descr="ESCUDO-transp-lema-blanco.png">
            <a:extLst>
              <a:ext uri="{FF2B5EF4-FFF2-40B4-BE49-F238E27FC236}">
                <a16:creationId xmlns:a16="http://schemas.microsoft.com/office/drawing/2014/main" id="{3264515A-438A-42C6-922A-F79A2A31D598}"/>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7DC241E1-0A92-44EF-920A-B5E280A52FF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96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1266825</xdr:colOff>
      <xdr:row>0</xdr:row>
      <xdr:rowOff>428625</xdr:rowOff>
    </xdr:from>
    <xdr:to>
      <xdr:col>1</xdr:col>
      <xdr:colOff>3609975</xdr:colOff>
      <xdr:row>1</xdr:row>
      <xdr:rowOff>0</xdr:rowOff>
    </xdr:to>
    <xdr:sp macro="" textlink="">
      <xdr:nvSpPr>
        <xdr:cNvPr id="3" name="3 CuadroTexto">
          <a:extLst>
            <a:ext uri="{FF2B5EF4-FFF2-40B4-BE49-F238E27FC236}">
              <a16:creationId xmlns:a16="http://schemas.microsoft.com/office/drawing/2014/main" id="{00000000-0008-0000-0500-000003000000}"/>
            </a:ext>
          </a:extLst>
        </xdr:cNvPr>
        <xdr:cNvSpPr txBox="1"/>
      </xdr:nvSpPr>
      <xdr:spPr bwMode="auto">
        <a:xfrm>
          <a:off x="1266825" y="428625"/>
          <a:ext cx="4619625" cy="7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6727</xdr:colOff>
      <xdr:row>77</xdr:row>
      <xdr:rowOff>76200</xdr:rowOff>
    </xdr:from>
    <xdr:to>
      <xdr:col>3</xdr:col>
      <xdr:colOff>6727</xdr:colOff>
      <xdr:row>78</xdr:row>
      <xdr:rowOff>129560</xdr:rowOff>
    </xdr:to>
    <xdr:pic>
      <xdr:nvPicPr>
        <xdr:cNvPr id="2" name="Imagen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8844" y="26221353"/>
          <a:ext cx="0" cy="1132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2917</xdr:colOff>
      <xdr:row>85</xdr:row>
      <xdr:rowOff>0</xdr:rowOff>
    </xdr:from>
    <xdr:to>
      <xdr:col>3</xdr:col>
      <xdr:colOff>2917</xdr:colOff>
      <xdr:row>87</xdr:row>
      <xdr:rowOff>7652</xdr:rowOff>
    </xdr:to>
    <xdr:pic>
      <xdr:nvPicPr>
        <xdr:cNvPr id="3" name="Imagen 2">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5034" y="33823469"/>
          <a:ext cx="0" cy="67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600-000004000000}"/>
            </a:ext>
          </a:extLst>
        </xdr:cNvPr>
        <xdr:cNvGrpSpPr>
          <a:grpSpLocks/>
        </xdr:cNvGrpSpPr>
      </xdr:nvGrpSpPr>
      <xdr:grpSpPr bwMode="auto">
        <a:xfrm>
          <a:off x="0" y="0"/>
          <a:ext cx="6010475" cy="1279559"/>
          <a:chOff x="57150" y="47625"/>
          <a:chExt cx="6316603" cy="1200288"/>
        </a:xfrm>
      </xdr:grpSpPr>
      <xdr:pic>
        <xdr:nvPicPr>
          <xdr:cNvPr id="5" name="1 Imagen" descr="ESCUDO-transp-lema-blanco.png">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6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6FFB4084-EA02-4A55-A38B-15719FBC7752}"/>
            </a:ext>
          </a:extLst>
        </xdr:cNvPr>
        <xdr:cNvGrpSpPr>
          <a:grpSpLocks/>
        </xdr:cNvGrpSpPr>
      </xdr:nvGrpSpPr>
      <xdr:grpSpPr bwMode="auto">
        <a:xfrm>
          <a:off x="0" y="0"/>
          <a:ext cx="6010475" cy="1279559"/>
          <a:chOff x="57150" y="47625"/>
          <a:chExt cx="6316603" cy="1200288"/>
        </a:xfrm>
      </xdr:grpSpPr>
      <xdr:pic>
        <xdr:nvPicPr>
          <xdr:cNvPr id="8" name="1 Imagen" descr="ESCUDO-transp-lema-blanco.png">
            <a:extLst>
              <a:ext uri="{FF2B5EF4-FFF2-40B4-BE49-F238E27FC236}">
                <a16:creationId xmlns:a16="http://schemas.microsoft.com/office/drawing/2014/main" id="{C705610C-7D53-4883-B719-BC32C8BEEF1E}"/>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17AAC446-3D23-4293-A508-B45FF2335B5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1011</xdr:colOff>
      <xdr:row>75</xdr:row>
      <xdr:rowOff>53340</xdr:rowOff>
    </xdr:from>
    <xdr:to>
      <xdr:col>3</xdr:col>
      <xdr:colOff>6876</xdr:colOff>
      <xdr:row>76</xdr:row>
      <xdr:rowOff>175286</xdr:rowOff>
    </xdr:to>
    <xdr:pic>
      <xdr:nvPicPr>
        <xdr:cNvPr id="2" name="Imagen 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3128" y="22116350"/>
          <a:ext cx="5865" cy="1035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4822</xdr:colOff>
      <xdr:row>84</xdr:row>
      <xdr:rowOff>0</xdr:rowOff>
    </xdr:from>
    <xdr:to>
      <xdr:col>3</xdr:col>
      <xdr:colOff>6822</xdr:colOff>
      <xdr:row>86</xdr:row>
      <xdr:rowOff>7652</xdr:rowOff>
    </xdr:to>
    <xdr:pic>
      <xdr:nvPicPr>
        <xdr:cNvPr id="3" name="Imagen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6939" y="30791020"/>
          <a:ext cx="2000" cy="83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700-000004000000}"/>
            </a:ext>
          </a:extLst>
        </xdr:cNvPr>
        <xdr:cNvGrpSpPr>
          <a:grpSpLocks/>
        </xdr:cNvGrpSpPr>
      </xdr:nvGrpSpPr>
      <xdr:grpSpPr bwMode="auto">
        <a:xfrm>
          <a:off x="0" y="0"/>
          <a:ext cx="6204862" cy="1279559"/>
          <a:chOff x="57150" y="47625"/>
          <a:chExt cx="6316603" cy="1200288"/>
        </a:xfrm>
      </xdr:grpSpPr>
      <xdr:pic>
        <xdr:nvPicPr>
          <xdr:cNvPr id="5" name="1 Imagen" descr="ESCUDO-transp-lema-blanco.png">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7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7CE30897-C706-49C7-B5FB-D5EEAF16B408}"/>
            </a:ext>
          </a:extLst>
        </xdr:cNvPr>
        <xdr:cNvGrpSpPr>
          <a:grpSpLocks/>
        </xdr:cNvGrpSpPr>
      </xdr:nvGrpSpPr>
      <xdr:grpSpPr bwMode="auto">
        <a:xfrm>
          <a:off x="0" y="0"/>
          <a:ext cx="6204862" cy="1279559"/>
          <a:chOff x="57150" y="47625"/>
          <a:chExt cx="6316603" cy="1200288"/>
        </a:xfrm>
      </xdr:grpSpPr>
      <xdr:pic>
        <xdr:nvPicPr>
          <xdr:cNvPr id="8" name="1 Imagen" descr="ESCUDO-transp-lema-blanco.png">
            <a:extLst>
              <a:ext uri="{FF2B5EF4-FFF2-40B4-BE49-F238E27FC236}">
                <a16:creationId xmlns:a16="http://schemas.microsoft.com/office/drawing/2014/main" id="{5E634731-9101-45F1-A426-68A089085315}"/>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A5BF998A-B0F6-4317-B24E-67BB45CF803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6727</xdr:colOff>
      <xdr:row>85</xdr:row>
      <xdr:rowOff>5404</xdr:rowOff>
    </xdr:from>
    <xdr:to>
      <xdr:col>3</xdr:col>
      <xdr:colOff>6727</xdr:colOff>
      <xdr:row>87</xdr:row>
      <xdr:rowOff>32</xdr:rowOff>
    </xdr:to>
    <xdr:pic>
      <xdr:nvPicPr>
        <xdr:cNvPr id="2" name="Imagen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8844" y="30077190"/>
          <a:ext cx="0" cy="752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800-000003000000}"/>
            </a:ext>
          </a:extLst>
        </xdr:cNvPr>
        <xdr:cNvGrpSpPr>
          <a:grpSpLocks/>
        </xdr:cNvGrpSpPr>
      </xdr:nvGrpSpPr>
      <xdr:grpSpPr bwMode="auto">
        <a:xfrm>
          <a:off x="0" y="0"/>
          <a:ext cx="6103781" cy="1279559"/>
          <a:chOff x="57150" y="47625"/>
          <a:chExt cx="6316603" cy="1200288"/>
        </a:xfrm>
      </xdr:grpSpPr>
      <xdr:pic>
        <xdr:nvPicPr>
          <xdr:cNvPr id="4" name="1 Imagen" descr="ESCUDO-transp-lema-blanco.png">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8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B4D9AC44-6410-4656-8728-FA432F2A026B}"/>
            </a:ext>
          </a:extLst>
        </xdr:cNvPr>
        <xdr:cNvGrpSpPr>
          <a:grpSpLocks/>
        </xdr:cNvGrpSpPr>
      </xdr:nvGrpSpPr>
      <xdr:grpSpPr bwMode="auto">
        <a:xfrm>
          <a:off x="0" y="0"/>
          <a:ext cx="6103781" cy="1279559"/>
          <a:chOff x="57150" y="47625"/>
          <a:chExt cx="6316603" cy="1200288"/>
        </a:xfrm>
      </xdr:grpSpPr>
      <xdr:pic>
        <xdr:nvPicPr>
          <xdr:cNvPr id="7" name="1 Imagen" descr="ESCUDO-transp-lema-blanco.png">
            <a:extLst>
              <a:ext uri="{FF2B5EF4-FFF2-40B4-BE49-F238E27FC236}">
                <a16:creationId xmlns:a16="http://schemas.microsoft.com/office/drawing/2014/main" id="{3A5A1F5F-0FE8-48E1-90AB-7BBAD244516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3DEC6959-445E-4925-BA9D-81A8791042F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900-000003000000}"/>
            </a:ext>
          </a:extLst>
        </xdr:cNvPr>
        <xdr:cNvGrpSpPr>
          <a:grpSpLocks/>
        </xdr:cNvGrpSpPr>
      </xdr:nvGrpSpPr>
      <xdr:grpSpPr bwMode="auto">
        <a:xfrm>
          <a:off x="0" y="0"/>
          <a:ext cx="6360373" cy="1279559"/>
          <a:chOff x="57150" y="47625"/>
          <a:chExt cx="6316603" cy="1200288"/>
        </a:xfrm>
      </xdr:grpSpPr>
      <xdr:pic>
        <xdr:nvPicPr>
          <xdr:cNvPr id="4" name="1 Imagen" descr="ESCUDO-transp-lema-blanco.png">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9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41BE943F-C570-4298-A3DE-8098B72F4311}"/>
            </a:ext>
          </a:extLst>
        </xdr:cNvPr>
        <xdr:cNvGrpSpPr>
          <a:grpSpLocks/>
        </xdr:cNvGrpSpPr>
      </xdr:nvGrpSpPr>
      <xdr:grpSpPr bwMode="auto">
        <a:xfrm>
          <a:off x="0" y="0"/>
          <a:ext cx="6360373" cy="1279559"/>
          <a:chOff x="57150" y="47625"/>
          <a:chExt cx="6316603" cy="1200288"/>
        </a:xfrm>
      </xdr:grpSpPr>
      <xdr:pic>
        <xdr:nvPicPr>
          <xdr:cNvPr id="7" name="1 Imagen" descr="ESCUDO-transp-lema-blanco.png">
            <a:extLst>
              <a:ext uri="{FF2B5EF4-FFF2-40B4-BE49-F238E27FC236}">
                <a16:creationId xmlns:a16="http://schemas.microsoft.com/office/drawing/2014/main" id="{DB63580F-3891-4405-9D6A-06BB67036E7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3AF1B827-0A97-410F-AEEB-60B216C0114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868681</xdr:colOff>
      <xdr:row>101</xdr:row>
      <xdr:rowOff>15240</xdr:rowOff>
    </xdr:from>
    <xdr:to>
      <xdr:col>2</xdr:col>
      <xdr:colOff>1806022</xdr:colOff>
      <xdr:row>102</xdr:row>
      <xdr:rowOff>129566</xdr:rowOff>
    </xdr:to>
    <xdr:pic>
      <xdr:nvPicPr>
        <xdr:cNvPr id="2" name="Imagen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108</xdr:row>
      <xdr:rowOff>68580</xdr:rowOff>
    </xdr:from>
    <xdr:to>
      <xdr:col>3</xdr:col>
      <xdr:colOff>1021334</xdr:colOff>
      <xdr:row>110</xdr:row>
      <xdr:rowOff>26</xdr:rowOff>
    </xdr:to>
    <xdr:pic>
      <xdr:nvPicPr>
        <xdr:cNvPr id="3" name="Imagen 2">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A00-000004000000}"/>
            </a:ext>
          </a:extLst>
        </xdr:cNvPr>
        <xdr:cNvGrpSpPr>
          <a:grpSpLocks/>
        </xdr:cNvGrpSpPr>
      </xdr:nvGrpSpPr>
      <xdr:grpSpPr bwMode="auto">
        <a:xfrm>
          <a:off x="0" y="0"/>
          <a:ext cx="7145699" cy="1279559"/>
          <a:chOff x="57150" y="47625"/>
          <a:chExt cx="6316603" cy="1200288"/>
        </a:xfrm>
      </xdr:grpSpPr>
      <xdr:pic>
        <xdr:nvPicPr>
          <xdr:cNvPr id="5" name="1 Imagen" descr="ESCUDO-transp-lema-blanco.png">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A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F74C229E-795B-4668-ACE0-854C6E627EB8}"/>
            </a:ext>
          </a:extLst>
        </xdr:cNvPr>
        <xdr:cNvGrpSpPr>
          <a:grpSpLocks/>
        </xdr:cNvGrpSpPr>
      </xdr:nvGrpSpPr>
      <xdr:grpSpPr bwMode="auto">
        <a:xfrm>
          <a:off x="0" y="0"/>
          <a:ext cx="7145699" cy="1279559"/>
          <a:chOff x="57150" y="47625"/>
          <a:chExt cx="6316603" cy="1200288"/>
        </a:xfrm>
      </xdr:grpSpPr>
      <xdr:pic>
        <xdr:nvPicPr>
          <xdr:cNvPr id="8" name="1 Imagen" descr="ESCUDO-transp-lema-blanco.png">
            <a:extLst>
              <a:ext uri="{FF2B5EF4-FFF2-40B4-BE49-F238E27FC236}">
                <a16:creationId xmlns:a16="http://schemas.microsoft.com/office/drawing/2014/main" id="{140F34F6-FA12-426C-912D-10FB7A345FD4}"/>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10BEE9EE-D5C9-40FF-9B0F-FB9768BE9B65}"/>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182880</xdr:colOff>
      <xdr:row>128</xdr:row>
      <xdr:rowOff>144780</xdr:rowOff>
    </xdr:from>
    <xdr:to>
      <xdr:col>3</xdr:col>
      <xdr:colOff>1112808</xdr:colOff>
      <xdr:row>128</xdr:row>
      <xdr:rowOff>281952</xdr:rowOff>
    </xdr:to>
    <xdr:pic>
      <xdr:nvPicPr>
        <xdr:cNvPr id="2" name="Imagen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59803" y="59578338"/>
          <a:ext cx="1259640"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5568</xdr:colOff>
      <xdr:row>141</xdr:row>
      <xdr:rowOff>7620</xdr:rowOff>
    </xdr:from>
    <xdr:to>
      <xdr:col>3</xdr:col>
      <xdr:colOff>1089896</xdr:colOff>
      <xdr:row>141</xdr:row>
      <xdr:rowOff>194331</xdr:rowOff>
    </xdr:to>
    <xdr:pic>
      <xdr:nvPicPr>
        <xdr:cNvPr id="3" name="Imagen 2">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2203" y="64460120"/>
          <a:ext cx="1084328" cy="186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B00-000004000000}"/>
            </a:ext>
          </a:extLst>
        </xdr:cNvPr>
        <xdr:cNvGrpSpPr>
          <a:grpSpLocks/>
        </xdr:cNvGrpSpPr>
      </xdr:nvGrpSpPr>
      <xdr:grpSpPr bwMode="auto">
        <a:xfrm>
          <a:off x="0" y="0"/>
          <a:ext cx="7431838" cy="1274375"/>
          <a:chOff x="57150" y="47625"/>
          <a:chExt cx="6316603" cy="1200288"/>
        </a:xfrm>
      </xdr:grpSpPr>
      <xdr:pic>
        <xdr:nvPicPr>
          <xdr:cNvPr id="5" name="1 Imagen" descr="ESCUDO-transp-lema-blanco.png">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B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182880</xdr:colOff>
      <xdr:row>109</xdr:row>
      <xdr:rowOff>91440</xdr:rowOff>
    </xdr:from>
    <xdr:to>
      <xdr:col>3</xdr:col>
      <xdr:colOff>998498</xdr:colOff>
      <xdr:row>109</xdr:row>
      <xdr:rowOff>228612</xdr:rowOff>
    </xdr:to>
    <xdr:pic>
      <xdr:nvPicPr>
        <xdr:cNvPr id="2" name="Imagen 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122</xdr:row>
      <xdr:rowOff>0</xdr:rowOff>
    </xdr:from>
    <xdr:to>
      <xdr:col>3</xdr:col>
      <xdr:colOff>922268</xdr:colOff>
      <xdr:row>123</xdr:row>
      <xdr:rowOff>114326</xdr:rowOff>
    </xdr:to>
    <xdr:pic>
      <xdr:nvPicPr>
        <xdr:cNvPr id="3" name="Imagen 2">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C00-000004000000}"/>
            </a:ext>
          </a:extLst>
        </xdr:cNvPr>
        <xdr:cNvGrpSpPr>
          <a:grpSpLocks/>
        </xdr:cNvGrpSpPr>
      </xdr:nvGrpSpPr>
      <xdr:grpSpPr bwMode="auto">
        <a:xfrm>
          <a:off x="0" y="0"/>
          <a:ext cx="6173760" cy="1279559"/>
          <a:chOff x="57150" y="47625"/>
          <a:chExt cx="6316603" cy="1200288"/>
        </a:xfrm>
      </xdr:grpSpPr>
      <xdr:pic>
        <xdr:nvPicPr>
          <xdr:cNvPr id="5" name="1 Imagen" descr="ESCUDO-transp-lema-blanco.png">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C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A350B44C-BD08-4F48-A1B5-A4F4CFA0E2A1}"/>
            </a:ext>
          </a:extLst>
        </xdr:cNvPr>
        <xdr:cNvGrpSpPr>
          <a:grpSpLocks/>
        </xdr:cNvGrpSpPr>
      </xdr:nvGrpSpPr>
      <xdr:grpSpPr bwMode="auto">
        <a:xfrm>
          <a:off x="0" y="0"/>
          <a:ext cx="6173760" cy="1279559"/>
          <a:chOff x="57150" y="47625"/>
          <a:chExt cx="6316603" cy="1200288"/>
        </a:xfrm>
      </xdr:grpSpPr>
      <xdr:pic>
        <xdr:nvPicPr>
          <xdr:cNvPr id="8" name="1 Imagen" descr="ESCUDO-transp-lema-blanco.png">
            <a:extLst>
              <a:ext uri="{FF2B5EF4-FFF2-40B4-BE49-F238E27FC236}">
                <a16:creationId xmlns:a16="http://schemas.microsoft.com/office/drawing/2014/main" id="{28083193-173A-4D36-A695-33F69E0F4306}"/>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44D37F0C-A342-4E0A-AC7B-C24FB0604EE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D00-000003000000}"/>
            </a:ext>
          </a:extLst>
        </xdr:cNvPr>
        <xdr:cNvGrpSpPr>
          <a:grpSpLocks/>
        </xdr:cNvGrpSpPr>
      </xdr:nvGrpSpPr>
      <xdr:grpSpPr bwMode="auto">
        <a:xfrm>
          <a:off x="0" y="0"/>
          <a:ext cx="6445903" cy="1279559"/>
          <a:chOff x="57150" y="47625"/>
          <a:chExt cx="6316603" cy="1200288"/>
        </a:xfrm>
      </xdr:grpSpPr>
      <xdr:pic>
        <xdr:nvPicPr>
          <xdr:cNvPr id="4" name="1 Imagen" descr="ESCUDO-transp-lema-blanco.png">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E97473DA-3E72-489A-8ED1-1C816E23E37E}"/>
            </a:ext>
          </a:extLst>
        </xdr:cNvPr>
        <xdr:cNvGrpSpPr>
          <a:grpSpLocks/>
        </xdr:cNvGrpSpPr>
      </xdr:nvGrpSpPr>
      <xdr:grpSpPr bwMode="auto">
        <a:xfrm>
          <a:off x="0" y="0"/>
          <a:ext cx="6445903" cy="1279559"/>
          <a:chOff x="57150" y="47625"/>
          <a:chExt cx="6316603" cy="1200288"/>
        </a:xfrm>
      </xdr:grpSpPr>
      <xdr:pic>
        <xdr:nvPicPr>
          <xdr:cNvPr id="7" name="1 Imagen" descr="ESCUDO-transp-lema-blanco.png">
            <a:extLst>
              <a:ext uri="{FF2B5EF4-FFF2-40B4-BE49-F238E27FC236}">
                <a16:creationId xmlns:a16="http://schemas.microsoft.com/office/drawing/2014/main" id="{BAB399C5-4777-42C7-85BE-38F33FAA44F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40FB57AE-F724-45D4-9D01-50F03541A2F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45ECF688-E058-4F75-80FC-14BCC9002305}"/>
            </a:ext>
          </a:extLst>
        </xdr:cNvPr>
        <xdr:cNvGrpSpPr>
          <a:grpSpLocks/>
        </xdr:cNvGrpSpPr>
      </xdr:nvGrpSpPr>
      <xdr:grpSpPr bwMode="auto">
        <a:xfrm>
          <a:off x="0" y="0"/>
          <a:ext cx="6445903" cy="1279559"/>
          <a:chOff x="57150" y="47625"/>
          <a:chExt cx="6316603" cy="1200288"/>
        </a:xfrm>
      </xdr:grpSpPr>
      <xdr:pic>
        <xdr:nvPicPr>
          <xdr:cNvPr id="10" name="1 Imagen" descr="ESCUDO-transp-lema-blanco.png">
            <a:extLst>
              <a:ext uri="{FF2B5EF4-FFF2-40B4-BE49-F238E27FC236}">
                <a16:creationId xmlns:a16="http://schemas.microsoft.com/office/drawing/2014/main" id="{87023D2E-8A19-4B95-B372-73D0EB311A0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8D7F7DD0-D52C-4335-AF42-2C56136E809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784860</xdr:colOff>
      <xdr:row>107</xdr:row>
      <xdr:rowOff>53340</xdr:rowOff>
    </xdr:from>
    <xdr:to>
      <xdr:col>2</xdr:col>
      <xdr:colOff>1402080</xdr:colOff>
      <xdr:row>108</xdr:row>
      <xdr:rowOff>144780</xdr:rowOff>
    </xdr:to>
    <xdr:pic>
      <xdr:nvPicPr>
        <xdr:cNvPr id="12" name="Imagen 11">
          <a:extLst>
            <a:ext uri="{FF2B5EF4-FFF2-40B4-BE49-F238E27FC236}">
              <a16:creationId xmlns:a16="http://schemas.microsoft.com/office/drawing/2014/main" id="{F11CFD56-91EF-410A-B666-3D91A9CF533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8260" y="38591490"/>
          <a:ext cx="0"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13" name="1 Grupo">
          <a:extLst>
            <a:ext uri="{FF2B5EF4-FFF2-40B4-BE49-F238E27FC236}">
              <a16:creationId xmlns:a16="http://schemas.microsoft.com/office/drawing/2014/main" id="{E9EE7356-17E8-4D45-A3F4-A156AC3FB025}"/>
            </a:ext>
          </a:extLst>
        </xdr:cNvPr>
        <xdr:cNvGrpSpPr>
          <a:grpSpLocks/>
        </xdr:cNvGrpSpPr>
      </xdr:nvGrpSpPr>
      <xdr:grpSpPr bwMode="auto">
        <a:xfrm>
          <a:off x="0" y="0"/>
          <a:ext cx="6445903" cy="1279559"/>
          <a:chOff x="57150" y="47625"/>
          <a:chExt cx="6316603" cy="1200288"/>
        </a:xfrm>
      </xdr:grpSpPr>
      <xdr:pic>
        <xdr:nvPicPr>
          <xdr:cNvPr id="14" name="1 Imagen" descr="ESCUDO-transp-lema-blanco.png">
            <a:extLst>
              <a:ext uri="{FF2B5EF4-FFF2-40B4-BE49-F238E27FC236}">
                <a16:creationId xmlns:a16="http://schemas.microsoft.com/office/drawing/2014/main" id="{3FDBE14B-7F85-4595-A924-B52DAB98DF2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5" name="3 CuadroTexto">
            <a:extLst>
              <a:ext uri="{FF2B5EF4-FFF2-40B4-BE49-F238E27FC236}">
                <a16:creationId xmlns:a16="http://schemas.microsoft.com/office/drawing/2014/main" id="{36F7A8E8-A812-438A-9E7A-7995A3A7264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6" name="1 Grupo">
          <a:extLst>
            <a:ext uri="{FF2B5EF4-FFF2-40B4-BE49-F238E27FC236}">
              <a16:creationId xmlns:a16="http://schemas.microsoft.com/office/drawing/2014/main" id="{E9B3BDA7-599D-4319-AA7B-72D42142C3C5}"/>
            </a:ext>
          </a:extLst>
        </xdr:cNvPr>
        <xdr:cNvGrpSpPr>
          <a:grpSpLocks/>
        </xdr:cNvGrpSpPr>
      </xdr:nvGrpSpPr>
      <xdr:grpSpPr bwMode="auto">
        <a:xfrm>
          <a:off x="0" y="0"/>
          <a:ext cx="6445903" cy="1279559"/>
          <a:chOff x="57150" y="47625"/>
          <a:chExt cx="6316603" cy="1200288"/>
        </a:xfrm>
      </xdr:grpSpPr>
      <xdr:pic>
        <xdr:nvPicPr>
          <xdr:cNvPr id="17" name="1 Imagen" descr="ESCUDO-transp-lema-blanco.png">
            <a:extLst>
              <a:ext uri="{FF2B5EF4-FFF2-40B4-BE49-F238E27FC236}">
                <a16:creationId xmlns:a16="http://schemas.microsoft.com/office/drawing/2014/main" id="{F92ACFA5-DFEB-4181-977C-F5063EF28C8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8" name="3 CuadroTexto">
            <a:extLst>
              <a:ext uri="{FF2B5EF4-FFF2-40B4-BE49-F238E27FC236}">
                <a16:creationId xmlns:a16="http://schemas.microsoft.com/office/drawing/2014/main" id="{838E3F8E-2D5C-4004-B904-344D43031F5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9" name="1 Grupo">
          <a:extLst>
            <a:ext uri="{FF2B5EF4-FFF2-40B4-BE49-F238E27FC236}">
              <a16:creationId xmlns:a16="http://schemas.microsoft.com/office/drawing/2014/main" id="{3F36F0D9-4522-4A2C-B0C5-8B72C0DD338C}"/>
            </a:ext>
          </a:extLst>
        </xdr:cNvPr>
        <xdr:cNvGrpSpPr>
          <a:grpSpLocks/>
        </xdr:cNvGrpSpPr>
      </xdr:nvGrpSpPr>
      <xdr:grpSpPr bwMode="auto">
        <a:xfrm>
          <a:off x="0" y="0"/>
          <a:ext cx="6445903" cy="1279559"/>
          <a:chOff x="57150" y="47625"/>
          <a:chExt cx="6316603" cy="1200288"/>
        </a:xfrm>
      </xdr:grpSpPr>
      <xdr:pic>
        <xdr:nvPicPr>
          <xdr:cNvPr id="20" name="1 Imagen" descr="ESCUDO-transp-lema-blanco.png">
            <a:extLst>
              <a:ext uri="{FF2B5EF4-FFF2-40B4-BE49-F238E27FC236}">
                <a16:creationId xmlns:a16="http://schemas.microsoft.com/office/drawing/2014/main" id="{4F37354D-FC89-4CCB-A1A0-914D411AD47C}"/>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1" name="3 CuadroTexto">
            <a:extLst>
              <a:ext uri="{FF2B5EF4-FFF2-40B4-BE49-F238E27FC236}">
                <a16:creationId xmlns:a16="http://schemas.microsoft.com/office/drawing/2014/main" id="{9692E5AA-2660-439D-AC98-69A7A4F52E8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784860</xdr:colOff>
      <xdr:row>107</xdr:row>
      <xdr:rowOff>53340</xdr:rowOff>
    </xdr:from>
    <xdr:to>
      <xdr:col>2</xdr:col>
      <xdr:colOff>1402080</xdr:colOff>
      <xdr:row>108</xdr:row>
      <xdr:rowOff>144780</xdr:rowOff>
    </xdr:to>
    <xdr:pic>
      <xdr:nvPicPr>
        <xdr:cNvPr id="22" name="Imagen 21">
          <a:extLst>
            <a:ext uri="{FF2B5EF4-FFF2-40B4-BE49-F238E27FC236}">
              <a16:creationId xmlns:a16="http://schemas.microsoft.com/office/drawing/2014/main" id="{042960E4-FA28-47E5-83D7-2559A089B96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6360" y="35311080"/>
          <a:ext cx="0" cy="161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23" name="1 Grupo">
          <a:extLst>
            <a:ext uri="{FF2B5EF4-FFF2-40B4-BE49-F238E27FC236}">
              <a16:creationId xmlns:a16="http://schemas.microsoft.com/office/drawing/2014/main" id="{0BEB7754-ED7B-42E0-A014-E52184438EFB}"/>
            </a:ext>
          </a:extLst>
        </xdr:cNvPr>
        <xdr:cNvGrpSpPr>
          <a:grpSpLocks/>
        </xdr:cNvGrpSpPr>
      </xdr:nvGrpSpPr>
      <xdr:grpSpPr bwMode="auto">
        <a:xfrm>
          <a:off x="0" y="0"/>
          <a:ext cx="6445903" cy="1279559"/>
          <a:chOff x="57150" y="47625"/>
          <a:chExt cx="6316603" cy="1200288"/>
        </a:xfrm>
      </xdr:grpSpPr>
      <xdr:pic>
        <xdr:nvPicPr>
          <xdr:cNvPr id="24" name="1 Imagen" descr="ESCUDO-transp-lema-blanco.png">
            <a:extLst>
              <a:ext uri="{FF2B5EF4-FFF2-40B4-BE49-F238E27FC236}">
                <a16:creationId xmlns:a16="http://schemas.microsoft.com/office/drawing/2014/main" id="{53426267-3A21-6971-B289-4F318BBDA57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5" name="3 CuadroTexto">
            <a:extLst>
              <a:ext uri="{FF2B5EF4-FFF2-40B4-BE49-F238E27FC236}">
                <a16:creationId xmlns:a16="http://schemas.microsoft.com/office/drawing/2014/main" id="{EE1887EF-9F19-203C-1801-EB693CD1587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6" name="1 Grupo">
          <a:extLst>
            <a:ext uri="{FF2B5EF4-FFF2-40B4-BE49-F238E27FC236}">
              <a16:creationId xmlns:a16="http://schemas.microsoft.com/office/drawing/2014/main" id="{1926E82A-C39C-4635-81AF-CB741FF44E88}"/>
            </a:ext>
          </a:extLst>
        </xdr:cNvPr>
        <xdr:cNvGrpSpPr>
          <a:grpSpLocks/>
        </xdr:cNvGrpSpPr>
      </xdr:nvGrpSpPr>
      <xdr:grpSpPr bwMode="auto">
        <a:xfrm>
          <a:off x="0" y="0"/>
          <a:ext cx="6445903" cy="1279559"/>
          <a:chOff x="57150" y="47625"/>
          <a:chExt cx="6316603" cy="1200288"/>
        </a:xfrm>
      </xdr:grpSpPr>
      <xdr:pic>
        <xdr:nvPicPr>
          <xdr:cNvPr id="27" name="1 Imagen" descr="ESCUDO-transp-lema-blanco.png">
            <a:extLst>
              <a:ext uri="{FF2B5EF4-FFF2-40B4-BE49-F238E27FC236}">
                <a16:creationId xmlns:a16="http://schemas.microsoft.com/office/drawing/2014/main" id="{C3F0AE9C-1946-81BC-8748-93128E9DECD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8" name="3 CuadroTexto">
            <a:extLst>
              <a:ext uri="{FF2B5EF4-FFF2-40B4-BE49-F238E27FC236}">
                <a16:creationId xmlns:a16="http://schemas.microsoft.com/office/drawing/2014/main" id="{2C52A423-9516-F610-8C63-C11D3F216C9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9" name="1 Grupo">
          <a:extLst>
            <a:ext uri="{FF2B5EF4-FFF2-40B4-BE49-F238E27FC236}">
              <a16:creationId xmlns:a16="http://schemas.microsoft.com/office/drawing/2014/main" id="{8B101FB1-D6E2-406F-BC03-6CEAD863BEBE}"/>
            </a:ext>
          </a:extLst>
        </xdr:cNvPr>
        <xdr:cNvGrpSpPr>
          <a:grpSpLocks/>
        </xdr:cNvGrpSpPr>
      </xdr:nvGrpSpPr>
      <xdr:grpSpPr bwMode="auto">
        <a:xfrm>
          <a:off x="0" y="0"/>
          <a:ext cx="6445903" cy="1279559"/>
          <a:chOff x="57150" y="47625"/>
          <a:chExt cx="6316603" cy="1200288"/>
        </a:xfrm>
      </xdr:grpSpPr>
      <xdr:pic>
        <xdr:nvPicPr>
          <xdr:cNvPr id="30" name="1 Imagen" descr="ESCUDO-transp-lema-blanco.png">
            <a:extLst>
              <a:ext uri="{FF2B5EF4-FFF2-40B4-BE49-F238E27FC236}">
                <a16:creationId xmlns:a16="http://schemas.microsoft.com/office/drawing/2014/main" id="{6AA6BC33-BBB2-2F1E-1CF0-39CD58B1420A}"/>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1" name="3 CuadroTexto">
            <a:extLst>
              <a:ext uri="{FF2B5EF4-FFF2-40B4-BE49-F238E27FC236}">
                <a16:creationId xmlns:a16="http://schemas.microsoft.com/office/drawing/2014/main" id="{29C1A699-E1D6-6B71-22FF-34896EAEFF3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784860</xdr:colOff>
      <xdr:row>107</xdr:row>
      <xdr:rowOff>53340</xdr:rowOff>
    </xdr:from>
    <xdr:to>
      <xdr:col>2</xdr:col>
      <xdr:colOff>1402080</xdr:colOff>
      <xdr:row>108</xdr:row>
      <xdr:rowOff>144780</xdr:rowOff>
    </xdr:to>
    <xdr:pic>
      <xdr:nvPicPr>
        <xdr:cNvPr id="32" name="Imagen 31">
          <a:extLst>
            <a:ext uri="{FF2B5EF4-FFF2-40B4-BE49-F238E27FC236}">
              <a16:creationId xmlns:a16="http://schemas.microsoft.com/office/drawing/2014/main" id="{592A729D-A847-4A59-8616-42BDBB36FF7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6360" y="35311080"/>
          <a:ext cx="0" cy="161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3" name="1 Grupo">
          <a:extLst>
            <a:ext uri="{FF2B5EF4-FFF2-40B4-BE49-F238E27FC236}">
              <a16:creationId xmlns:a16="http://schemas.microsoft.com/office/drawing/2014/main" id="{4E5C4E26-5DE7-4398-BC9D-1D565D88FFB5}"/>
            </a:ext>
          </a:extLst>
        </xdr:cNvPr>
        <xdr:cNvGrpSpPr>
          <a:grpSpLocks/>
        </xdr:cNvGrpSpPr>
      </xdr:nvGrpSpPr>
      <xdr:grpSpPr bwMode="auto">
        <a:xfrm>
          <a:off x="0" y="0"/>
          <a:ext cx="6445903" cy="1279559"/>
          <a:chOff x="57150" y="47625"/>
          <a:chExt cx="6316603" cy="1200288"/>
        </a:xfrm>
      </xdr:grpSpPr>
      <xdr:pic>
        <xdr:nvPicPr>
          <xdr:cNvPr id="34" name="1 Imagen" descr="ESCUDO-transp-lema-blanco.png">
            <a:extLst>
              <a:ext uri="{FF2B5EF4-FFF2-40B4-BE49-F238E27FC236}">
                <a16:creationId xmlns:a16="http://schemas.microsoft.com/office/drawing/2014/main" id="{0E8A7594-0480-4BD0-8B42-5E8387A3E4B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5" name="3 CuadroTexto">
            <a:extLst>
              <a:ext uri="{FF2B5EF4-FFF2-40B4-BE49-F238E27FC236}">
                <a16:creationId xmlns:a16="http://schemas.microsoft.com/office/drawing/2014/main" id="{78BA4FE4-E6DA-8E7E-F23B-C3CB301BE14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6" name="1 Grupo">
          <a:extLst>
            <a:ext uri="{FF2B5EF4-FFF2-40B4-BE49-F238E27FC236}">
              <a16:creationId xmlns:a16="http://schemas.microsoft.com/office/drawing/2014/main" id="{10EC308E-F383-403E-8A3A-7F358E52767C}"/>
            </a:ext>
          </a:extLst>
        </xdr:cNvPr>
        <xdr:cNvGrpSpPr>
          <a:grpSpLocks/>
        </xdr:cNvGrpSpPr>
      </xdr:nvGrpSpPr>
      <xdr:grpSpPr bwMode="auto">
        <a:xfrm>
          <a:off x="0" y="0"/>
          <a:ext cx="6445903" cy="1279559"/>
          <a:chOff x="57150" y="47625"/>
          <a:chExt cx="6316603" cy="1200288"/>
        </a:xfrm>
      </xdr:grpSpPr>
      <xdr:pic>
        <xdr:nvPicPr>
          <xdr:cNvPr id="37" name="1 Imagen" descr="ESCUDO-transp-lema-blanco.png">
            <a:extLst>
              <a:ext uri="{FF2B5EF4-FFF2-40B4-BE49-F238E27FC236}">
                <a16:creationId xmlns:a16="http://schemas.microsoft.com/office/drawing/2014/main" id="{48F66582-ACBA-8C98-1A08-4604929CEDBD}"/>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8" name="3 CuadroTexto">
            <a:extLst>
              <a:ext uri="{FF2B5EF4-FFF2-40B4-BE49-F238E27FC236}">
                <a16:creationId xmlns:a16="http://schemas.microsoft.com/office/drawing/2014/main" id="{35E94119-E80D-A398-2844-46DD6D9F4A0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9" name="1 Grupo">
          <a:extLst>
            <a:ext uri="{FF2B5EF4-FFF2-40B4-BE49-F238E27FC236}">
              <a16:creationId xmlns:a16="http://schemas.microsoft.com/office/drawing/2014/main" id="{DC9001A6-0968-40C9-976B-40CCC54D7D35}"/>
            </a:ext>
          </a:extLst>
        </xdr:cNvPr>
        <xdr:cNvGrpSpPr>
          <a:grpSpLocks/>
        </xdr:cNvGrpSpPr>
      </xdr:nvGrpSpPr>
      <xdr:grpSpPr bwMode="auto">
        <a:xfrm>
          <a:off x="0" y="0"/>
          <a:ext cx="6445903" cy="1279559"/>
          <a:chOff x="57150" y="47625"/>
          <a:chExt cx="6316603" cy="1200288"/>
        </a:xfrm>
      </xdr:grpSpPr>
      <xdr:pic>
        <xdr:nvPicPr>
          <xdr:cNvPr id="40" name="1 Imagen" descr="ESCUDO-transp-lema-blanco.png">
            <a:extLst>
              <a:ext uri="{FF2B5EF4-FFF2-40B4-BE49-F238E27FC236}">
                <a16:creationId xmlns:a16="http://schemas.microsoft.com/office/drawing/2014/main" id="{40ABEFAE-5037-0751-25BD-3C95A5C291E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1" name="3 CuadroTexto">
            <a:extLst>
              <a:ext uri="{FF2B5EF4-FFF2-40B4-BE49-F238E27FC236}">
                <a16:creationId xmlns:a16="http://schemas.microsoft.com/office/drawing/2014/main" id="{56CD917E-F5A2-AE83-7B41-CF12AE64849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329565</xdr:colOff>
      <xdr:row>157</xdr:row>
      <xdr:rowOff>15240</xdr:rowOff>
    </xdr:from>
    <xdr:to>
      <xdr:col>3</xdr:col>
      <xdr:colOff>6872</xdr:colOff>
      <xdr:row>159</xdr:row>
      <xdr:rowOff>22892</xdr:rowOff>
    </xdr:to>
    <xdr:pic>
      <xdr:nvPicPr>
        <xdr:cNvPr id="2" name="Imagen 1">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1223" y="45142357"/>
          <a:ext cx="7766" cy="396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2916</xdr:colOff>
      <xdr:row>164</xdr:row>
      <xdr:rowOff>53340</xdr:rowOff>
    </xdr:from>
    <xdr:to>
      <xdr:col>3</xdr:col>
      <xdr:colOff>4939</xdr:colOff>
      <xdr:row>165</xdr:row>
      <xdr:rowOff>160045</xdr:rowOff>
    </xdr:to>
    <xdr:pic>
      <xdr:nvPicPr>
        <xdr:cNvPr id="3" name="Imagen 2">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5033" y="54617983"/>
          <a:ext cx="2023" cy="1477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E00-000004000000}"/>
            </a:ext>
          </a:extLst>
        </xdr:cNvPr>
        <xdr:cNvGrpSpPr>
          <a:grpSpLocks/>
        </xdr:cNvGrpSpPr>
      </xdr:nvGrpSpPr>
      <xdr:grpSpPr bwMode="auto">
        <a:xfrm>
          <a:off x="0" y="0"/>
          <a:ext cx="6010475" cy="1279559"/>
          <a:chOff x="57150" y="47625"/>
          <a:chExt cx="6316603" cy="1200288"/>
        </a:xfrm>
      </xdr:grpSpPr>
      <xdr:pic>
        <xdr:nvPicPr>
          <xdr:cNvPr id="5" name="1 Imagen" descr="ESCUDO-transp-lema-blanco.png">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E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BB394843-329F-455B-A75B-C7042435C871}"/>
            </a:ext>
          </a:extLst>
        </xdr:cNvPr>
        <xdr:cNvGrpSpPr>
          <a:grpSpLocks/>
        </xdr:cNvGrpSpPr>
      </xdr:nvGrpSpPr>
      <xdr:grpSpPr bwMode="auto">
        <a:xfrm>
          <a:off x="0" y="0"/>
          <a:ext cx="6010475" cy="1279559"/>
          <a:chOff x="57150" y="47625"/>
          <a:chExt cx="6316603" cy="1200288"/>
        </a:xfrm>
      </xdr:grpSpPr>
      <xdr:pic>
        <xdr:nvPicPr>
          <xdr:cNvPr id="8" name="1 Imagen" descr="ESCUDO-transp-lema-blanco.png">
            <a:extLst>
              <a:ext uri="{FF2B5EF4-FFF2-40B4-BE49-F238E27FC236}">
                <a16:creationId xmlns:a16="http://schemas.microsoft.com/office/drawing/2014/main" id="{50765837-E138-427B-B106-700BD169199D}"/>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A0433A76-D472-4D39-A8BC-AC819FF30C2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0" name="1 Grupo">
          <a:extLst>
            <a:ext uri="{FF2B5EF4-FFF2-40B4-BE49-F238E27FC236}">
              <a16:creationId xmlns:a16="http://schemas.microsoft.com/office/drawing/2014/main" id="{6FE23851-B580-492C-B1EE-1D443232F73B}"/>
            </a:ext>
          </a:extLst>
        </xdr:cNvPr>
        <xdr:cNvGrpSpPr>
          <a:grpSpLocks/>
        </xdr:cNvGrpSpPr>
      </xdr:nvGrpSpPr>
      <xdr:grpSpPr bwMode="auto">
        <a:xfrm>
          <a:off x="0" y="0"/>
          <a:ext cx="6010475" cy="1279559"/>
          <a:chOff x="57150" y="47625"/>
          <a:chExt cx="6316603" cy="1200288"/>
        </a:xfrm>
      </xdr:grpSpPr>
      <xdr:pic>
        <xdr:nvPicPr>
          <xdr:cNvPr id="11" name="1 Imagen" descr="ESCUDO-transp-lema-blanco.png">
            <a:extLst>
              <a:ext uri="{FF2B5EF4-FFF2-40B4-BE49-F238E27FC236}">
                <a16:creationId xmlns:a16="http://schemas.microsoft.com/office/drawing/2014/main" id="{554328F4-924C-4F78-8954-EBBCFA961CBD}"/>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F47CBCC5-FF10-4BA2-A172-DDF276FB105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3" name="1 Grupo">
          <a:extLst>
            <a:ext uri="{FF2B5EF4-FFF2-40B4-BE49-F238E27FC236}">
              <a16:creationId xmlns:a16="http://schemas.microsoft.com/office/drawing/2014/main" id="{F8A05668-A20C-42E2-8FBB-75F7EF076376}"/>
            </a:ext>
          </a:extLst>
        </xdr:cNvPr>
        <xdr:cNvGrpSpPr>
          <a:grpSpLocks/>
        </xdr:cNvGrpSpPr>
      </xdr:nvGrpSpPr>
      <xdr:grpSpPr bwMode="auto">
        <a:xfrm>
          <a:off x="0" y="0"/>
          <a:ext cx="6010475" cy="1279559"/>
          <a:chOff x="57150" y="47625"/>
          <a:chExt cx="6316603" cy="1200288"/>
        </a:xfrm>
      </xdr:grpSpPr>
      <xdr:pic>
        <xdr:nvPicPr>
          <xdr:cNvPr id="14" name="1 Imagen" descr="ESCUDO-transp-lema-blanco.png">
            <a:extLst>
              <a:ext uri="{FF2B5EF4-FFF2-40B4-BE49-F238E27FC236}">
                <a16:creationId xmlns:a16="http://schemas.microsoft.com/office/drawing/2014/main" id="{C2042B12-9818-482B-914C-8BE0A7C1C89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5" name="3 CuadroTexto">
            <a:extLst>
              <a:ext uri="{FF2B5EF4-FFF2-40B4-BE49-F238E27FC236}">
                <a16:creationId xmlns:a16="http://schemas.microsoft.com/office/drawing/2014/main" id="{3AF50437-7B9C-4FBB-BD2A-2FBF13964E0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329565</xdr:colOff>
      <xdr:row>157</xdr:row>
      <xdr:rowOff>15240</xdr:rowOff>
    </xdr:from>
    <xdr:to>
      <xdr:col>3</xdr:col>
      <xdr:colOff>6872</xdr:colOff>
      <xdr:row>159</xdr:row>
      <xdr:rowOff>22892</xdr:rowOff>
    </xdr:to>
    <xdr:pic>
      <xdr:nvPicPr>
        <xdr:cNvPr id="16" name="Imagen 15">
          <a:extLst>
            <a:ext uri="{FF2B5EF4-FFF2-40B4-BE49-F238E27FC236}">
              <a16:creationId xmlns:a16="http://schemas.microsoft.com/office/drawing/2014/main" id="{B0CB6F03-E97D-4991-9D70-B6AAF55F2E2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0640" y="45763815"/>
          <a:ext cx="10682" cy="8084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2916</xdr:colOff>
      <xdr:row>164</xdr:row>
      <xdr:rowOff>53340</xdr:rowOff>
    </xdr:from>
    <xdr:to>
      <xdr:col>3</xdr:col>
      <xdr:colOff>4939</xdr:colOff>
      <xdr:row>165</xdr:row>
      <xdr:rowOff>160045</xdr:rowOff>
    </xdr:to>
    <xdr:pic>
      <xdr:nvPicPr>
        <xdr:cNvPr id="17" name="Imagen 16">
          <a:extLst>
            <a:ext uri="{FF2B5EF4-FFF2-40B4-BE49-F238E27FC236}">
              <a16:creationId xmlns:a16="http://schemas.microsoft.com/office/drawing/2014/main" id="{58EC5997-1A30-46D3-A995-93933C74D7B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7366" y="56860440"/>
          <a:ext cx="2023" cy="582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18" name="1 Grupo">
          <a:extLst>
            <a:ext uri="{FF2B5EF4-FFF2-40B4-BE49-F238E27FC236}">
              <a16:creationId xmlns:a16="http://schemas.microsoft.com/office/drawing/2014/main" id="{FC13680F-D210-4399-BEAB-98CEE25D5FB1}"/>
            </a:ext>
          </a:extLst>
        </xdr:cNvPr>
        <xdr:cNvGrpSpPr>
          <a:grpSpLocks/>
        </xdr:cNvGrpSpPr>
      </xdr:nvGrpSpPr>
      <xdr:grpSpPr bwMode="auto">
        <a:xfrm>
          <a:off x="0" y="0"/>
          <a:ext cx="6010475" cy="1279559"/>
          <a:chOff x="57150" y="47625"/>
          <a:chExt cx="6316603" cy="1200288"/>
        </a:xfrm>
      </xdr:grpSpPr>
      <xdr:pic>
        <xdr:nvPicPr>
          <xdr:cNvPr id="19" name="1 Imagen" descr="ESCUDO-transp-lema-blanco.png">
            <a:extLst>
              <a:ext uri="{FF2B5EF4-FFF2-40B4-BE49-F238E27FC236}">
                <a16:creationId xmlns:a16="http://schemas.microsoft.com/office/drawing/2014/main" id="{F0B7B0EC-9D63-41E8-A4D6-5F20567BCBF3}"/>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0" name="3 CuadroTexto">
            <a:extLst>
              <a:ext uri="{FF2B5EF4-FFF2-40B4-BE49-F238E27FC236}">
                <a16:creationId xmlns:a16="http://schemas.microsoft.com/office/drawing/2014/main" id="{24F546DF-6D6D-4B5D-BAD0-2F0DD4211E4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1" name="1 Grupo">
          <a:extLst>
            <a:ext uri="{FF2B5EF4-FFF2-40B4-BE49-F238E27FC236}">
              <a16:creationId xmlns:a16="http://schemas.microsoft.com/office/drawing/2014/main" id="{B2849F99-782D-4E82-8114-30DD72F0EE1F}"/>
            </a:ext>
          </a:extLst>
        </xdr:cNvPr>
        <xdr:cNvGrpSpPr>
          <a:grpSpLocks/>
        </xdr:cNvGrpSpPr>
      </xdr:nvGrpSpPr>
      <xdr:grpSpPr bwMode="auto">
        <a:xfrm>
          <a:off x="0" y="0"/>
          <a:ext cx="6010475" cy="1279559"/>
          <a:chOff x="57150" y="47625"/>
          <a:chExt cx="6316603" cy="1200288"/>
        </a:xfrm>
      </xdr:grpSpPr>
      <xdr:pic>
        <xdr:nvPicPr>
          <xdr:cNvPr id="22" name="1 Imagen" descr="ESCUDO-transp-lema-blanco.png">
            <a:extLst>
              <a:ext uri="{FF2B5EF4-FFF2-40B4-BE49-F238E27FC236}">
                <a16:creationId xmlns:a16="http://schemas.microsoft.com/office/drawing/2014/main" id="{97FD3BB0-8A1D-47DB-B14B-47E231C518E5}"/>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3" name="3 CuadroTexto">
            <a:extLst>
              <a:ext uri="{FF2B5EF4-FFF2-40B4-BE49-F238E27FC236}">
                <a16:creationId xmlns:a16="http://schemas.microsoft.com/office/drawing/2014/main" id="{E610885A-CA34-42E5-B873-69594C40278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4" name="1 Grupo">
          <a:extLst>
            <a:ext uri="{FF2B5EF4-FFF2-40B4-BE49-F238E27FC236}">
              <a16:creationId xmlns:a16="http://schemas.microsoft.com/office/drawing/2014/main" id="{F18EACAA-CE42-4040-8493-DA46C7F3F21D}"/>
            </a:ext>
          </a:extLst>
        </xdr:cNvPr>
        <xdr:cNvGrpSpPr>
          <a:grpSpLocks/>
        </xdr:cNvGrpSpPr>
      </xdr:nvGrpSpPr>
      <xdr:grpSpPr bwMode="auto">
        <a:xfrm>
          <a:off x="0" y="0"/>
          <a:ext cx="6010475" cy="1279559"/>
          <a:chOff x="57150" y="47625"/>
          <a:chExt cx="6316603" cy="1200288"/>
        </a:xfrm>
      </xdr:grpSpPr>
      <xdr:pic>
        <xdr:nvPicPr>
          <xdr:cNvPr id="25" name="1 Imagen" descr="ESCUDO-transp-lema-blanco.png">
            <a:extLst>
              <a:ext uri="{FF2B5EF4-FFF2-40B4-BE49-F238E27FC236}">
                <a16:creationId xmlns:a16="http://schemas.microsoft.com/office/drawing/2014/main" id="{E1794577-EFAE-4C8A-941A-726C326AEDCE}"/>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6" name="3 CuadroTexto">
            <a:extLst>
              <a:ext uri="{FF2B5EF4-FFF2-40B4-BE49-F238E27FC236}">
                <a16:creationId xmlns:a16="http://schemas.microsoft.com/office/drawing/2014/main" id="{22235BA7-CE38-407A-A315-A4554890964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7" name="1 Grupo">
          <a:extLst>
            <a:ext uri="{FF2B5EF4-FFF2-40B4-BE49-F238E27FC236}">
              <a16:creationId xmlns:a16="http://schemas.microsoft.com/office/drawing/2014/main" id="{5E179E13-BA53-46FD-9D21-A64977E0CEEE}"/>
            </a:ext>
          </a:extLst>
        </xdr:cNvPr>
        <xdr:cNvGrpSpPr>
          <a:grpSpLocks/>
        </xdr:cNvGrpSpPr>
      </xdr:nvGrpSpPr>
      <xdr:grpSpPr bwMode="auto">
        <a:xfrm>
          <a:off x="0" y="0"/>
          <a:ext cx="6010475" cy="1279559"/>
          <a:chOff x="57150" y="47625"/>
          <a:chExt cx="6316603" cy="1200288"/>
        </a:xfrm>
      </xdr:grpSpPr>
      <xdr:pic>
        <xdr:nvPicPr>
          <xdr:cNvPr id="28" name="1 Imagen" descr="ESCUDO-transp-lema-blanco.png">
            <a:extLst>
              <a:ext uri="{FF2B5EF4-FFF2-40B4-BE49-F238E27FC236}">
                <a16:creationId xmlns:a16="http://schemas.microsoft.com/office/drawing/2014/main" id="{A0E8CCF0-DD3D-49C2-B650-0AF3A70CA314}"/>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9" name="3 CuadroTexto">
            <a:extLst>
              <a:ext uri="{FF2B5EF4-FFF2-40B4-BE49-F238E27FC236}">
                <a16:creationId xmlns:a16="http://schemas.microsoft.com/office/drawing/2014/main" id="{E22C7133-67B2-4421-A7A2-731F9B6ABDC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329565</xdr:colOff>
      <xdr:row>157</xdr:row>
      <xdr:rowOff>15240</xdr:rowOff>
    </xdr:from>
    <xdr:to>
      <xdr:col>3</xdr:col>
      <xdr:colOff>6872</xdr:colOff>
      <xdr:row>159</xdr:row>
      <xdr:rowOff>22892</xdr:rowOff>
    </xdr:to>
    <xdr:pic>
      <xdr:nvPicPr>
        <xdr:cNvPr id="30" name="Imagen 29">
          <a:extLst>
            <a:ext uri="{FF2B5EF4-FFF2-40B4-BE49-F238E27FC236}">
              <a16:creationId xmlns:a16="http://schemas.microsoft.com/office/drawing/2014/main" id="{F901CD1B-3A2A-490F-AEF0-2307E80448E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3025" y="42870120"/>
          <a:ext cx="20207" cy="6865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2916</xdr:colOff>
      <xdr:row>164</xdr:row>
      <xdr:rowOff>53340</xdr:rowOff>
    </xdr:from>
    <xdr:to>
      <xdr:col>3</xdr:col>
      <xdr:colOff>4939</xdr:colOff>
      <xdr:row>165</xdr:row>
      <xdr:rowOff>160045</xdr:rowOff>
    </xdr:to>
    <xdr:pic>
      <xdr:nvPicPr>
        <xdr:cNvPr id="31" name="Imagen 30">
          <a:extLst>
            <a:ext uri="{FF2B5EF4-FFF2-40B4-BE49-F238E27FC236}">
              <a16:creationId xmlns:a16="http://schemas.microsoft.com/office/drawing/2014/main" id="{8797501B-E80C-47FC-B245-FB3377508BD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9276" y="52273200"/>
          <a:ext cx="2023" cy="44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2" name="1 Grupo">
          <a:extLst>
            <a:ext uri="{FF2B5EF4-FFF2-40B4-BE49-F238E27FC236}">
              <a16:creationId xmlns:a16="http://schemas.microsoft.com/office/drawing/2014/main" id="{B50AA66E-637A-40C2-97BD-A3B359A2072C}"/>
            </a:ext>
          </a:extLst>
        </xdr:cNvPr>
        <xdr:cNvGrpSpPr>
          <a:grpSpLocks/>
        </xdr:cNvGrpSpPr>
      </xdr:nvGrpSpPr>
      <xdr:grpSpPr bwMode="auto">
        <a:xfrm>
          <a:off x="0" y="0"/>
          <a:ext cx="6010475" cy="1279559"/>
          <a:chOff x="57150" y="47625"/>
          <a:chExt cx="6316603" cy="1200288"/>
        </a:xfrm>
      </xdr:grpSpPr>
      <xdr:pic>
        <xdr:nvPicPr>
          <xdr:cNvPr id="33" name="1 Imagen" descr="ESCUDO-transp-lema-blanco.png">
            <a:extLst>
              <a:ext uri="{FF2B5EF4-FFF2-40B4-BE49-F238E27FC236}">
                <a16:creationId xmlns:a16="http://schemas.microsoft.com/office/drawing/2014/main" id="{063E280B-3336-E439-04BC-2AB57AD26F3F}"/>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4" name="3 CuadroTexto">
            <a:extLst>
              <a:ext uri="{FF2B5EF4-FFF2-40B4-BE49-F238E27FC236}">
                <a16:creationId xmlns:a16="http://schemas.microsoft.com/office/drawing/2014/main" id="{7B7DB890-8504-41C3-B841-D047D179EFF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5" name="1 Grupo">
          <a:extLst>
            <a:ext uri="{FF2B5EF4-FFF2-40B4-BE49-F238E27FC236}">
              <a16:creationId xmlns:a16="http://schemas.microsoft.com/office/drawing/2014/main" id="{4F372B29-78F3-44E2-A867-DE68F1FEE822}"/>
            </a:ext>
          </a:extLst>
        </xdr:cNvPr>
        <xdr:cNvGrpSpPr>
          <a:grpSpLocks/>
        </xdr:cNvGrpSpPr>
      </xdr:nvGrpSpPr>
      <xdr:grpSpPr bwMode="auto">
        <a:xfrm>
          <a:off x="0" y="0"/>
          <a:ext cx="6010475" cy="1279559"/>
          <a:chOff x="57150" y="47625"/>
          <a:chExt cx="6316603" cy="1200288"/>
        </a:xfrm>
      </xdr:grpSpPr>
      <xdr:pic>
        <xdr:nvPicPr>
          <xdr:cNvPr id="36" name="1 Imagen" descr="ESCUDO-transp-lema-blanco.png">
            <a:extLst>
              <a:ext uri="{FF2B5EF4-FFF2-40B4-BE49-F238E27FC236}">
                <a16:creationId xmlns:a16="http://schemas.microsoft.com/office/drawing/2014/main" id="{E13AA825-2EC4-D967-0C9D-5381F4366198}"/>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7" name="3 CuadroTexto">
            <a:extLst>
              <a:ext uri="{FF2B5EF4-FFF2-40B4-BE49-F238E27FC236}">
                <a16:creationId xmlns:a16="http://schemas.microsoft.com/office/drawing/2014/main" id="{6A6D5CC6-9806-9003-5588-51D2ACA57B4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8" name="1 Grupo">
          <a:extLst>
            <a:ext uri="{FF2B5EF4-FFF2-40B4-BE49-F238E27FC236}">
              <a16:creationId xmlns:a16="http://schemas.microsoft.com/office/drawing/2014/main" id="{9DDC6028-E948-4ABF-96BE-25CD7813F57C}"/>
            </a:ext>
          </a:extLst>
        </xdr:cNvPr>
        <xdr:cNvGrpSpPr>
          <a:grpSpLocks/>
        </xdr:cNvGrpSpPr>
      </xdr:nvGrpSpPr>
      <xdr:grpSpPr bwMode="auto">
        <a:xfrm>
          <a:off x="0" y="0"/>
          <a:ext cx="6010475" cy="1279559"/>
          <a:chOff x="57150" y="47625"/>
          <a:chExt cx="6316603" cy="1200288"/>
        </a:xfrm>
      </xdr:grpSpPr>
      <xdr:pic>
        <xdr:nvPicPr>
          <xdr:cNvPr id="39" name="1 Imagen" descr="ESCUDO-transp-lema-blanco.png">
            <a:extLst>
              <a:ext uri="{FF2B5EF4-FFF2-40B4-BE49-F238E27FC236}">
                <a16:creationId xmlns:a16="http://schemas.microsoft.com/office/drawing/2014/main" id="{CEB2D107-9B72-FBC6-0CC0-964BDF626182}"/>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0" name="3 CuadroTexto">
            <a:extLst>
              <a:ext uri="{FF2B5EF4-FFF2-40B4-BE49-F238E27FC236}">
                <a16:creationId xmlns:a16="http://schemas.microsoft.com/office/drawing/2014/main" id="{4E5280C9-4B9C-6090-9496-73974DC90D7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1" name="1 Grupo">
          <a:extLst>
            <a:ext uri="{FF2B5EF4-FFF2-40B4-BE49-F238E27FC236}">
              <a16:creationId xmlns:a16="http://schemas.microsoft.com/office/drawing/2014/main" id="{557B09CF-3A9B-423D-8BAE-BE9FF883AD31}"/>
            </a:ext>
          </a:extLst>
        </xdr:cNvPr>
        <xdr:cNvGrpSpPr>
          <a:grpSpLocks/>
        </xdr:cNvGrpSpPr>
      </xdr:nvGrpSpPr>
      <xdr:grpSpPr bwMode="auto">
        <a:xfrm>
          <a:off x="0" y="0"/>
          <a:ext cx="6010475" cy="1279559"/>
          <a:chOff x="57150" y="47625"/>
          <a:chExt cx="6316603" cy="1200288"/>
        </a:xfrm>
      </xdr:grpSpPr>
      <xdr:pic>
        <xdr:nvPicPr>
          <xdr:cNvPr id="42" name="1 Imagen" descr="ESCUDO-transp-lema-blanco.png">
            <a:extLst>
              <a:ext uri="{FF2B5EF4-FFF2-40B4-BE49-F238E27FC236}">
                <a16:creationId xmlns:a16="http://schemas.microsoft.com/office/drawing/2014/main" id="{2C6E5103-50EA-A7A0-80CD-BADF47633E6C}"/>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3" name="3 CuadroTexto">
            <a:extLst>
              <a:ext uri="{FF2B5EF4-FFF2-40B4-BE49-F238E27FC236}">
                <a16:creationId xmlns:a16="http://schemas.microsoft.com/office/drawing/2014/main" id="{57B33150-756C-0F4F-5FA5-110DB499614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329565</xdr:colOff>
      <xdr:row>157</xdr:row>
      <xdr:rowOff>15240</xdr:rowOff>
    </xdr:from>
    <xdr:to>
      <xdr:col>3</xdr:col>
      <xdr:colOff>6872</xdr:colOff>
      <xdr:row>159</xdr:row>
      <xdr:rowOff>22892</xdr:rowOff>
    </xdr:to>
    <xdr:pic>
      <xdr:nvPicPr>
        <xdr:cNvPr id="44" name="Imagen 43">
          <a:extLst>
            <a:ext uri="{FF2B5EF4-FFF2-40B4-BE49-F238E27FC236}">
              <a16:creationId xmlns:a16="http://schemas.microsoft.com/office/drawing/2014/main" id="{EEE5EEB7-FB58-425D-AC85-86E808D8960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3025" y="42870120"/>
          <a:ext cx="20207" cy="6865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2916</xdr:colOff>
      <xdr:row>164</xdr:row>
      <xdr:rowOff>53340</xdr:rowOff>
    </xdr:from>
    <xdr:to>
      <xdr:col>3</xdr:col>
      <xdr:colOff>4939</xdr:colOff>
      <xdr:row>165</xdr:row>
      <xdr:rowOff>160045</xdr:rowOff>
    </xdr:to>
    <xdr:pic>
      <xdr:nvPicPr>
        <xdr:cNvPr id="45" name="Imagen 44">
          <a:extLst>
            <a:ext uri="{FF2B5EF4-FFF2-40B4-BE49-F238E27FC236}">
              <a16:creationId xmlns:a16="http://schemas.microsoft.com/office/drawing/2014/main" id="{17F678D5-598C-48F8-9E18-532F979492F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9276" y="52273200"/>
          <a:ext cx="2023" cy="44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6" name="1 Grupo">
          <a:extLst>
            <a:ext uri="{FF2B5EF4-FFF2-40B4-BE49-F238E27FC236}">
              <a16:creationId xmlns:a16="http://schemas.microsoft.com/office/drawing/2014/main" id="{9C7AA589-7F02-412A-9B87-84F26155E852}"/>
            </a:ext>
          </a:extLst>
        </xdr:cNvPr>
        <xdr:cNvGrpSpPr>
          <a:grpSpLocks/>
        </xdr:cNvGrpSpPr>
      </xdr:nvGrpSpPr>
      <xdr:grpSpPr bwMode="auto">
        <a:xfrm>
          <a:off x="0" y="0"/>
          <a:ext cx="6010475" cy="1279559"/>
          <a:chOff x="57150" y="47625"/>
          <a:chExt cx="6316603" cy="1200288"/>
        </a:xfrm>
      </xdr:grpSpPr>
      <xdr:pic>
        <xdr:nvPicPr>
          <xdr:cNvPr id="47" name="1 Imagen" descr="ESCUDO-transp-lema-blanco.png">
            <a:extLst>
              <a:ext uri="{FF2B5EF4-FFF2-40B4-BE49-F238E27FC236}">
                <a16:creationId xmlns:a16="http://schemas.microsoft.com/office/drawing/2014/main" id="{650EADA2-AD8E-680A-1437-21C0A27E9A2F}"/>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8" name="3 CuadroTexto">
            <a:extLst>
              <a:ext uri="{FF2B5EF4-FFF2-40B4-BE49-F238E27FC236}">
                <a16:creationId xmlns:a16="http://schemas.microsoft.com/office/drawing/2014/main" id="{42FC67E2-6941-1567-4932-FF4DC74C72C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9" name="1 Grupo">
          <a:extLst>
            <a:ext uri="{FF2B5EF4-FFF2-40B4-BE49-F238E27FC236}">
              <a16:creationId xmlns:a16="http://schemas.microsoft.com/office/drawing/2014/main" id="{3BE14666-A47C-4F88-B3A1-B08D7944A4DB}"/>
            </a:ext>
          </a:extLst>
        </xdr:cNvPr>
        <xdr:cNvGrpSpPr>
          <a:grpSpLocks/>
        </xdr:cNvGrpSpPr>
      </xdr:nvGrpSpPr>
      <xdr:grpSpPr bwMode="auto">
        <a:xfrm>
          <a:off x="0" y="0"/>
          <a:ext cx="6010475" cy="1279559"/>
          <a:chOff x="57150" y="47625"/>
          <a:chExt cx="6316603" cy="1200288"/>
        </a:xfrm>
      </xdr:grpSpPr>
      <xdr:pic>
        <xdr:nvPicPr>
          <xdr:cNvPr id="50" name="1 Imagen" descr="ESCUDO-transp-lema-blanco.png">
            <a:extLst>
              <a:ext uri="{FF2B5EF4-FFF2-40B4-BE49-F238E27FC236}">
                <a16:creationId xmlns:a16="http://schemas.microsoft.com/office/drawing/2014/main" id="{D7D2C098-1023-FC59-4DDE-8B742FB1AEE9}"/>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1" name="3 CuadroTexto">
            <a:extLst>
              <a:ext uri="{FF2B5EF4-FFF2-40B4-BE49-F238E27FC236}">
                <a16:creationId xmlns:a16="http://schemas.microsoft.com/office/drawing/2014/main" id="{2FE4B6FB-B2E3-B6BE-D492-1CDCB20A6AC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52" name="1 Grupo">
          <a:extLst>
            <a:ext uri="{FF2B5EF4-FFF2-40B4-BE49-F238E27FC236}">
              <a16:creationId xmlns:a16="http://schemas.microsoft.com/office/drawing/2014/main" id="{57640E47-4D7F-48AE-9D61-6C565398AEF2}"/>
            </a:ext>
          </a:extLst>
        </xdr:cNvPr>
        <xdr:cNvGrpSpPr>
          <a:grpSpLocks/>
        </xdr:cNvGrpSpPr>
      </xdr:nvGrpSpPr>
      <xdr:grpSpPr bwMode="auto">
        <a:xfrm>
          <a:off x="0" y="0"/>
          <a:ext cx="6010475" cy="1279559"/>
          <a:chOff x="57150" y="47625"/>
          <a:chExt cx="6316603" cy="1200288"/>
        </a:xfrm>
      </xdr:grpSpPr>
      <xdr:pic>
        <xdr:nvPicPr>
          <xdr:cNvPr id="53" name="1 Imagen" descr="ESCUDO-transp-lema-blanco.png">
            <a:extLst>
              <a:ext uri="{FF2B5EF4-FFF2-40B4-BE49-F238E27FC236}">
                <a16:creationId xmlns:a16="http://schemas.microsoft.com/office/drawing/2014/main" id="{95473D21-47CE-B027-3A9A-D5F075B89D2E}"/>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4" name="3 CuadroTexto">
            <a:extLst>
              <a:ext uri="{FF2B5EF4-FFF2-40B4-BE49-F238E27FC236}">
                <a16:creationId xmlns:a16="http://schemas.microsoft.com/office/drawing/2014/main" id="{19071543-669E-224C-D131-0F188A5B2EE7}"/>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55" name="1 Grupo">
          <a:extLst>
            <a:ext uri="{FF2B5EF4-FFF2-40B4-BE49-F238E27FC236}">
              <a16:creationId xmlns:a16="http://schemas.microsoft.com/office/drawing/2014/main" id="{AE6C5326-1186-4EFA-9670-71611C2599BF}"/>
            </a:ext>
          </a:extLst>
        </xdr:cNvPr>
        <xdr:cNvGrpSpPr>
          <a:grpSpLocks/>
        </xdr:cNvGrpSpPr>
      </xdr:nvGrpSpPr>
      <xdr:grpSpPr bwMode="auto">
        <a:xfrm>
          <a:off x="0" y="0"/>
          <a:ext cx="6010475" cy="1279559"/>
          <a:chOff x="57150" y="47625"/>
          <a:chExt cx="6316603" cy="1200288"/>
        </a:xfrm>
      </xdr:grpSpPr>
      <xdr:pic>
        <xdr:nvPicPr>
          <xdr:cNvPr id="56" name="1 Imagen" descr="ESCUDO-transp-lema-blanco.png">
            <a:extLst>
              <a:ext uri="{FF2B5EF4-FFF2-40B4-BE49-F238E27FC236}">
                <a16:creationId xmlns:a16="http://schemas.microsoft.com/office/drawing/2014/main" id="{4E95FF56-D6E9-90C0-8912-AB6A9CB96458}"/>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7" name="3 CuadroTexto">
            <a:extLst>
              <a:ext uri="{FF2B5EF4-FFF2-40B4-BE49-F238E27FC236}">
                <a16:creationId xmlns:a16="http://schemas.microsoft.com/office/drawing/2014/main" id="{9AEFE5CB-52A0-718A-AF56-74353E520D5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F00-000003000000}"/>
            </a:ext>
          </a:extLst>
        </xdr:cNvPr>
        <xdr:cNvGrpSpPr>
          <a:grpSpLocks/>
        </xdr:cNvGrpSpPr>
      </xdr:nvGrpSpPr>
      <xdr:grpSpPr bwMode="auto">
        <a:xfrm>
          <a:off x="0" y="0"/>
          <a:ext cx="6375924" cy="1279559"/>
          <a:chOff x="57150" y="47625"/>
          <a:chExt cx="6316603" cy="1200288"/>
        </a:xfrm>
      </xdr:grpSpPr>
      <xdr:pic>
        <xdr:nvPicPr>
          <xdr:cNvPr id="4" name="1 Imagen" descr="ESCUDO-transp-lema-blanco.png">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A2327E91-1BD2-48CB-948A-611A1A2557D4}"/>
            </a:ext>
          </a:extLst>
        </xdr:cNvPr>
        <xdr:cNvGrpSpPr>
          <a:grpSpLocks/>
        </xdr:cNvGrpSpPr>
      </xdr:nvGrpSpPr>
      <xdr:grpSpPr bwMode="auto">
        <a:xfrm>
          <a:off x="0" y="0"/>
          <a:ext cx="6375924" cy="1279559"/>
          <a:chOff x="57150" y="47625"/>
          <a:chExt cx="6316603" cy="1200288"/>
        </a:xfrm>
      </xdr:grpSpPr>
      <xdr:pic>
        <xdr:nvPicPr>
          <xdr:cNvPr id="7" name="1 Imagen" descr="ESCUDO-transp-lema-blanco.png">
            <a:extLst>
              <a:ext uri="{FF2B5EF4-FFF2-40B4-BE49-F238E27FC236}">
                <a16:creationId xmlns:a16="http://schemas.microsoft.com/office/drawing/2014/main" id="{EB1DBD94-8B6D-418A-BC42-06BCB9004DEA}"/>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AD7990DF-5991-490B-B75C-C0DCF374394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ACF32462-8B71-4B7B-AE5E-1A082E4CD6B9}"/>
            </a:ext>
          </a:extLst>
        </xdr:cNvPr>
        <xdr:cNvGrpSpPr>
          <a:grpSpLocks/>
        </xdr:cNvGrpSpPr>
      </xdr:nvGrpSpPr>
      <xdr:grpSpPr bwMode="auto">
        <a:xfrm>
          <a:off x="0" y="0"/>
          <a:ext cx="6375924" cy="1279559"/>
          <a:chOff x="57150" y="47625"/>
          <a:chExt cx="6316603" cy="1200288"/>
        </a:xfrm>
      </xdr:grpSpPr>
      <xdr:pic>
        <xdr:nvPicPr>
          <xdr:cNvPr id="10" name="1 Imagen" descr="ESCUDO-transp-lema-blanco.png">
            <a:extLst>
              <a:ext uri="{FF2B5EF4-FFF2-40B4-BE49-F238E27FC236}">
                <a16:creationId xmlns:a16="http://schemas.microsoft.com/office/drawing/2014/main" id="{66EDC22A-2F47-486D-881E-9299556D3EF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B5E1B1DC-2B16-4468-87C6-41D764AE366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BCC9893E-4330-49D5-917F-D5CEC842255F}"/>
            </a:ext>
          </a:extLst>
        </xdr:cNvPr>
        <xdr:cNvGrpSpPr>
          <a:grpSpLocks/>
        </xdr:cNvGrpSpPr>
      </xdr:nvGrpSpPr>
      <xdr:grpSpPr bwMode="auto">
        <a:xfrm>
          <a:off x="0" y="0"/>
          <a:ext cx="6375924" cy="1279559"/>
          <a:chOff x="57150" y="47625"/>
          <a:chExt cx="6316603" cy="1200288"/>
        </a:xfrm>
      </xdr:grpSpPr>
      <xdr:pic>
        <xdr:nvPicPr>
          <xdr:cNvPr id="13" name="1 Imagen" descr="ESCUDO-transp-lema-blanco.png">
            <a:extLst>
              <a:ext uri="{FF2B5EF4-FFF2-40B4-BE49-F238E27FC236}">
                <a16:creationId xmlns:a16="http://schemas.microsoft.com/office/drawing/2014/main" id="{0CA9F06C-0147-46E7-9D7C-06DBE4091D32}"/>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FFC18882-BBDA-40BC-B335-2AEB03B8923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5" name="1 Grupo">
          <a:extLst>
            <a:ext uri="{FF2B5EF4-FFF2-40B4-BE49-F238E27FC236}">
              <a16:creationId xmlns:a16="http://schemas.microsoft.com/office/drawing/2014/main" id="{F8A5E518-144D-47A9-AA39-56573B4BA6DC}"/>
            </a:ext>
          </a:extLst>
        </xdr:cNvPr>
        <xdr:cNvGrpSpPr>
          <a:grpSpLocks/>
        </xdr:cNvGrpSpPr>
      </xdr:nvGrpSpPr>
      <xdr:grpSpPr bwMode="auto">
        <a:xfrm>
          <a:off x="0" y="0"/>
          <a:ext cx="6375924" cy="1279559"/>
          <a:chOff x="57150" y="47625"/>
          <a:chExt cx="6316603" cy="1200288"/>
        </a:xfrm>
      </xdr:grpSpPr>
      <xdr:pic>
        <xdr:nvPicPr>
          <xdr:cNvPr id="16" name="1 Imagen" descr="ESCUDO-transp-lema-blanco.png">
            <a:extLst>
              <a:ext uri="{FF2B5EF4-FFF2-40B4-BE49-F238E27FC236}">
                <a16:creationId xmlns:a16="http://schemas.microsoft.com/office/drawing/2014/main" id="{0B597294-DF5C-4692-AE6A-2CCFE7DEC1DD}"/>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7" name="3 CuadroTexto">
            <a:extLst>
              <a:ext uri="{FF2B5EF4-FFF2-40B4-BE49-F238E27FC236}">
                <a16:creationId xmlns:a16="http://schemas.microsoft.com/office/drawing/2014/main" id="{4F6354E1-D076-491A-8B92-D163C729AAED}"/>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533401</xdr:colOff>
      <xdr:row>60</xdr:row>
      <xdr:rowOff>106680</xdr:rowOff>
    </xdr:from>
    <xdr:to>
      <xdr:col>2</xdr:col>
      <xdr:colOff>2019430</xdr:colOff>
      <xdr:row>62</xdr:row>
      <xdr:rowOff>22884</xdr:rowOff>
    </xdr:to>
    <xdr:pic>
      <xdr:nvPicPr>
        <xdr:cNvPr id="18" name="Imagen 17">
          <a:extLst>
            <a:ext uri="{FF2B5EF4-FFF2-40B4-BE49-F238E27FC236}">
              <a16:creationId xmlns:a16="http://schemas.microsoft.com/office/drawing/2014/main" id="{80A117CF-2801-4B05-AE2F-C57F474223D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1" y="19185255"/>
          <a:ext cx="129" cy="5707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19" name="1 Grupo">
          <a:extLst>
            <a:ext uri="{FF2B5EF4-FFF2-40B4-BE49-F238E27FC236}">
              <a16:creationId xmlns:a16="http://schemas.microsoft.com/office/drawing/2014/main" id="{ADF3F22D-AB49-4B8B-994E-40FFF5CB71B0}"/>
            </a:ext>
          </a:extLst>
        </xdr:cNvPr>
        <xdr:cNvGrpSpPr>
          <a:grpSpLocks/>
        </xdr:cNvGrpSpPr>
      </xdr:nvGrpSpPr>
      <xdr:grpSpPr bwMode="auto">
        <a:xfrm>
          <a:off x="0" y="0"/>
          <a:ext cx="6375924" cy="1279559"/>
          <a:chOff x="57150" y="47625"/>
          <a:chExt cx="6316603" cy="1200288"/>
        </a:xfrm>
      </xdr:grpSpPr>
      <xdr:pic>
        <xdr:nvPicPr>
          <xdr:cNvPr id="20" name="1 Imagen" descr="ESCUDO-transp-lema-blanco.png">
            <a:extLst>
              <a:ext uri="{FF2B5EF4-FFF2-40B4-BE49-F238E27FC236}">
                <a16:creationId xmlns:a16="http://schemas.microsoft.com/office/drawing/2014/main" id="{F5988ED8-9D22-4EDE-881F-B4CC0F608662}"/>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1" name="3 CuadroTexto">
            <a:extLst>
              <a:ext uri="{FF2B5EF4-FFF2-40B4-BE49-F238E27FC236}">
                <a16:creationId xmlns:a16="http://schemas.microsoft.com/office/drawing/2014/main" id="{D2422D0E-1608-4285-8EE2-89E08C8F0AC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2" name="1 Grupo">
          <a:extLst>
            <a:ext uri="{FF2B5EF4-FFF2-40B4-BE49-F238E27FC236}">
              <a16:creationId xmlns:a16="http://schemas.microsoft.com/office/drawing/2014/main" id="{5CA1F162-08DE-4D21-8615-6CC556BE07C3}"/>
            </a:ext>
          </a:extLst>
        </xdr:cNvPr>
        <xdr:cNvGrpSpPr>
          <a:grpSpLocks/>
        </xdr:cNvGrpSpPr>
      </xdr:nvGrpSpPr>
      <xdr:grpSpPr bwMode="auto">
        <a:xfrm>
          <a:off x="0" y="0"/>
          <a:ext cx="6375924" cy="1279559"/>
          <a:chOff x="57150" y="47625"/>
          <a:chExt cx="6316603" cy="1200288"/>
        </a:xfrm>
      </xdr:grpSpPr>
      <xdr:pic>
        <xdr:nvPicPr>
          <xdr:cNvPr id="23" name="1 Imagen" descr="ESCUDO-transp-lema-blanco.png">
            <a:extLst>
              <a:ext uri="{FF2B5EF4-FFF2-40B4-BE49-F238E27FC236}">
                <a16:creationId xmlns:a16="http://schemas.microsoft.com/office/drawing/2014/main" id="{20E6F1E4-68B2-4AEA-A4E2-9FD25C0ED9A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4" name="3 CuadroTexto">
            <a:extLst>
              <a:ext uri="{FF2B5EF4-FFF2-40B4-BE49-F238E27FC236}">
                <a16:creationId xmlns:a16="http://schemas.microsoft.com/office/drawing/2014/main" id="{86AF80B3-2F80-4A0E-A36D-49A9B32C552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5" name="1 Grupo">
          <a:extLst>
            <a:ext uri="{FF2B5EF4-FFF2-40B4-BE49-F238E27FC236}">
              <a16:creationId xmlns:a16="http://schemas.microsoft.com/office/drawing/2014/main" id="{32ECF275-F888-4B8F-9ADC-5D62D61F378C}"/>
            </a:ext>
          </a:extLst>
        </xdr:cNvPr>
        <xdr:cNvGrpSpPr>
          <a:grpSpLocks/>
        </xdr:cNvGrpSpPr>
      </xdr:nvGrpSpPr>
      <xdr:grpSpPr bwMode="auto">
        <a:xfrm>
          <a:off x="0" y="0"/>
          <a:ext cx="6375924" cy="1279559"/>
          <a:chOff x="57150" y="47625"/>
          <a:chExt cx="6316603" cy="1200288"/>
        </a:xfrm>
      </xdr:grpSpPr>
      <xdr:pic>
        <xdr:nvPicPr>
          <xdr:cNvPr id="26" name="1 Imagen" descr="ESCUDO-transp-lema-blanco.png">
            <a:extLst>
              <a:ext uri="{FF2B5EF4-FFF2-40B4-BE49-F238E27FC236}">
                <a16:creationId xmlns:a16="http://schemas.microsoft.com/office/drawing/2014/main" id="{0E82105B-DA35-4F19-923E-8420DDACD939}"/>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7" name="3 CuadroTexto">
            <a:extLst>
              <a:ext uri="{FF2B5EF4-FFF2-40B4-BE49-F238E27FC236}">
                <a16:creationId xmlns:a16="http://schemas.microsoft.com/office/drawing/2014/main" id="{9D79400A-A845-43F6-AF55-C88DC69402F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8" name="1 Grupo">
          <a:extLst>
            <a:ext uri="{FF2B5EF4-FFF2-40B4-BE49-F238E27FC236}">
              <a16:creationId xmlns:a16="http://schemas.microsoft.com/office/drawing/2014/main" id="{89251A71-50D0-413A-900E-659B00DC5226}"/>
            </a:ext>
          </a:extLst>
        </xdr:cNvPr>
        <xdr:cNvGrpSpPr>
          <a:grpSpLocks/>
        </xdr:cNvGrpSpPr>
      </xdr:nvGrpSpPr>
      <xdr:grpSpPr bwMode="auto">
        <a:xfrm>
          <a:off x="0" y="0"/>
          <a:ext cx="6375924" cy="1279559"/>
          <a:chOff x="57150" y="47625"/>
          <a:chExt cx="6316603" cy="1200288"/>
        </a:xfrm>
      </xdr:grpSpPr>
      <xdr:pic>
        <xdr:nvPicPr>
          <xdr:cNvPr id="29" name="1 Imagen" descr="ESCUDO-transp-lema-blanco.png">
            <a:extLst>
              <a:ext uri="{FF2B5EF4-FFF2-40B4-BE49-F238E27FC236}">
                <a16:creationId xmlns:a16="http://schemas.microsoft.com/office/drawing/2014/main" id="{B2C0D06D-D809-4829-A950-9F391022FDE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0" name="3 CuadroTexto">
            <a:extLst>
              <a:ext uri="{FF2B5EF4-FFF2-40B4-BE49-F238E27FC236}">
                <a16:creationId xmlns:a16="http://schemas.microsoft.com/office/drawing/2014/main" id="{C9C06302-898B-4159-8F22-B10FD0B568C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1" name="1 Grupo">
          <a:extLst>
            <a:ext uri="{FF2B5EF4-FFF2-40B4-BE49-F238E27FC236}">
              <a16:creationId xmlns:a16="http://schemas.microsoft.com/office/drawing/2014/main" id="{9B8FA14A-2859-4A08-9BE2-DEEEF061541F}"/>
            </a:ext>
          </a:extLst>
        </xdr:cNvPr>
        <xdr:cNvGrpSpPr>
          <a:grpSpLocks/>
        </xdr:cNvGrpSpPr>
      </xdr:nvGrpSpPr>
      <xdr:grpSpPr bwMode="auto">
        <a:xfrm>
          <a:off x="0" y="0"/>
          <a:ext cx="6375924" cy="1279559"/>
          <a:chOff x="57150" y="47625"/>
          <a:chExt cx="6316603" cy="1200288"/>
        </a:xfrm>
      </xdr:grpSpPr>
      <xdr:pic>
        <xdr:nvPicPr>
          <xdr:cNvPr id="32" name="1 Imagen" descr="ESCUDO-transp-lema-blanco.png">
            <a:extLst>
              <a:ext uri="{FF2B5EF4-FFF2-40B4-BE49-F238E27FC236}">
                <a16:creationId xmlns:a16="http://schemas.microsoft.com/office/drawing/2014/main" id="{D1EC9675-5A0E-4C89-B6FC-87AF8DFF560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3" name="3 CuadroTexto">
            <a:extLst>
              <a:ext uri="{FF2B5EF4-FFF2-40B4-BE49-F238E27FC236}">
                <a16:creationId xmlns:a16="http://schemas.microsoft.com/office/drawing/2014/main" id="{31B97C8B-E151-4E00-A0FD-2854629147F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533401</xdr:colOff>
      <xdr:row>60</xdr:row>
      <xdr:rowOff>106680</xdr:rowOff>
    </xdr:from>
    <xdr:to>
      <xdr:col>2</xdr:col>
      <xdr:colOff>2019430</xdr:colOff>
      <xdr:row>62</xdr:row>
      <xdr:rowOff>22884</xdr:rowOff>
    </xdr:to>
    <xdr:pic>
      <xdr:nvPicPr>
        <xdr:cNvPr id="34" name="Imagen 33">
          <a:extLst>
            <a:ext uri="{FF2B5EF4-FFF2-40B4-BE49-F238E27FC236}">
              <a16:creationId xmlns:a16="http://schemas.microsoft.com/office/drawing/2014/main" id="{CEEFDE7D-CFF4-4E53-9315-3CAF768320E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6361" y="17556480"/>
          <a:ext cx="129" cy="4640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5" name="1 Grupo">
          <a:extLst>
            <a:ext uri="{FF2B5EF4-FFF2-40B4-BE49-F238E27FC236}">
              <a16:creationId xmlns:a16="http://schemas.microsoft.com/office/drawing/2014/main" id="{F2B5F9E3-BCA2-47C5-BA6E-D69CB8726107}"/>
            </a:ext>
          </a:extLst>
        </xdr:cNvPr>
        <xdr:cNvGrpSpPr>
          <a:grpSpLocks/>
        </xdr:cNvGrpSpPr>
      </xdr:nvGrpSpPr>
      <xdr:grpSpPr bwMode="auto">
        <a:xfrm>
          <a:off x="0" y="0"/>
          <a:ext cx="6375924" cy="1279559"/>
          <a:chOff x="57150" y="47625"/>
          <a:chExt cx="6316603" cy="1200288"/>
        </a:xfrm>
      </xdr:grpSpPr>
      <xdr:pic>
        <xdr:nvPicPr>
          <xdr:cNvPr id="36" name="1 Imagen" descr="ESCUDO-transp-lema-blanco.png">
            <a:extLst>
              <a:ext uri="{FF2B5EF4-FFF2-40B4-BE49-F238E27FC236}">
                <a16:creationId xmlns:a16="http://schemas.microsoft.com/office/drawing/2014/main" id="{E6D692B8-F442-5113-FBB9-E9D0C2A90929}"/>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7" name="3 CuadroTexto">
            <a:extLst>
              <a:ext uri="{FF2B5EF4-FFF2-40B4-BE49-F238E27FC236}">
                <a16:creationId xmlns:a16="http://schemas.microsoft.com/office/drawing/2014/main" id="{3CD23AE9-2297-BCA3-3E7F-A8595FA38A9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8" name="1 Grupo">
          <a:extLst>
            <a:ext uri="{FF2B5EF4-FFF2-40B4-BE49-F238E27FC236}">
              <a16:creationId xmlns:a16="http://schemas.microsoft.com/office/drawing/2014/main" id="{37E803CE-26F9-4C17-BF99-0EDCDAE965E8}"/>
            </a:ext>
          </a:extLst>
        </xdr:cNvPr>
        <xdr:cNvGrpSpPr>
          <a:grpSpLocks/>
        </xdr:cNvGrpSpPr>
      </xdr:nvGrpSpPr>
      <xdr:grpSpPr bwMode="auto">
        <a:xfrm>
          <a:off x="0" y="0"/>
          <a:ext cx="6375924" cy="1279559"/>
          <a:chOff x="57150" y="47625"/>
          <a:chExt cx="6316603" cy="1200288"/>
        </a:xfrm>
      </xdr:grpSpPr>
      <xdr:pic>
        <xdr:nvPicPr>
          <xdr:cNvPr id="39" name="1 Imagen" descr="ESCUDO-transp-lema-blanco.png">
            <a:extLst>
              <a:ext uri="{FF2B5EF4-FFF2-40B4-BE49-F238E27FC236}">
                <a16:creationId xmlns:a16="http://schemas.microsoft.com/office/drawing/2014/main" id="{68EBBBD2-C144-711C-CD59-DCA35A8D4B9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0" name="3 CuadroTexto">
            <a:extLst>
              <a:ext uri="{FF2B5EF4-FFF2-40B4-BE49-F238E27FC236}">
                <a16:creationId xmlns:a16="http://schemas.microsoft.com/office/drawing/2014/main" id="{AC218961-EA57-C6BC-C398-C04FEF3B74A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1" name="1 Grupo">
          <a:extLst>
            <a:ext uri="{FF2B5EF4-FFF2-40B4-BE49-F238E27FC236}">
              <a16:creationId xmlns:a16="http://schemas.microsoft.com/office/drawing/2014/main" id="{AC282486-C9EF-466E-9AF2-1AEB00AA73F0}"/>
            </a:ext>
          </a:extLst>
        </xdr:cNvPr>
        <xdr:cNvGrpSpPr>
          <a:grpSpLocks/>
        </xdr:cNvGrpSpPr>
      </xdr:nvGrpSpPr>
      <xdr:grpSpPr bwMode="auto">
        <a:xfrm>
          <a:off x="0" y="0"/>
          <a:ext cx="6375924" cy="1279559"/>
          <a:chOff x="57150" y="47625"/>
          <a:chExt cx="6316603" cy="1200288"/>
        </a:xfrm>
      </xdr:grpSpPr>
      <xdr:pic>
        <xdr:nvPicPr>
          <xdr:cNvPr id="42" name="1 Imagen" descr="ESCUDO-transp-lema-blanco.png">
            <a:extLst>
              <a:ext uri="{FF2B5EF4-FFF2-40B4-BE49-F238E27FC236}">
                <a16:creationId xmlns:a16="http://schemas.microsoft.com/office/drawing/2014/main" id="{F6D83A0A-D0DC-620C-0099-E1D1E347F0B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3" name="3 CuadroTexto">
            <a:extLst>
              <a:ext uri="{FF2B5EF4-FFF2-40B4-BE49-F238E27FC236}">
                <a16:creationId xmlns:a16="http://schemas.microsoft.com/office/drawing/2014/main" id="{FF4C2DB6-108B-4DC4-BE68-F6B5D864916D}"/>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4" name="1 Grupo">
          <a:extLst>
            <a:ext uri="{FF2B5EF4-FFF2-40B4-BE49-F238E27FC236}">
              <a16:creationId xmlns:a16="http://schemas.microsoft.com/office/drawing/2014/main" id="{9C2AAAF1-B4B6-42DD-8D42-D17B654BD315}"/>
            </a:ext>
          </a:extLst>
        </xdr:cNvPr>
        <xdr:cNvGrpSpPr>
          <a:grpSpLocks/>
        </xdr:cNvGrpSpPr>
      </xdr:nvGrpSpPr>
      <xdr:grpSpPr bwMode="auto">
        <a:xfrm>
          <a:off x="0" y="0"/>
          <a:ext cx="6375924" cy="1279559"/>
          <a:chOff x="57150" y="47625"/>
          <a:chExt cx="6316603" cy="1200288"/>
        </a:xfrm>
      </xdr:grpSpPr>
      <xdr:pic>
        <xdr:nvPicPr>
          <xdr:cNvPr id="45" name="1 Imagen" descr="ESCUDO-transp-lema-blanco.png">
            <a:extLst>
              <a:ext uri="{FF2B5EF4-FFF2-40B4-BE49-F238E27FC236}">
                <a16:creationId xmlns:a16="http://schemas.microsoft.com/office/drawing/2014/main" id="{5EE2E998-1630-58A0-ED30-3D95A5D33BE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6" name="3 CuadroTexto">
            <a:extLst>
              <a:ext uri="{FF2B5EF4-FFF2-40B4-BE49-F238E27FC236}">
                <a16:creationId xmlns:a16="http://schemas.microsoft.com/office/drawing/2014/main" id="{1D501FAA-F0E4-853F-A059-8DF98CEA22B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7" name="1 Grupo">
          <a:extLst>
            <a:ext uri="{FF2B5EF4-FFF2-40B4-BE49-F238E27FC236}">
              <a16:creationId xmlns:a16="http://schemas.microsoft.com/office/drawing/2014/main" id="{A6A063A2-7801-48F5-A77F-A6EB1E61127A}"/>
            </a:ext>
          </a:extLst>
        </xdr:cNvPr>
        <xdr:cNvGrpSpPr>
          <a:grpSpLocks/>
        </xdr:cNvGrpSpPr>
      </xdr:nvGrpSpPr>
      <xdr:grpSpPr bwMode="auto">
        <a:xfrm>
          <a:off x="0" y="0"/>
          <a:ext cx="6375924" cy="1279559"/>
          <a:chOff x="57150" y="47625"/>
          <a:chExt cx="6316603" cy="1200288"/>
        </a:xfrm>
      </xdr:grpSpPr>
      <xdr:pic>
        <xdr:nvPicPr>
          <xdr:cNvPr id="48" name="1 Imagen" descr="ESCUDO-transp-lema-blanco.png">
            <a:extLst>
              <a:ext uri="{FF2B5EF4-FFF2-40B4-BE49-F238E27FC236}">
                <a16:creationId xmlns:a16="http://schemas.microsoft.com/office/drawing/2014/main" id="{A8BDA77C-E1F9-6FA0-F652-D1C4255668CA}"/>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9" name="3 CuadroTexto">
            <a:extLst>
              <a:ext uri="{FF2B5EF4-FFF2-40B4-BE49-F238E27FC236}">
                <a16:creationId xmlns:a16="http://schemas.microsoft.com/office/drawing/2014/main" id="{DCAF11A2-64D0-9EB9-3CA9-AB768B7D6FF7}"/>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533401</xdr:colOff>
      <xdr:row>60</xdr:row>
      <xdr:rowOff>106680</xdr:rowOff>
    </xdr:from>
    <xdr:to>
      <xdr:col>2</xdr:col>
      <xdr:colOff>2019430</xdr:colOff>
      <xdr:row>62</xdr:row>
      <xdr:rowOff>22884</xdr:rowOff>
    </xdr:to>
    <xdr:pic>
      <xdr:nvPicPr>
        <xdr:cNvPr id="50" name="Imagen 49">
          <a:extLst>
            <a:ext uri="{FF2B5EF4-FFF2-40B4-BE49-F238E27FC236}">
              <a16:creationId xmlns:a16="http://schemas.microsoft.com/office/drawing/2014/main" id="{68F46CF9-1DA5-4BFE-AB6B-C6DDAD98E2C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6361" y="17556480"/>
          <a:ext cx="129" cy="4640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1" name="1 Grupo">
          <a:extLst>
            <a:ext uri="{FF2B5EF4-FFF2-40B4-BE49-F238E27FC236}">
              <a16:creationId xmlns:a16="http://schemas.microsoft.com/office/drawing/2014/main" id="{08E91AE6-A2D3-47F1-8B7E-58637334AE10}"/>
            </a:ext>
          </a:extLst>
        </xdr:cNvPr>
        <xdr:cNvGrpSpPr>
          <a:grpSpLocks/>
        </xdr:cNvGrpSpPr>
      </xdr:nvGrpSpPr>
      <xdr:grpSpPr bwMode="auto">
        <a:xfrm>
          <a:off x="0" y="0"/>
          <a:ext cx="6375924" cy="1279559"/>
          <a:chOff x="57150" y="47625"/>
          <a:chExt cx="6316603" cy="1200288"/>
        </a:xfrm>
      </xdr:grpSpPr>
      <xdr:pic>
        <xdr:nvPicPr>
          <xdr:cNvPr id="52" name="1 Imagen" descr="ESCUDO-transp-lema-blanco.png">
            <a:extLst>
              <a:ext uri="{FF2B5EF4-FFF2-40B4-BE49-F238E27FC236}">
                <a16:creationId xmlns:a16="http://schemas.microsoft.com/office/drawing/2014/main" id="{B2303AD1-F6B0-2CDE-3D6C-5C406AD7570F}"/>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3" name="3 CuadroTexto">
            <a:extLst>
              <a:ext uri="{FF2B5EF4-FFF2-40B4-BE49-F238E27FC236}">
                <a16:creationId xmlns:a16="http://schemas.microsoft.com/office/drawing/2014/main" id="{FF58D176-AC85-623D-6E29-AD0961F225F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54" name="1 Grupo">
          <a:extLst>
            <a:ext uri="{FF2B5EF4-FFF2-40B4-BE49-F238E27FC236}">
              <a16:creationId xmlns:a16="http://schemas.microsoft.com/office/drawing/2014/main" id="{92DC2153-8618-4880-909C-9CBC7F09D154}"/>
            </a:ext>
          </a:extLst>
        </xdr:cNvPr>
        <xdr:cNvGrpSpPr>
          <a:grpSpLocks/>
        </xdr:cNvGrpSpPr>
      </xdr:nvGrpSpPr>
      <xdr:grpSpPr bwMode="auto">
        <a:xfrm>
          <a:off x="0" y="0"/>
          <a:ext cx="6375924" cy="1279559"/>
          <a:chOff x="57150" y="47625"/>
          <a:chExt cx="6316603" cy="1200288"/>
        </a:xfrm>
      </xdr:grpSpPr>
      <xdr:pic>
        <xdr:nvPicPr>
          <xdr:cNvPr id="55" name="1 Imagen" descr="ESCUDO-transp-lema-blanco.png">
            <a:extLst>
              <a:ext uri="{FF2B5EF4-FFF2-40B4-BE49-F238E27FC236}">
                <a16:creationId xmlns:a16="http://schemas.microsoft.com/office/drawing/2014/main" id="{A17A26B9-D8A4-2EE9-BF6F-1B237B72862C}"/>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6" name="3 CuadroTexto">
            <a:extLst>
              <a:ext uri="{FF2B5EF4-FFF2-40B4-BE49-F238E27FC236}">
                <a16:creationId xmlns:a16="http://schemas.microsoft.com/office/drawing/2014/main" id="{50CCC5BC-F12A-C983-6537-24342208730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57" name="1 Grupo">
          <a:extLst>
            <a:ext uri="{FF2B5EF4-FFF2-40B4-BE49-F238E27FC236}">
              <a16:creationId xmlns:a16="http://schemas.microsoft.com/office/drawing/2014/main" id="{C94668CA-162A-405F-9817-AF7AC2DB2525}"/>
            </a:ext>
          </a:extLst>
        </xdr:cNvPr>
        <xdr:cNvGrpSpPr>
          <a:grpSpLocks/>
        </xdr:cNvGrpSpPr>
      </xdr:nvGrpSpPr>
      <xdr:grpSpPr bwMode="auto">
        <a:xfrm>
          <a:off x="0" y="0"/>
          <a:ext cx="6375924" cy="1279559"/>
          <a:chOff x="57150" y="47625"/>
          <a:chExt cx="6316603" cy="1200288"/>
        </a:xfrm>
      </xdr:grpSpPr>
      <xdr:pic>
        <xdr:nvPicPr>
          <xdr:cNvPr id="58" name="1 Imagen" descr="ESCUDO-transp-lema-blanco.png">
            <a:extLst>
              <a:ext uri="{FF2B5EF4-FFF2-40B4-BE49-F238E27FC236}">
                <a16:creationId xmlns:a16="http://schemas.microsoft.com/office/drawing/2014/main" id="{721184D4-77B1-3CC5-A3D7-F8A4C15B58D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9" name="3 CuadroTexto">
            <a:extLst>
              <a:ext uri="{FF2B5EF4-FFF2-40B4-BE49-F238E27FC236}">
                <a16:creationId xmlns:a16="http://schemas.microsoft.com/office/drawing/2014/main" id="{AA8CD51C-279D-EAB6-04E5-047595730848}"/>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0" name="1 Grupo">
          <a:extLst>
            <a:ext uri="{FF2B5EF4-FFF2-40B4-BE49-F238E27FC236}">
              <a16:creationId xmlns:a16="http://schemas.microsoft.com/office/drawing/2014/main" id="{9AEE7BD0-19C8-4BFC-B58B-6AABEBFCF20F}"/>
            </a:ext>
          </a:extLst>
        </xdr:cNvPr>
        <xdr:cNvGrpSpPr>
          <a:grpSpLocks/>
        </xdr:cNvGrpSpPr>
      </xdr:nvGrpSpPr>
      <xdr:grpSpPr bwMode="auto">
        <a:xfrm>
          <a:off x="0" y="0"/>
          <a:ext cx="6375924" cy="1279559"/>
          <a:chOff x="57150" y="47625"/>
          <a:chExt cx="6316603" cy="1200288"/>
        </a:xfrm>
      </xdr:grpSpPr>
      <xdr:pic>
        <xdr:nvPicPr>
          <xdr:cNvPr id="61" name="1 Imagen" descr="ESCUDO-transp-lema-blanco.png">
            <a:extLst>
              <a:ext uri="{FF2B5EF4-FFF2-40B4-BE49-F238E27FC236}">
                <a16:creationId xmlns:a16="http://schemas.microsoft.com/office/drawing/2014/main" id="{7685061C-05EF-4D60-FFD7-B0F5209C746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2" name="3 CuadroTexto">
            <a:extLst>
              <a:ext uri="{FF2B5EF4-FFF2-40B4-BE49-F238E27FC236}">
                <a16:creationId xmlns:a16="http://schemas.microsoft.com/office/drawing/2014/main" id="{B8428A24-E01E-8BD3-C10D-DD6063A5302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3" name="1 Grupo">
          <a:extLst>
            <a:ext uri="{FF2B5EF4-FFF2-40B4-BE49-F238E27FC236}">
              <a16:creationId xmlns:a16="http://schemas.microsoft.com/office/drawing/2014/main" id="{12C7F54B-0986-4ADB-8160-04E57E66B8BD}"/>
            </a:ext>
          </a:extLst>
        </xdr:cNvPr>
        <xdr:cNvGrpSpPr>
          <a:grpSpLocks/>
        </xdr:cNvGrpSpPr>
      </xdr:nvGrpSpPr>
      <xdr:grpSpPr bwMode="auto">
        <a:xfrm>
          <a:off x="0" y="0"/>
          <a:ext cx="6375924" cy="1279559"/>
          <a:chOff x="57150" y="47625"/>
          <a:chExt cx="6316603" cy="1200288"/>
        </a:xfrm>
      </xdr:grpSpPr>
      <xdr:pic>
        <xdr:nvPicPr>
          <xdr:cNvPr id="64" name="1 Imagen" descr="ESCUDO-transp-lema-blanco.png">
            <a:extLst>
              <a:ext uri="{FF2B5EF4-FFF2-40B4-BE49-F238E27FC236}">
                <a16:creationId xmlns:a16="http://schemas.microsoft.com/office/drawing/2014/main" id="{90204942-55F9-6953-4089-D038CC4AEDF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5" name="3 CuadroTexto">
            <a:extLst>
              <a:ext uri="{FF2B5EF4-FFF2-40B4-BE49-F238E27FC236}">
                <a16:creationId xmlns:a16="http://schemas.microsoft.com/office/drawing/2014/main" id="{EB75379D-F45C-8714-EC24-98F16143A4F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2" name="1 Grupo">
          <a:extLst>
            <a:ext uri="{FF2B5EF4-FFF2-40B4-BE49-F238E27FC236}">
              <a16:creationId xmlns:a16="http://schemas.microsoft.com/office/drawing/2014/main" id="{84339AD4-E33A-470D-880A-1A2C84FD203C}"/>
            </a:ext>
          </a:extLst>
        </xdr:cNvPr>
        <xdr:cNvGrpSpPr>
          <a:grpSpLocks/>
        </xdr:cNvGrpSpPr>
      </xdr:nvGrpSpPr>
      <xdr:grpSpPr bwMode="auto">
        <a:xfrm>
          <a:off x="2" y="0"/>
          <a:ext cx="10523218" cy="1653540"/>
          <a:chOff x="57151" y="47625"/>
          <a:chExt cx="6181724" cy="1581150"/>
        </a:xfrm>
      </xdr:grpSpPr>
      <xdr:pic>
        <xdr:nvPicPr>
          <xdr:cNvPr id="3" name="1 Imagen" descr="ESCUDO-transp-lema-blanco.png">
            <a:extLst>
              <a:ext uri="{FF2B5EF4-FFF2-40B4-BE49-F238E27FC236}">
                <a16:creationId xmlns:a16="http://schemas.microsoft.com/office/drawing/2014/main" id="{FD752F1F-F8BB-4E47-8D3B-F5AB03986149}"/>
              </a:ext>
            </a:extLst>
          </xdr:cNvPr>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id="{853EA85F-550B-4BBE-B493-DE6B1024BD72}"/>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2916</xdr:colOff>
      <xdr:row>73</xdr:row>
      <xdr:rowOff>91440</xdr:rowOff>
    </xdr:from>
    <xdr:to>
      <xdr:col>3</xdr:col>
      <xdr:colOff>4949</xdr:colOff>
      <xdr:row>74</xdr:row>
      <xdr:rowOff>175283</xdr:rowOff>
    </xdr:to>
    <xdr:pic>
      <xdr:nvPicPr>
        <xdr:cNvPr id="2" name="Imagen 1">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5033" y="37773506"/>
          <a:ext cx="2033" cy="394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2000-000003000000}"/>
            </a:ext>
          </a:extLst>
        </xdr:cNvPr>
        <xdr:cNvGrpSpPr>
          <a:grpSpLocks/>
        </xdr:cNvGrpSpPr>
      </xdr:nvGrpSpPr>
      <xdr:grpSpPr bwMode="auto">
        <a:xfrm>
          <a:off x="0" y="0"/>
          <a:ext cx="6259291" cy="1279559"/>
          <a:chOff x="57150" y="47625"/>
          <a:chExt cx="6316603" cy="1200288"/>
        </a:xfrm>
      </xdr:grpSpPr>
      <xdr:pic>
        <xdr:nvPicPr>
          <xdr:cNvPr id="4" name="1 Imagen" descr="ESCUDO-transp-lema-blanco.png">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20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2140B3AC-463E-41D0-93AC-9CB56609E13D}"/>
            </a:ext>
          </a:extLst>
        </xdr:cNvPr>
        <xdr:cNvGrpSpPr>
          <a:grpSpLocks/>
        </xdr:cNvGrpSpPr>
      </xdr:nvGrpSpPr>
      <xdr:grpSpPr bwMode="auto">
        <a:xfrm>
          <a:off x="0" y="0"/>
          <a:ext cx="6259291" cy="1279559"/>
          <a:chOff x="57150" y="47625"/>
          <a:chExt cx="6316603" cy="1200288"/>
        </a:xfrm>
      </xdr:grpSpPr>
      <xdr:pic>
        <xdr:nvPicPr>
          <xdr:cNvPr id="7" name="1 Imagen" descr="ESCUDO-transp-lema-blanco.png">
            <a:extLst>
              <a:ext uri="{FF2B5EF4-FFF2-40B4-BE49-F238E27FC236}">
                <a16:creationId xmlns:a16="http://schemas.microsoft.com/office/drawing/2014/main" id="{B61B7247-1558-4038-B481-BD6E3F8D4B29}"/>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DCAA3CFF-EE7A-40BF-A120-3FAFE4647B1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1AB5B3AD-88FD-49DE-95FE-E70FE9F44D1A}"/>
            </a:ext>
          </a:extLst>
        </xdr:cNvPr>
        <xdr:cNvGrpSpPr>
          <a:grpSpLocks/>
        </xdr:cNvGrpSpPr>
      </xdr:nvGrpSpPr>
      <xdr:grpSpPr bwMode="auto">
        <a:xfrm>
          <a:off x="0" y="0"/>
          <a:ext cx="6259291" cy="1279559"/>
          <a:chOff x="57150" y="47625"/>
          <a:chExt cx="6316603" cy="1200288"/>
        </a:xfrm>
      </xdr:grpSpPr>
      <xdr:pic>
        <xdr:nvPicPr>
          <xdr:cNvPr id="10" name="1 Imagen" descr="ESCUDO-transp-lema-blanco.png">
            <a:extLst>
              <a:ext uri="{FF2B5EF4-FFF2-40B4-BE49-F238E27FC236}">
                <a16:creationId xmlns:a16="http://schemas.microsoft.com/office/drawing/2014/main" id="{054E5C3A-D8E7-48D2-90D0-9BB095332249}"/>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79B1640F-F50B-4AC0-8DD3-02070C32F8D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D8458BB0-F3AB-4B34-85EB-49155E1E5F74}"/>
            </a:ext>
          </a:extLst>
        </xdr:cNvPr>
        <xdr:cNvGrpSpPr>
          <a:grpSpLocks/>
        </xdr:cNvGrpSpPr>
      </xdr:nvGrpSpPr>
      <xdr:grpSpPr bwMode="auto">
        <a:xfrm>
          <a:off x="0" y="0"/>
          <a:ext cx="6259291" cy="1279559"/>
          <a:chOff x="57150" y="47625"/>
          <a:chExt cx="6316603" cy="1200288"/>
        </a:xfrm>
      </xdr:grpSpPr>
      <xdr:pic>
        <xdr:nvPicPr>
          <xdr:cNvPr id="13" name="1 Imagen" descr="ESCUDO-transp-lema-blanco.png">
            <a:extLst>
              <a:ext uri="{FF2B5EF4-FFF2-40B4-BE49-F238E27FC236}">
                <a16:creationId xmlns:a16="http://schemas.microsoft.com/office/drawing/2014/main" id="{64C588DE-F097-46C6-B533-9ADFC3D3A92D}"/>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94A56EE1-A8AC-409C-92E9-385F4A871F6C}"/>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5" name="1 Grupo">
          <a:extLst>
            <a:ext uri="{FF2B5EF4-FFF2-40B4-BE49-F238E27FC236}">
              <a16:creationId xmlns:a16="http://schemas.microsoft.com/office/drawing/2014/main" id="{C55AFA8B-9828-40DB-BBF9-2AC598A51853}"/>
            </a:ext>
          </a:extLst>
        </xdr:cNvPr>
        <xdr:cNvGrpSpPr>
          <a:grpSpLocks/>
        </xdr:cNvGrpSpPr>
      </xdr:nvGrpSpPr>
      <xdr:grpSpPr bwMode="auto">
        <a:xfrm>
          <a:off x="0" y="0"/>
          <a:ext cx="6259291" cy="1279559"/>
          <a:chOff x="57150" y="47625"/>
          <a:chExt cx="6316603" cy="1200288"/>
        </a:xfrm>
      </xdr:grpSpPr>
      <xdr:pic>
        <xdr:nvPicPr>
          <xdr:cNvPr id="16" name="1 Imagen" descr="ESCUDO-transp-lema-blanco.png">
            <a:extLst>
              <a:ext uri="{FF2B5EF4-FFF2-40B4-BE49-F238E27FC236}">
                <a16:creationId xmlns:a16="http://schemas.microsoft.com/office/drawing/2014/main" id="{CE7B0601-FA80-4899-B3E6-4CDACD1108D3}"/>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7" name="3 CuadroTexto">
            <a:extLst>
              <a:ext uri="{FF2B5EF4-FFF2-40B4-BE49-F238E27FC236}">
                <a16:creationId xmlns:a16="http://schemas.microsoft.com/office/drawing/2014/main" id="{5EF6A621-5FD2-449B-8E1F-9BF2E82A385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8" name="1 Grupo">
          <a:extLst>
            <a:ext uri="{FF2B5EF4-FFF2-40B4-BE49-F238E27FC236}">
              <a16:creationId xmlns:a16="http://schemas.microsoft.com/office/drawing/2014/main" id="{BDEFBFAC-4BD3-4E9B-874A-E279EB36D403}"/>
            </a:ext>
          </a:extLst>
        </xdr:cNvPr>
        <xdr:cNvGrpSpPr>
          <a:grpSpLocks/>
        </xdr:cNvGrpSpPr>
      </xdr:nvGrpSpPr>
      <xdr:grpSpPr bwMode="auto">
        <a:xfrm>
          <a:off x="0" y="0"/>
          <a:ext cx="6259291" cy="1279559"/>
          <a:chOff x="57150" y="47625"/>
          <a:chExt cx="6316603" cy="1200288"/>
        </a:xfrm>
      </xdr:grpSpPr>
      <xdr:pic>
        <xdr:nvPicPr>
          <xdr:cNvPr id="19" name="1 Imagen" descr="ESCUDO-transp-lema-blanco.png">
            <a:extLst>
              <a:ext uri="{FF2B5EF4-FFF2-40B4-BE49-F238E27FC236}">
                <a16:creationId xmlns:a16="http://schemas.microsoft.com/office/drawing/2014/main" id="{C4614D29-099E-4C2C-B7F5-070E0508B38F}"/>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0" name="3 CuadroTexto">
            <a:extLst>
              <a:ext uri="{FF2B5EF4-FFF2-40B4-BE49-F238E27FC236}">
                <a16:creationId xmlns:a16="http://schemas.microsoft.com/office/drawing/2014/main" id="{BEC5405C-A2C5-4238-975F-D63C249917E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2100-000003000000}"/>
            </a:ext>
          </a:extLst>
        </xdr:cNvPr>
        <xdr:cNvGrpSpPr>
          <a:grpSpLocks/>
        </xdr:cNvGrpSpPr>
      </xdr:nvGrpSpPr>
      <xdr:grpSpPr bwMode="auto">
        <a:xfrm>
          <a:off x="0" y="0"/>
          <a:ext cx="6134883" cy="1279559"/>
          <a:chOff x="57150" y="47625"/>
          <a:chExt cx="6316603" cy="1200288"/>
        </a:xfrm>
      </xdr:grpSpPr>
      <xdr:pic>
        <xdr:nvPicPr>
          <xdr:cNvPr id="4" name="1 Imagen" descr="ESCUDO-transp-lema-blanco.png">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2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0B50091B-01F3-4D8C-8028-5AC51D109A73}"/>
            </a:ext>
          </a:extLst>
        </xdr:cNvPr>
        <xdr:cNvGrpSpPr>
          <a:grpSpLocks/>
        </xdr:cNvGrpSpPr>
      </xdr:nvGrpSpPr>
      <xdr:grpSpPr bwMode="auto">
        <a:xfrm>
          <a:off x="0" y="0"/>
          <a:ext cx="6134883" cy="1279559"/>
          <a:chOff x="57150" y="47625"/>
          <a:chExt cx="6316603" cy="1200288"/>
        </a:xfrm>
      </xdr:grpSpPr>
      <xdr:pic>
        <xdr:nvPicPr>
          <xdr:cNvPr id="7" name="1 Imagen" descr="ESCUDO-transp-lema-blanco.png">
            <a:extLst>
              <a:ext uri="{FF2B5EF4-FFF2-40B4-BE49-F238E27FC236}">
                <a16:creationId xmlns:a16="http://schemas.microsoft.com/office/drawing/2014/main" id="{1FCB9CE3-BBC6-44C7-A80D-E40F72AE26E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56CD0BB8-F1AC-40FC-8350-886FE06E8AF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0E1EB4ED-2B8E-4606-A9A0-6679587B3769}"/>
            </a:ext>
          </a:extLst>
        </xdr:cNvPr>
        <xdr:cNvGrpSpPr>
          <a:grpSpLocks/>
        </xdr:cNvGrpSpPr>
      </xdr:nvGrpSpPr>
      <xdr:grpSpPr bwMode="auto">
        <a:xfrm>
          <a:off x="0" y="0"/>
          <a:ext cx="6134883" cy="1279559"/>
          <a:chOff x="57150" y="47625"/>
          <a:chExt cx="6316603" cy="1200288"/>
        </a:xfrm>
      </xdr:grpSpPr>
      <xdr:pic>
        <xdr:nvPicPr>
          <xdr:cNvPr id="10" name="1 Imagen" descr="ESCUDO-transp-lema-blanco.png">
            <a:extLst>
              <a:ext uri="{FF2B5EF4-FFF2-40B4-BE49-F238E27FC236}">
                <a16:creationId xmlns:a16="http://schemas.microsoft.com/office/drawing/2014/main" id="{F5069E32-9DE6-4615-91C8-84406CF20CBA}"/>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7BB068D5-4C47-4180-904D-CC464F8E61E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51778818-8E0A-4EA8-A96E-5F21795BE68F}"/>
            </a:ext>
          </a:extLst>
        </xdr:cNvPr>
        <xdr:cNvGrpSpPr>
          <a:grpSpLocks/>
        </xdr:cNvGrpSpPr>
      </xdr:nvGrpSpPr>
      <xdr:grpSpPr bwMode="auto">
        <a:xfrm>
          <a:off x="0" y="0"/>
          <a:ext cx="6134883" cy="1279559"/>
          <a:chOff x="57150" y="47625"/>
          <a:chExt cx="6316603" cy="1200288"/>
        </a:xfrm>
      </xdr:grpSpPr>
      <xdr:pic>
        <xdr:nvPicPr>
          <xdr:cNvPr id="13" name="1 Imagen" descr="ESCUDO-transp-lema-blanco.png">
            <a:extLst>
              <a:ext uri="{FF2B5EF4-FFF2-40B4-BE49-F238E27FC236}">
                <a16:creationId xmlns:a16="http://schemas.microsoft.com/office/drawing/2014/main" id="{0DFA0CB7-32B6-43EC-83E7-155E713B9597}"/>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75922990-9C95-42DD-9153-687A6170EA7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5" name="1 Grupo">
          <a:extLst>
            <a:ext uri="{FF2B5EF4-FFF2-40B4-BE49-F238E27FC236}">
              <a16:creationId xmlns:a16="http://schemas.microsoft.com/office/drawing/2014/main" id="{BE276BA4-B223-4A9F-92F9-A0468175794B}"/>
            </a:ext>
          </a:extLst>
        </xdr:cNvPr>
        <xdr:cNvGrpSpPr>
          <a:grpSpLocks/>
        </xdr:cNvGrpSpPr>
      </xdr:nvGrpSpPr>
      <xdr:grpSpPr bwMode="auto">
        <a:xfrm>
          <a:off x="0" y="0"/>
          <a:ext cx="6134883" cy="1279559"/>
          <a:chOff x="57150" y="47625"/>
          <a:chExt cx="6316603" cy="1200288"/>
        </a:xfrm>
      </xdr:grpSpPr>
      <xdr:pic>
        <xdr:nvPicPr>
          <xdr:cNvPr id="16" name="1 Imagen" descr="ESCUDO-transp-lema-blanco.png">
            <a:extLst>
              <a:ext uri="{FF2B5EF4-FFF2-40B4-BE49-F238E27FC236}">
                <a16:creationId xmlns:a16="http://schemas.microsoft.com/office/drawing/2014/main" id="{028D6D52-8470-4508-A53E-760A221F7E2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7" name="3 CuadroTexto">
            <a:extLst>
              <a:ext uri="{FF2B5EF4-FFF2-40B4-BE49-F238E27FC236}">
                <a16:creationId xmlns:a16="http://schemas.microsoft.com/office/drawing/2014/main" id="{C8C98393-9D75-40F6-B7A2-4D2571E00A4C}"/>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8" name="1 Grupo">
          <a:extLst>
            <a:ext uri="{FF2B5EF4-FFF2-40B4-BE49-F238E27FC236}">
              <a16:creationId xmlns:a16="http://schemas.microsoft.com/office/drawing/2014/main" id="{8A61D2C2-73C8-4E28-8899-E215330D3622}"/>
            </a:ext>
          </a:extLst>
        </xdr:cNvPr>
        <xdr:cNvGrpSpPr>
          <a:grpSpLocks/>
        </xdr:cNvGrpSpPr>
      </xdr:nvGrpSpPr>
      <xdr:grpSpPr bwMode="auto">
        <a:xfrm>
          <a:off x="0" y="0"/>
          <a:ext cx="6134883" cy="1279559"/>
          <a:chOff x="57150" y="47625"/>
          <a:chExt cx="6316603" cy="1200288"/>
        </a:xfrm>
      </xdr:grpSpPr>
      <xdr:pic>
        <xdr:nvPicPr>
          <xdr:cNvPr id="19" name="1 Imagen" descr="ESCUDO-transp-lema-blanco.png">
            <a:extLst>
              <a:ext uri="{FF2B5EF4-FFF2-40B4-BE49-F238E27FC236}">
                <a16:creationId xmlns:a16="http://schemas.microsoft.com/office/drawing/2014/main" id="{34ABC3F3-3515-497F-A785-983CEAE485B2}"/>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0" name="3 CuadroTexto">
            <a:extLst>
              <a:ext uri="{FF2B5EF4-FFF2-40B4-BE49-F238E27FC236}">
                <a16:creationId xmlns:a16="http://schemas.microsoft.com/office/drawing/2014/main" id="{1AEE6906-4D80-4BD5-8A36-D266A286BF1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1" name="1 Grupo">
          <a:extLst>
            <a:ext uri="{FF2B5EF4-FFF2-40B4-BE49-F238E27FC236}">
              <a16:creationId xmlns:a16="http://schemas.microsoft.com/office/drawing/2014/main" id="{80B8A0CA-14C4-484D-9C50-79D2EFB0E4D2}"/>
            </a:ext>
          </a:extLst>
        </xdr:cNvPr>
        <xdr:cNvGrpSpPr>
          <a:grpSpLocks/>
        </xdr:cNvGrpSpPr>
      </xdr:nvGrpSpPr>
      <xdr:grpSpPr bwMode="auto">
        <a:xfrm>
          <a:off x="0" y="0"/>
          <a:ext cx="6134883" cy="1279559"/>
          <a:chOff x="57150" y="47625"/>
          <a:chExt cx="6316603" cy="1200288"/>
        </a:xfrm>
      </xdr:grpSpPr>
      <xdr:pic>
        <xdr:nvPicPr>
          <xdr:cNvPr id="22" name="1 Imagen" descr="ESCUDO-transp-lema-blanco.png">
            <a:extLst>
              <a:ext uri="{FF2B5EF4-FFF2-40B4-BE49-F238E27FC236}">
                <a16:creationId xmlns:a16="http://schemas.microsoft.com/office/drawing/2014/main" id="{1833E18E-603E-4112-92F5-5458876C900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3" name="3 CuadroTexto">
            <a:extLst>
              <a:ext uri="{FF2B5EF4-FFF2-40B4-BE49-F238E27FC236}">
                <a16:creationId xmlns:a16="http://schemas.microsoft.com/office/drawing/2014/main" id="{CCAE6076-15FB-40EF-AEF8-DD4BEB0EBC2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137161</xdr:colOff>
      <xdr:row>121</xdr:row>
      <xdr:rowOff>7620</xdr:rowOff>
    </xdr:from>
    <xdr:to>
      <xdr:col>2</xdr:col>
      <xdr:colOff>2222936</xdr:colOff>
      <xdr:row>121</xdr:row>
      <xdr:rowOff>103640</xdr:rowOff>
    </xdr:to>
    <xdr:pic>
      <xdr:nvPicPr>
        <xdr:cNvPr id="24" name="Imagen 23">
          <a:extLst>
            <a:ext uri="{FF2B5EF4-FFF2-40B4-BE49-F238E27FC236}">
              <a16:creationId xmlns:a16="http://schemas.microsoft.com/office/drawing/2014/main" id="{7276015E-41EA-4674-90B8-4226833F460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0601" y="32880300"/>
          <a:ext cx="20363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25" name="1 Grupo">
          <a:extLst>
            <a:ext uri="{FF2B5EF4-FFF2-40B4-BE49-F238E27FC236}">
              <a16:creationId xmlns:a16="http://schemas.microsoft.com/office/drawing/2014/main" id="{C1DFDB15-D436-4AB8-A347-71A7931589A1}"/>
            </a:ext>
          </a:extLst>
        </xdr:cNvPr>
        <xdr:cNvGrpSpPr>
          <a:grpSpLocks/>
        </xdr:cNvGrpSpPr>
      </xdr:nvGrpSpPr>
      <xdr:grpSpPr bwMode="auto">
        <a:xfrm>
          <a:off x="0" y="0"/>
          <a:ext cx="6134883" cy="1279559"/>
          <a:chOff x="57150" y="47625"/>
          <a:chExt cx="6316603" cy="1200288"/>
        </a:xfrm>
      </xdr:grpSpPr>
      <xdr:pic>
        <xdr:nvPicPr>
          <xdr:cNvPr id="26" name="1 Imagen" descr="ESCUDO-transp-lema-blanco.png">
            <a:extLst>
              <a:ext uri="{FF2B5EF4-FFF2-40B4-BE49-F238E27FC236}">
                <a16:creationId xmlns:a16="http://schemas.microsoft.com/office/drawing/2014/main" id="{40461640-8DD9-33A5-6972-6E828E3A8EE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7" name="3 CuadroTexto">
            <a:extLst>
              <a:ext uri="{FF2B5EF4-FFF2-40B4-BE49-F238E27FC236}">
                <a16:creationId xmlns:a16="http://schemas.microsoft.com/office/drawing/2014/main" id="{0443F881-0195-D672-C3C5-2DC563EF814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8" name="1 Grupo">
          <a:extLst>
            <a:ext uri="{FF2B5EF4-FFF2-40B4-BE49-F238E27FC236}">
              <a16:creationId xmlns:a16="http://schemas.microsoft.com/office/drawing/2014/main" id="{4209B6D5-E7EB-48F4-9BA1-3D7058B031F5}"/>
            </a:ext>
          </a:extLst>
        </xdr:cNvPr>
        <xdr:cNvGrpSpPr>
          <a:grpSpLocks/>
        </xdr:cNvGrpSpPr>
      </xdr:nvGrpSpPr>
      <xdr:grpSpPr bwMode="auto">
        <a:xfrm>
          <a:off x="0" y="0"/>
          <a:ext cx="6134883" cy="1279559"/>
          <a:chOff x="57150" y="47625"/>
          <a:chExt cx="6316603" cy="1200288"/>
        </a:xfrm>
      </xdr:grpSpPr>
      <xdr:pic>
        <xdr:nvPicPr>
          <xdr:cNvPr id="29" name="1 Imagen" descr="ESCUDO-transp-lema-blanco.png">
            <a:extLst>
              <a:ext uri="{FF2B5EF4-FFF2-40B4-BE49-F238E27FC236}">
                <a16:creationId xmlns:a16="http://schemas.microsoft.com/office/drawing/2014/main" id="{BE5A6024-9575-AEC1-EE9F-16D29049E19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0" name="3 CuadroTexto">
            <a:extLst>
              <a:ext uri="{FF2B5EF4-FFF2-40B4-BE49-F238E27FC236}">
                <a16:creationId xmlns:a16="http://schemas.microsoft.com/office/drawing/2014/main" id="{89977E24-B462-C328-6F30-2598AB22AB7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1" name="1 Grupo">
          <a:extLst>
            <a:ext uri="{FF2B5EF4-FFF2-40B4-BE49-F238E27FC236}">
              <a16:creationId xmlns:a16="http://schemas.microsoft.com/office/drawing/2014/main" id="{60A626F7-81D2-4F22-B1A3-17485710A934}"/>
            </a:ext>
          </a:extLst>
        </xdr:cNvPr>
        <xdr:cNvGrpSpPr>
          <a:grpSpLocks/>
        </xdr:cNvGrpSpPr>
      </xdr:nvGrpSpPr>
      <xdr:grpSpPr bwMode="auto">
        <a:xfrm>
          <a:off x="0" y="0"/>
          <a:ext cx="6134883" cy="1279559"/>
          <a:chOff x="57150" y="47625"/>
          <a:chExt cx="6316603" cy="1200288"/>
        </a:xfrm>
      </xdr:grpSpPr>
      <xdr:pic>
        <xdr:nvPicPr>
          <xdr:cNvPr id="32" name="1 Imagen" descr="ESCUDO-transp-lema-blanco.png">
            <a:extLst>
              <a:ext uri="{FF2B5EF4-FFF2-40B4-BE49-F238E27FC236}">
                <a16:creationId xmlns:a16="http://schemas.microsoft.com/office/drawing/2014/main" id="{D1213640-AF6C-6BE9-7F0D-04FFE0CA310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3" name="3 CuadroTexto">
            <a:extLst>
              <a:ext uri="{FF2B5EF4-FFF2-40B4-BE49-F238E27FC236}">
                <a16:creationId xmlns:a16="http://schemas.microsoft.com/office/drawing/2014/main" id="{CF695F42-E3D0-90DE-6282-95C67750487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4" name="1 Grupo">
          <a:extLst>
            <a:ext uri="{FF2B5EF4-FFF2-40B4-BE49-F238E27FC236}">
              <a16:creationId xmlns:a16="http://schemas.microsoft.com/office/drawing/2014/main" id="{D717C3F5-6A83-4EAA-BB16-CCDC96F8E04D}"/>
            </a:ext>
          </a:extLst>
        </xdr:cNvPr>
        <xdr:cNvGrpSpPr>
          <a:grpSpLocks/>
        </xdr:cNvGrpSpPr>
      </xdr:nvGrpSpPr>
      <xdr:grpSpPr bwMode="auto">
        <a:xfrm>
          <a:off x="0" y="0"/>
          <a:ext cx="6134883" cy="1279559"/>
          <a:chOff x="57150" y="47625"/>
          <a:chExt cx="6316603" cy="1200288"/>
        </a:xfrm>
      </xdr:grpSpPr>
      <xdr:pic>
        <xdr:nvPicPr>
          <xdr:cNvPr id="35" name="1 Imagen" descr="ESCUDO-transp-lema-blanco.png">
            <a:extLst>
              <a:ext uri="{FF2B5EF4-FFF2-40B4-BE49-F238E27FC236}">
                <a16:creationId xmlns:a16="http://schemas.microsoft.com/office/drawing/2014/main" id="{BCF17378-F017-C944-5495-BB680ECF207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6" name="3 CuadroTexto">
            <a:extLst>
              <a:ext uri="{FF2B5EF4-FFF2-40B4-BE49-F238E27FC236}">
                <a16:creationId xmlns:a16="http://schemas.microsoft.com/office/drawing/2014/main" id="{E1437A28-71B2-BE3A-82EF-214826C0BFD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7" name="1 Grupo">
          <a:extLst>
            <a:ext uri="{FF2B5EF4-FFF2-40B4-BE49-F238E27FC236}">
              <a16:creationId xmlns:a16="http://schemas.microsoft.com/office/drawing/2014/main" id="{9D7F0A2A-5643-45FA-8508-C5AD6F5A3BEB}"/>
            </a:ext>
          </a:extLst>
        </xdr:cNvPr>
        <xdr:cNvGrpSpPr>
          <a:grpSpLocks/>
        </xdr:cNvGrpSpPr>
      </xdr:nvGrpSpPr>
      <xdr:grpSpPr bwMode="auto">
        <a:xfrm>
          <a:off x="0" y="0"/>
          <a:ext cx="6134883" cy="1279559"/>
          <a:chOff x="57150" y="47625"/>
          <a:chExt cx="6316603" cy="1200288"/>
        </a:xfrm>
      </xdr:grpSpPr>
      <xdr:pic>
        <xdr:nvPicPr>
          <xdr:cNvPr id="38" name="1 Imagen" descr="ESCUDO-transp-lema-blanco.png">
            <a:extLst>
              <a:ext uri="{FF2B5EF4-FFF2-40B4-BE49-F238E27FC236}">
                <a16:creationId xmlns:a16="http://schemas.microsoft.com/office/drawing/2014/main" id="{9BB9AA7B-7432-146A-A136-B3A8AE1C6C8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9" name="3 CuadroTexto">
            <a:extLst>
              <a:ext uri="{FF2B5EF4-FFF2-40B4-BE49-F238E27FC236}">
                <a16:creationId xmlns:a16="http://schemas.microsoft.com/office/drawing/2014/main" id="{7B458F6F-B2C8-7CE8-E474-A546C353BD4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0" name="1 Grupo">
          <a:extLst>
            <a:ext uri="{FF2B5EF4-FFF2-40B4-BE49-F238E27FC236}">
              <a16:creationId xmlns:a16="http://schemas.microsoft.com/office/drawing/2014/main" id="{69B74EF2-6EEF-48D2-8592-2EEED82EE046}"/>
            </a:ext>
          </a:extLst>
        </xdr:cNvPr>
        <xdr:cNvGrpSpPr>
          <a:grpSpLocks/>
        </xdr:cNvGrpSpPr>
      </xdr:nvGrpSpPr>
      <xdr:grpSpPr bwMode="auto">
        <a:xfrm>
          <a:off x="0" y="0"/>
          <a:ext cx="6134883" cy="1279559"/>
          <a:chOff x="57150" y="47625"/>
          <a:chExt cx="6316603" cy="1200288"/>
        </a:xfrm>
      </xdr:grpSpPr>
      <xdr:pic>
        <xdr:nvPicPr>
          <xdr:cNvPr id="41" name="1 Imagen" descr="ESCUDO-transp-lema-blanco.png">
            <a:extLst>
              <a:ext uri="{FF2B5EF4-FFF2-40B4-BE49-F238E27FC236}">
                <a16:creationId xmlns:a16="http://schemas.microsoft.com/office/drawing/2014/main" id="{4904FEB2-A941-C285-7B4C-F0FF9B40A1E7}"/>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2" name="3 CuadroTexto">
            <a:extLst>
              <a:ext uri="{FF2B5EF4-FFF2-40B4-BE49-F238E27FC236}">
                <a16:creationId xmlns:a16="http://schemas.microsoft.com/office/drawing/2014/main" id="{392441FF-A753-EE7E-D505-BEC21F77F36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43" name="1 Grupo">
          <a:extLst>
            <a:ext uri="{FF2B5EF4-FFF2-40B4-BE49-F238E27FC236}">
              <a16:creationId xmlns:a16="http://schemas.microsoft.com/office/drawing/2014/main" id="{2FE4500C-051B-4929-B6DA-9EEF82E77D78}"/>
            </a:ext>
          </a:extLst>
        </xdr:cNvPr>
        <xdr:cNvGrpSpPr>
          <a:grpSpLocks/>
        </xdr:cNvGrpSpPr>
      </xdr:nvGrpSpPr>
      <xdr:grpSpPr bwMode="auto">
        <a:xfrm>
          <a:off x="0" y="0"/>
          <a:ext cx="6134883" cy="1279559"/>
          <a:chOff x="57150" y="47625"/>
          <a:chExt cx="6316603" cy="1200288"/>
        </a:xfrm>
      </xdr:grpSpPr>
      <xdr:pic>
        <xdr:nvPicPr>
          <xdr:cNvPr id="44" name="1 Imagen" descr="ESCUDO-transp-lema-blanco.png">
            <a:extLst>
              <a:ext uri="{FF2B5EF4-FFF2-40B4-BE49-F238E27FC236}">
                <a16:creationId xmlns:a16="http://schemas.microsoft.com/office/drawing/2014/main" id="{821A3A9A-5E8E-478E-5F96-1AC035F7CC11}"/>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45" name="3 CuadroTexto">
            <a:extLst>
              <a:ext uri="{FF2B5EF4-FFF2-40B4-BE49-F238E27FC236}">
                <a16:creationId xmlns:a16="http://schemas.microsoft.com/office/drawing/2014/main" id="{BD2954A4-6ADE-51E1-B149-096C322432F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a16="http://schemas.microsoft.com/office/drawing/2014/main" id="{00000000-0008-0000-22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a:extLst>
            <a:ext uri="{FF2B5EF4-FFF2-40B4-BE49-F238E27FC236}">
              <a16:creationId xmlns:a16="http://schemas.microsoft.com/office/drawing/2014/main" id="{00000000-0008-0000-2200-000005000000}"/>
            </a:ext>
          </a:extLst>
        </xdr:cNvPr>
        <xdr:cNvGrpSpPr>
          <a:grpSpLocks/>
        </xdr:cNvGrpSpPr>
      </xdr:nvGrpSpPr>
      <xdr:grpSpPr bwMode="auto">
        <a:xfrm>
          <a:off x="0" y="0"/>
          <a:ext cx="5653838" cy="1274375"/>
          <a:chOff x="57150" y="47625"/>
          <a:chExt cx="6316603" cy="1200288"/>
        </a:xfrm>
      </xdr:grpSpPr>
      <xdr:pic>
        <xdr:nvPicPr>
          <xdr:cNvPr id="6" name="1 Imagen" descr="ESCUDO-transp-lema-blanco.png">
            <a:extLst>
              <a:ext uri="{FF2B5EF4-FFF2-40B4-BE49-F238E27FC236}">
                <a16:creationId xmlns:a16="http://schemas.microsoft.com/office/drawing/2014/main" id="{00000000-0008-0000-2200-000006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a:extLst>
              <a:ext uri="{FF2B5EF4-FFF2-40B4-BE49-F238E27FC236}">
                <a16:creationId xmlns:a16="http://schemas.microsoft.com/office/drawing/2014/main" id="{00000000-0008-0000-2200-000007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8" name="1 Grupo">
          <a:extLst>
            <a:ext uri="{FF2B5EF4-FFF2-40B4-BE49-F238E27FC236}">
              <a16:creationId xmlns:a16="http://schemas.microsoft.com/office/drawing/2014/main" id="{B6B4EA18-716F-4608-B17F-9A2138ABD1BB}"/>
            </a:ext>
          </a:extLst>
        </xdr:cNvPr>
        <xdr:cNvGrpSpPr>
          <a:grpSpLocks/>
        </xdr:cNvGrpSpPr>
      </xdr:nvGrpSpPr>
      <xdr:grpSpPr bwMode="auto">
        <a:xfrm>
          <a:off x="0" y="0"/>
          <a:ext cx="5653838" cy="1274375"/>
          <a:chOff x="57150" y="47625"/>
          <a:chExt cx="6316603" cy="1200288"/>
        </a:xfrm>
      </xdr:grpSpPr>
      <xdr:pic>
        <xdr:nvPicPr>
          <xdr:cNvPr id="9" name="1 Imagen" descr="ESCUDO-transp-lema-blanco.png">
            <a:extLst>
              <a:ext uri="{FF2B5EF4-FFF2-40B4-BE49-F238E27FC236}">
                <a16:creationId xmlns:a16="http://schemas.microsoft.com/office/drawing/2014/main" id="{3E6FA8A0-0BEF-4285-B73F-41DE1B207095}"/>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0" name="3 CuadroTexto">
            <a:extLst>
              <a:ext uri="{FF2B5EF4-FFF2-40B4-BE49-F238E27FC236}">
                <a16:creationId xmlns:a16="http://schemas.microsoft.com/office/drawing/2014/main" id="{A864EFE8-4C60-4702-89D2-6BB290060C4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0</xdr:colOff>
      <xdr:row>80</xdr:row>
      <xdr:rowOff>0</xdr:rowOff>
    </xdr:from>
    <xdr:to>
      <xdr:col>4</xdr:col>
      <xdr:colOff>83820</xdr:colOff>
      <xdr:row>82</xdr:row>
      <xdr:rowOff>7620</xdr:rowOff>
    </xdr:to>
    <xdr:pic>
      <xdr:nvPicPr>
        <xdr:cNvPr id="11" name="Imagen 10">
          <a:extLst>
            <a:ext uri="{FF2B5EF4-FFF2-40B4-BE49-F238E27FC236}">
              <a16:creationId xmlns:a16="http://schemas.microsoft.com/office/drawing/2014/main" id="{2A15C017-4BB7-4A90-AAC0-2D272BE364D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1075" y="30537150"/>
          <a:ext cx="2750820" cy="381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12" name="Imagen 11">
          <a:extLst>
            <a:ext uri="{FF2B5EF4-FFF2-40B4-BE49-F238E27FC236}">
              <a16:creationId xmlns:a16="http://schemas.microsoft.com/office/drawing/2014/main" id="{287904C3-817D-478D-BD99-9B90CE99A58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1075" y="39957375"/>
          <a:ext cx="77724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13" name="Imagen 12">
          <a:extLst>
            <a:ext uri="{FF2B5EF4-FFF2-40B4-BE49-F238E27FC236}">
              <a16:creationId xmlns:a16="http://schemas.microsoft.com/office/drawing/2014/main" id="{75814D13-A33E-4837-A695-3FFFDA5411E5}"/>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3558" y="43310175"/>
          <a:ext cx="0" cy="421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14" name="1 Grupo">
          <a:extLst>
            <a:ext uri="{FF2B5EF4-FFF2-40B4-BE49-F238E27FC236}">
              <a16:creationId xmlns:a16="http://schemas.microsoft.com/office/drawing/2014/main" id="{FF7B31AC-88AB-458F-8715-0D9992C41D80}"/>
            </a:ext>
          </a:extLst>
        </xdr:cNvPr>
        <xdr:cNvGrpSpPr>
          <a:grpSpLocks/>
        </xdr:cNvGrpSpPr>
      </xdr:nvGrpSpPr>
      <xdr:grpSpPr bwMode="auto">
        <a:xfrm>
          <a:off x="0" y="0"/>
          <a:ext cx="5653838" cy="1274375"/>
          <a:chOff x="57150" y="47625"/>
          <a:chExt cx="6316603" cy="1200288"/>
        </a:xfrm>
      </xdr:grpSpPr>
      <xdr:pic>
        <xdr:nvPicPr>
          <xdr:cNvPr id="15" name="1 Imagen" descr="ESCUDO-transp-lema-blanco.png">
            <a:extLst>
              <a:ext uri="{FF2B5EF4-FFF2-40B4-BE49-F238E27FC236}">
                <a16:creationId xmlns:a16="http://schemas.microsoft.com/office/drawing/2014/main" id="{69CF4FCE-AE76-47D1-818D-2E195B4E92E1}"/>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6" name="3 CuadroTexto">
            <a:extLst>
              <a:ext uri="{FF2B5EF4-FFF2-40B4-BE49-F238E27FC236}">
                <a16:creationId xmlns:a16="http://schemas.microsoft.com/office/drawing/2014/main" id="{AE8B8B8D-FBF2-46C2-B13B-C62493ADF03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7" name="1 Grupo">
          <a:extLst>
            <a:ext uri="{FF2B5EF4-FFF2-40B4-BE49-F238E27FC236}">
              <a16:creationId xmlns:a16="http://schemas.microsoft.com/office/drawing/2014/main" id="{D0196D34-1330-4F07-A7AB-AB9117E5EE10}"/>
            </a:ext>
          </a:extLst>
        </xdr:cNvPr>
        <xdr:cNvGrpSpPr>
          <a:grpSpLocks/>
        </xdr:cNvGrpSpPr>
      </xdr:nvGrpSpPr>
      <xdr:grpSpPr bwMode="auto">
        <a:xfrm>
          <a:off x="0" y="0"/>
          <a:ext cx="5653838" cy="1274375"/>
          <a:chOff x="57150" y="47625"/>
          <a:chExt cx="6316603" cy="1200288"/>
        </a:xfrm>
      </xdr:grpSpPr>
      <xdr:pic>
        <xdr:nvPicPr>
          <xdr:cNvPr id="18" name="1 Imagen" descr="ESCUDO-transp-lema-blanco.png">
            <a:extLst>
              <a:ext uri="{FF2B5EF4-FFF2-40B4-BE49-F238E27FC236}">
                <a16:creationId xmlns:a16="http://schemas.microsoft.com/office/drawing/2014/main" id="{A18EB8F2-5EC4-4BE0-B52A-5A52F9CD0EB7}"/>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9" name="3 CuadroTexto">
            <a:extLst>
              <a:ext uri="{FF2B5EF4-FFF2-40B4-BE49-F238E27FC236}">
                <a16:creationId xmlns:a16="http://schemas.microsoft.com/office/drawing/2014/main" id="{DDD9F839-99E8-4246-803E-CDEA9953E02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0</xdr:colOff>
      <xdr:row>80</xdr:row>
      <xdr:rowOff>0</xdr:rowOff>
    </xdr:from>
    <xdr:to>
      <xdr:col>4</xdr:col>
      <xdr:colOff>83820</xdr:colOff>
      <xdr:row>82</xdr:row>
      <xdr:rowOff>7620</xdr:rowOff>
    </xdr:to>
    <xdr:pic>
      <xdr:nvPicPr>
        <xdr:cNvPr id="20" name="Imagen 19">
          <a:extLst>
            <a:ext uri="{FF2B5EF4-FFF2-40B4-BE49-F238E27FC236}">
              <a16:creationId xmlns:a16="http://schemas.microsoft.com/office/drawing/2014/main" id="{0505A872-1594-4E22-BFE9-AB5C2A4972B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3460" y="28536900"/>
          <a:ext cx="2827020" cy="3208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21" name="Imagen 20">
          <a:extLst>
            <a:ext uri="{FF2B5EF4-FFF2-40B4-BE49-F238E27FC236}">
              <a16:creationId xmlns:a16="http://schemas.microsoft.com/office/drawing/2014/main" id="{451FC235-FD70-4A5C-B445-50B03EC9423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3460" y="36743640"/>
          <a:ext cx="78486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22" name="Imagen 21">
          <a:extLst>
            <a:ext uri="{FF2B5EF4-FFF2-40B4-BE49-F238E27FC236}">
              <a16:creationId xmlns:a16="http://schemas.microsoft.com/office/drawing/2014/main" id="{0F9613A5-2A58-4739-9E56-82166930B0DD}"/>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3563" y="39791640"/>
          <a:ext cx="133" cy="43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23" name="1 Grupo">
          <a:extLst>
            <a:ext uri="{FF2B5EF4-FFF2-40B4-BE49-F238E27FC236}">
              <a16:creationId xmlns:a16="http://schemas.microsoft.com/office/drawing/2014/main" id="{06094637-27BF-44B3-A788-FA6480A3CED2}"/>
            </a:ext>
          </a:extLst>
        </xdr:cNvPr>
        <xdr:cNvGrpSpPr>
          <a:grpSpLocks/>
        </xdr:cNvGrpSpPr>
      </xdr:nvGrpSpPr>
      <xdr:grpSpPr bwMode="auto">
        <a:xfrm>
          <a:off x="0" y="0"/>
          <a:ext cx="5653838" cy="1274375"/>
          <a:chOff x="57150" y="47625"/>
          <a:chExt cx="6316603" cy="1200288"/>
        </a:xfrm>
      </xdr:grpSpPr>
      <xdr:pic>
        <xdr:nvPicPr>
          <xdr:cNvPr id="24" name="1 Imagen" descr="ESCUDO-transp-lema-blanco.png">
            <a:extLst>
              <a:ext uri="{FF2B5EF4-FFF2-40B4-BE49-F238E27FC236}">
                <a16:creationId xmlns:a16="http://schemas.microsoft.com/office/drawing/2014/main" id="{1462F84E-40B9-451B-7E83-DB0E8B227FED}"/>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5" name="3 CuadroTexto">
            <a:extLst>
              <a:ext uri="{FF2B5EF4-FFF2-40B4-BE49-F238E27FC236}">
                <a16:creationId xmlns:a16="http://schemas.microsoft.com/office/drawing/2014/main" id="{92F3C5CF-D308-9394-3DF5-7B917E449EB5}"/>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26" name="1 Grupo">
          <a:extLst>
            <a:ext uri="{FF2B5EF4-FFF2-40B4-BE49-F238E27FC236}">
              <a16:creationId xmlns:a16="http://schemas.microsoft.com/office/drawing/2014/main" id="{00580E2D-FDB2-4F82-AC04-6F67D750DE8F}"/>
            </a:ext>
          </a:extLst>
        </xdr:cNvPr>
        <xdr:cNvGrpSpPr>
          <a:grpSpLocks/>
        </xdr:cNvGrpSpPr>
      </xdr:nvGrpSpPr>
      <xdr:grpSpPr bwMode="auto">
        <a:xfrm>
          <a:off x="0" y="0"/>
          <a:ext cx="5653838" cy="1274375"/>
          <a:chOff x="57150" y="47625"/>
          <a:chExt cx="6316603" cy="1200288"/>
        </a:xfrm>
      </xdr:grpSpPr>
      <xdr:pic>
        <xdr:nvPicPr>
          <xdr:cNvPr id="27" name="1 Imagen" descr="ESCUDO-transp-lema-blanco.png">
            <a:extLst>
              <a:ext uri="{FF2B5EF4-FFF2-40B4-BE49-F238E27FC236}">
                <a16:creationId xmlns:a16="http://schemas.microsoft.com/office/drawing/2014/main" id="{CECC8A44-E8AA-AA62-D305-B01BDCFD5B07}"/>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28" name="3 CuadroTexto">
            <a:extLst>
              <a:ext uri="{FF2B5EF4-FFF2-40B4-BE49-F238E27FC236}">
                <a16:creationId xmlns:a16="http://schemas.microsoft.com/office/drawing/2014/main" id="{7399512E-DD83-596C-E0EA-6480E2577DB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2</xdr:col>
      <xdr:colOff>0</xdr:colOff>
      <xdr:row>80</xdr:row>
      <xdr:rowOff>0</xdr:rowOff>
    </xdr:from>
    <xdr:to>
      <xdr:col>4</xdr:col>
      <xdr:colOff>83820</xdr:colOff>
      <xdr:row>82</xdr:row>
      <xdr:rowOff>7620</xdr:rowOff>
    </xdr:to>
    <xdr:pic>
      <xdr:nvPicPr>
        <xdr:cNvPr id="29" name="Imagen 28">
          <a:extLst>
            <a:ext uri="{FF2B5EF4-FFF2-40B4-BE49-F238E27FC236}">
              <a16:creationId xmlns:a16="http://schemas.microsoft.com/office/drawing/2014/main" id="{B88E6F39-3A7C-4D88-BE4A-FB6F1F73F3A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3460" y="28536900"/>
          <a:ext cx="2827020" cy="3208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0" name="Imagen 29">
          <a:extLst>
            <a:ext uri="{FF2B5EF4-FFF2-40B4-BE49-F238E27FC236}">
              <a16:creationId xmlns:a16="http://schemas.microsoft.com/office/drawing/2014/main" id="{7185058B-844C-4247-8A1B-C08184E975C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3460" y="36743640"/>
          <a:ext cx="78486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31" name="Imagen 30">
          <a:extLst>
            <a:ext uri="{FF2B5EF4-FFF2-40B4-BE49-F238E27FC236}">
              <a16:creationId xmlns:a16="http://schemas.microsoft.com/office/drawing/2014/main" id="{90E6E70D-79C6-42DD-A674-B0C53C0E0DD9}"/>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3563" y="39791640"/>
          <a:ext cx="133" cy="43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2" name="1 Grupo">
          <a:extLst>
            <a:ext uri="{FF2B5EF4-FFF2-40B4-BE49-F238E27FC236}">
              <a16:creationId xmlns:a16="http://schemas.microsoft.com/office/drawing/2014/main" id="{404CD24C-EE7D-4A5B-B3A7-469BAEC330D8}"/>
            </a:ext>
          </a:extLst>
        </xdr:cNvPr>
        <xdr:cNvGrpSpPr>
          <a:grpSpLocks/>
        </xdr:cNvGrpSpPr>
      </xdr:nvGrpSpPr>
      <xdr:grpSpPr bwMode="auto">
        <a:xfrm>
          <a:off x="0" y="0"/>
          <a:ext cx="5653838" cy="1274375"/>
          <a:chOff x="57150" y="47625"/>
          <a:chExt cx="6316603" cy="1200288"/>
        </a:xfrm>
      </xdr:grpSpPr>
      <xdr:pic>
        <xdr:nvPicPr>
          <xdr:cNvPr id="33" name="1 Imagen" descr="ESCUDO-transp-lema-blanco.png">
            <a:extLst>
              <a:ext uri="{FF2B5EF4-FFF2-40B4-BE49-F238E27FC236}">
                <a16:creationId xmlns:a16="http://schemas.microsoft.com/office/drawing/2014/main" id="{245A8C8F-63F2-7B06-881A-D8155462C94E}"/>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4" name="3 CuadroTexto">
            <a:extLst>
              <a:ext uri="{FF2B5EF4-FFF2-40B4-BE49-F238E27FC236}">
                <a16:creationId xmlns:a16="http://schemas.microsoft.com/office/drawing/2014/main" id="{3B55912B-8E1E-6E82-20AE-D18AFA8A80C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35" name="1 Grupo">
          <a:extLst>
            <a:ext uri="{FF2B5EF4-FFF2-40B4-BE49-F238E27FC236}">
              <a16:creationId xmlns:a16="http://schemas.microsoft.com/office/drawing/2014/main" id="{CA7DBF4D-4AFC-432C-AB4B-7C15E0D0D0AC}"/>
            </a:ext>
          </a:extLst>
        </xdr:cNvPr>
        <xdr:cNvGrpSpPr>
          <a:grpSpLocks/>
        </xdr:cNvGrpSpPr>
      </xdr:nvGrpSpPr>
      <xdr:grpSpPr bwMode="auto">
        <a:xfrm>
          <a:off x="0" y="0"/>
          <a:ext cx="5653838" cy="1274375"/>
          <a:chOff x="57150" y="47625"/>
          <a:chExt cx="6316603" cy="1200288"/>
        </a:xfrm>
      </xdr:grpSpPr>
      <xdr:pic>
        <xdr:nvPicPr>
          <xdr:cNvPr id="36" name="1 Imagen" descr="ESCUDO-transp-lema-blanco.png">
            <a:extLst>
              <a:ext uri="{FF2B5EF4-FFF2-40B4-BE49-F238E27FC236}">
                <a16:creationId xmlns:a16="http://schemas.microsoft.com/office/drawing/2014/main" id="{CB372E09-F764-EE37-BAFF-1794AB22D42A}"/>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37" name="3 CuadroTexto">
            <a:extLst>
              <a:ext uri="{FF2B5EF4-FFF2-40B4-BE49-F238E27FC236}">
                <a16:creationId xmlns:a16="http://schemas.microsoft.com/office/drawing/2014/main" id="{FD7F4B7C-4EE4-9E2E-24DB-AE9F705CD6C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160021</xdr:colOff>
      <xdr:row>131</xdr:row>
      <xdr:rowOff>45720</xdr:rowOff>
    </xdr:from>
    <xdr:to>
      <xdr:col>3</xdr:col>
      <xdr:colOff>5364</xdr:colOff>
      <xdr:row>131</xdr:row>
      <xdr:rowOff>141740</xdr:rowOff>
    </xdr:to>
    <xdr:pic>
      <xdr:nvPicPr>
        <xdr:cNvPr id="2" name="Imagen 1">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8785" y="59351929"/>
          <a:ext cx="3582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4821</xdr:colOff>
      <xdr:row>144</xdr:row>
      <xdr:rowOff>60960</xdr:rowOff>
    </xdr:from>
    <xdr:to>
      <xdr:col>3</xdr:col>
      <xdr:colOff>777466</xdr:colOff>
      <xdr:row>145</xdr:row>
      <xdr:rowOff>175286</xdr:rowOff>
    </xdr:to>
    <xdr:pic>
      <xdr:nvPicPr>
        <xdr:cNvPr id="3" name="Imagen 2">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86469" y="63721455"/>
          <a:ext cx="772645" cy="302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2300-000004000000}"/>
            </a:ext>
          </a:extLst>
        </xdr:cNvPr>
        <xdr:cNvGrpSpPr>
          <a:grpSpLocks/>
        </xdr:cNvGrpSpPr>
      </xdr:nvGrpSpPr>
      <xdr:grpSpPr bwMode="auto">
        <a:xfrm>
          <a:off x="0" y="0"/>
          <a:ext cx="6422188" cy="1280725"/>
          <a:chOff x="57150" y="47625"/>
          <a:chExt cx="6316603" cy="1200288"/>
        </a:xfrm>
      </xdr:grpSpPr>
      <xdr:pic>
        <xdr:nvPicPr>
          <xdr:cNvPr id="5" name="1 Imagen" descr="ESCUDO-transp-lema-blanco.png">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2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958AB1C3-3B3C-425E-A31E-52A66F334CB5}"/>
            </a:ext>
          </a:extLst>
        </xdr:cNvPr>
        <xdr:cNvGrpSpPr>
          <a:grpSpLocks/>
        </xdr:cNvGrpSpPr>
      </xdr:nvGrpSpPr>
      <xdr:grpSpPr bwMode="auto">
        <a:xfrm>
          <a:off x="0" y="0"/>
          <a:ext cx="6422188" cy="1280725"/>
          <a:chOff x="57150" y="47625"/>
          <a:chExt cx="6316603" cy="1200288"/>
        </a:xfrm>
      </xdr:grpSpPr>
      <xdr:pic>
        <xdr:nvPicPr>
          <xdr:cNvPr id="8" name="1 Imagen" descr="ESCUDO-transp-lema-blanco.png">
            <a:extLst>
              <a:ext uri="{FF2B5EF4-FFF2-40B4-BE49-F238E27FC236}">
                <a16:creationId xmlns:a16="http://schemas.microsoft.com/office/drawing/2014/main" id="{1279C031-28D9-4B3F-8CB9-61844F2B78BD}"/>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C306894D-71D3-4FFA-A89B-69458E30F00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0" name="1 Grupo">
          <a:extLst>
            <a:ext uri="{FF2B5EF4-FFF2-40B4-BE49-F238E27FC236}">
              <a16:creationId xmlns:a16="http://schemas.microsoft.com/office/drawing/2014/main" id="{C00F6E2E-2E03-425F-A7E6-38BB9ABCF69B}"/>
            </a:ext>
          </a:extLst>
        </xdr:cNvPr>
        <xdr:cNvGrpSpPr>
          <a:grpSpLocks/>
        </xdr:cNvGrpSpPr>
      </xdr:nvGrpSpPr>
      <xdr:grpSpPr bwMode="auto">
        <a:xfrm>
          <a:off x="0" y="0"/>
          <a:ext cx="6422188" cy="1280725"/>
          <a:chOff x="57150" y="47625"/>
          <a:chExt cx="6316603" cy="1200288"/>
        </a:xfrm>
      </xdr:grpSpPr>
      <xdr:pic>
        <xdr:nvPicPr>
          <xdr:cNvPr id="11" name="1 Imagen" descr="ESCUDO-transp-lema-blanco.png">
            <a:extLst>
              <a:ext uri="{FF2B5EF4-FFF2-40B4-BE49-F238E27FC236}">
                <a16:creationId xmlns:a16="http://schemas.microsoft.com/office/drawing/2014/main" id="{C38E1EC9-B300-4FFD-929B-C96DAC65CC12}"/>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81D5390B-F6AC-49D2-941E-679B2E70B0B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58616</xdr:rowOff>
    </xdr:from>
    <xdr:to>
      <xdr:col>24</xdr:col>
      <xdr:colOff>696056</xdr:colOff>
      <xdr:row>1</xdr:row>
      <xdr:rowOff>640</xdr:rowOff>
    </xdr:to>
    <xdr:grpSp>
      <xdr:nvGrpSpPr>
        <xdr:cNvPr id="2" name="1 Grupo">
          <a:extLst>
            <a:ext uri="{FF2B5EF4-FFF2-40B4-BE49-F238E27FC236}">
              <a16:creationId xmlns:a16="http://schemas.microsoft.com/office/drawing/2014/main" id="{E8FC3A1B-E62B-4961-936B-C671AACF7BE7}"/>
            </a:ext>
          </a:extLst>
        </xdr:cNvPr>
        <xdr:cNvGrpSpPr>
          <a:grpSpLocks/>
        </xdr:cNvGrpSpPr>
      </xdr:nvGrpSpPr>
      <xdr:grpSpPr bwMode="auto">
        <a:xfrm>
          <a:off x="0" y="58616"/>
          <a:ext cx="35900456" cy="985964"/>
          <a:chOff x="57150" y="170793"/>
          <a:chExt cx="8104898" cy="1863624"/>
        </a:xfrm>
      </xdr:grpSpPr>
      <xdr:pic>
        <xdr:nvPicPr>
          <xdr:cNvPr id="3" name="1 Imagen" descr="ESCUDO-transp-lema-blanco.png">
            <a:extLst>
              <a:ext uri="{FF2B5EF4-FFF2-40B4-BE49-F238E27FC236}">
                <a16:creationId xmlns:a16="http://schemas.microsoft.com/office/drawing/2014/main" id="{189DF15E-5EB3-A9BA-57C8-6EEEE24D516F}"/>
              </a:ext>
            </a:extLst>
          </xdr:cNvPr>
          <xdr:cNvPicPr>
            <a:picLocks noChangeAspect="1"/>
          </xdr:cNvPicPr>
        </xdr:nvPicPr>
        <xdr:blipFill>
          <a:blip xmlns:r="http://schemas.openxmlformats.org/officeDocument/2006/relationships" r:embed="rId1" cstate="print"/>
          <a:srcRect/>
          <a:stretch>
            <a:fillRect/>
          </a:stretch>
        </xdr:blipFill>
        <xdr:spPr bwMode="auto">
          <a:xfrm>
            <a:off x="57150" y="170793"/>
            <a:ext cx="239804" cy="1863624"/>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id="{AC28E677-C1D4-488C-1F9B-E297C11A8F34}"/>
              </a:ext>
            </a:extLst>
          </xdr:cNvPr>
          <xdr:cNvSpPr txBox="1"/>
        </xdr:nvSpPr>
        <xdr:spPr>
          <a:xfrm>
            <a:off x="311869" y="310548"/>
            <a:ext cx="7850179" cy="15537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oneCellAnchor>
    <xdr:from>
      <xdr:col>0</xdr:col>
      <xdr:colOff>71557</xdr:colOff>
      <xdr:row>0</xdr:row>
      <xdr:rowOff>0</xdr:rowOff>
    </xdr:from>
    <xdr:ext cx="31613386" cy="1047750"/>
    <xdr:grpSp>
      <xdr:nvGrpSpPr>
        <xdr:cNvPr id="5" name="Shape 2">
          <a:extLst>
            <a:ext uri="{FF2B5EF4-FFF2-40B4-BE49-F238E27FC236}">
              <a16:creationId xmlns:a16="http://schemas.microsoft.com/office/drawing/2014/main" id="{637ED030-9AD0-40CD-9A05-19750DA6C983}"/>
            </a:ext>
          </a:extLst>
        </xdr:cNvPr>
        <xdr:cNvGrpSpPr/>
      </xdr:nvGrpSpPr>
      <xdr:grpSpPr>
        <a:xfrm>
          <a:off x="71557" y="0"/>
          <a:ext cx="31613386" cy="1047750"/>
          <a:chOff x="0" y="3256125"/>
          <a:chExt cx="10691970" cy="1047750"/>
        </a:xfrm>
      </xdr:grpSpPr>
      <xdr:grpSp>
        <xdr:nvGrpSpPr>
          <xdr:cNvPr id="6" name="Shape 7">
            <a:extLst>
              <a:ext uri="{FF2B5EF4-FFF2-40B4-BE49-F238E27FC236}">
                <a16:creationId xmlns:a16="http://schemas.microsoft.com/office/drawing/2014/main" id="{A663D3B7-539B-FFF0-6665-0E0030325321}"/>
              </a:ext>
            </a:extLst>
          </xdr:cNvPr>
          <xdr:cNvGrpSpPr/>
        </xdr:nvGrpSpPr>
        <xdr:grpSpPr>
          <a:xfrm>
            <a:off x="0" y="3256125"/>
            <a:ext cx="10691970" cy="1047750"/>
            <a:chOff x="57150" y="170793"/>
            <a:chExt cx="8104875" cy="1863624"/>
          </a:xfrm>
        </xdr:grpSpPr>
        <xdr:sp macro="" textlink="">
          <xdr:nvSpPr>
            <xdr:cNvPr id="7" name="Shape 4">
              <a:extLst>
                <a:ext uri="{FF2B5EF4-FFF2-40B4-BE49-F238E27FC236}">
                  <a16:creationId xmlns:a16="http://schemas.microsoft.com/office/drawing/2014/main" id="{9F450D5C-9584-D60B-FBED-77291D41EE0C}"/>
                </a:ext>
              </a:extLst>
            </xdr:cNvPr>
            <xdr:cNvSpPr/>
          </xdr:nvSpPr>
          <xdr:spPr>
            <a:xfrm>
              <a:off x="57150" y="170793"/>
              <a:ext cx="8104875" cy="1863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 name="Shape 8" descr="ESCUDO-transp-lema-blanco.png">
              <a:extLst>
                <a:ext uri="{FF2B5EF4-FFF2-40B4-BE49-F238E27FC236}">
                  <a16:creationId xmlns:a16="http://schemas.microsoft.com/office/drawing/2014/main" id="{E731C366-6EBB-94E5-9BC7-EA9A5E408962}"/>
                </a:ext>
              </a:extLst>
            </xdr:cNvPr>
            <xdr:cNvPicPr preferRelativeResize="0"/>
          </xdr:nvPicPr>
          <xdr:blipFill rotWithShape="1">
            <a:blip xmlns:r="http://schemas.openxmlformats.org/officeDocument/2006/relationships" r:embed="rId1">
              <a:alphaModFix/>
            </a:blip>
            <a:srcRect/>
            <a:stretch/>
          </xdr:blipFill>
          <xdr:spPr>
            <a:xfrm>
              <a:off x="57150" y="170793"/>
              <a:ext cx="239804" cy="1863624"/>
            </a:xfrm>
            <a:prstGeom prst="rect">
              <a:avLst/>
            </a:prstGeom>
            <a:noFill/>
            <a:ln>
              <a:noFill/>
            </a:ln>
          </xdr:spPr>
        </xdr:pic>
      </xdr:grpSp>
    </xdr:grpSp>
    <xdr:clientData fLocksWithSheet="0"/>
  </xdr:oneCellAnchor>
  <xdr:oneCellAnchor>
    <xdr:from>
      <xdr:col>0</xdr:col>
      <xdr:colOff>71557</xdr:colOff>
      <xdr:row>0</xdr:row>
      <xdr:rowOff>0</xdr:rowOff>
    </xdr:from>
    <xdr:ext cx="31613386" cy="1047750"/>
    <xdr:grpSp>
      <xdr:nvGrpSpPr>
        <xdr:cNvPr id="9" name="Shape 2">
          <a:extLst>
            <a:ext uri="{FF2B5EF4-FFF2-40B4-BE49-F238E27FC236}">
              <a16:creationId xmlns:a16="http://schemas.microsoft.com/office/drawing/2014/main" id="{47AC8C2B-585B-464F-A734-4A2C8938C14F}"/>
            </a:ext>
          </a:extLst>
        </xdr:cNvPr>
        <xdr:cNvGrpSpPr/>
      </xdr:nvGrpSpPr>
      <xdr:grpSpPr>
        <a:xfrm>
          <a:off x="71557" y="0"/>
          <a:ext cx="31613386" cy="1047750"/>
          <a:chOff x="0" y="3256125"/>
          <a:chExt cx="10691970" cy="1047750"/>
        </a:xfrm>
      </xdr:grpSpPr>
      <xdr:grpSp>
        <xdr:nvGrpSpPr>
          <xdr:cNvPr id="10" name="Shape 7">
            <a:extLst>
              <a:ext uri="{FF2B5EF4-FFF2-40B4-BE49-F238E27FC236}">
                <a16:creationId xmlns:a16="http://schemas.microsoft.com/office/drawing/2014/main" id="{D07EF16B-BF49-6F38-BB55-60043FD89397}"/>
              </a:ext>
            </a:extLst>
          </xdr:cNvPr>
          <xdr:cNvGrpSpPr/>
        </xdr:nvGrpSpPr>
        <xdr:grpSpPr>
          <a:xfrm>
            <a:off x="0" y="3256125"/>
            <a:ext cx="10691970" cy="1047750"/>
            <a:chOff x="57150" y="170793"/>
            <a:chExt cx="8104875" cy="1863624"/>
          </a:xfrm>
        </xdr:grpSpPr>
        <xdr:sp macro="" textlink="">
          <xdr:nvSpPr>
            <xdr:cNvPr id="11" name="Shape 4">
              <a:extLst>
                <a:ext uri="{FF2B5EF4-FFF2-40B4-BE49-F238E27FC236}">
                  <a16:creationId xmlns:a16="http://schemas.microsoft.com/office/drawing/2014/main" id="{E5C2CC4D-C7E4-02A6-F1E3-B20A4422F7F3}"/>
                </a:ext>
              </a:extLst>
            </xdr:cNvPr>
            <xdr:cNvSpPr/>
          </xdr:nvSpPr>
          <xdr:spPr>
            <a:xfrm>
              <a:off x="57150" y="170793"/>
              <a:ext cx="8104875" cy="1863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8" descr="ESCUDO-transp-lema-blanco.png">
              <a:extLst>
                <a:ext uri="{FF2B5EF4-FFF2-40B4-BE49-F238E27FC236}">
                  <a16:creationId xmlns:a16="http://schemas.microsoft.com/office/drawing/2014/main" id="{A12EC76C-84F5-E699-2045-F99873515C17}"/>
                </a:ext>
              </a:extLst>
            </xdr:cNvPr>
            <xdr:cNvPicPr preferRelativeResize="0"/>
          </xdr:nvPicPr>
          <xdr:blipFill rotWithShape="1">
            <a:blip xmlns:r="http://schemas.openxmlformats.org/officeDocument/2006/relationships" r:embed="rId1">
              <a:alphaModFix/>
            </a:blip>
            <a:srcRect/>
            <a:stretch/>
          </xdr:blipFill>
          <xdr:spPr>
            <a:xfrm>
              <a:off x="57150" y="170793"/>
              <a:ext cx="239804" cy="1863624"/>
            </a:xfrm>
            <a:prstGeom prst="rect">
              <a:avLst/>
            </a:prstGeom>
            <a:noFill/>
            <a:ln>
              <a:noFill/>
            </a:ln>
          </xdr:spPr>
        </xdr:pic>
      </xdr:grpSp>
    </xdr:grpSp>
    <xdr:clientData fLocksWithSheet="0"/>
  </xdr:oneCellAnchor>
  <xdr:twoCellAnchor>
    <xdr:from>
      <xdr:col>0</xdr:col>
      <xdr:colOff>0</xdr:colOff>
      <xdr:row>0</xdr:row>
      <xdr:rowOff>58616</xdr:rowOff>
    </xdr:from>
    <xdr:to>
      <xdr:col>24</xdr:col>
      <xdr:colOff>696056</xdr:colOff>
      <xdr:row>1</xdr:row>
      <xdr:rowOff>640</xdr:rowOff>
    </xdr:to>
    <xdr:grpSp>
      <xdr:nvGrpSpPr>
        <xdr:cNvPr id="13" name="1 Grupo">
          <a:extLst>
            <a:ext uri="{FF2B5EF4-FFF2-40B4-BE49-F238E27FC236}">
              <a16:creationId xmlns:a16="http://schemas.microsoft.com/office/drawing/2014/main" id="{1E6CD25A-F3DB-4321-8E7C-ECBB3AFE8654}"/>
            </a:ext>
          </a:extLst>
        </xdr:cNvPr>
        <xdr:cNvGrpSpPr>
          <a:grpSpLocks/>
        </xdr:cNvGrpSpPr>
      </xdr:nvGrpSpPr>
      <xdr:grpSpPr bwMode="auto">
        <a:xfrm>
          <a:off x="0" y="58616"/>
          <a:ext cx="35900456" cy="985964"/>
          <a:chOff x="57150" y="170793"/>
          <a:chExt cx="8104898" cy="1863624"/>
        </a:xfrm>
      </xdr:grpSpPr>
      <xdr:pic>
        <xdr:nvPicPr>
          <xdr:cNvPr id="14" name="1 Imagen" descr="ESCUDO-transp-lema-blanco.png">
            <a:extLst>
              <a:ext uri="{FF2B5EF4-FFF2-40B4-BE49-F238E27FC236}">
                <a16:creationId xmlns:a16="http://schemas.microsoft.com/office/drawing/2014/main" id="{831E8566-83CC-1BF5-3AF1-0C1E46640109}"/>
              </a:ext>
            </a:extLst>
          </xdr:cNvPr>
          <xdr:cNvPicPr>
            <a:picLocks noChangeAspect="1"/>
          </xdr:cNvPicPr>
        </xdr:nvPicPr>
        <xdr:blipFill>
          <a:blip xmlns:r="http://schemas.openxmlformats.org/officeDocument/2006/relationships" r:embed="rId1" cstate="print"/>
          <a:srcRect/>
          <a:stretch>
            <a:fillRect/>
          </a:stretch>
        </xdr:blipFill>
        <xdr:spPr bwMode="auto">
          <a:xfrm>
            <a:off x="57150" y="170793"/>
            <a:ext cx="239804" cy="1863624"/>
          </a:xfrm>
          <a:prstGeom prst="rect">
            <a:avLst/>
          </a:prstGeom>
          <a:noFill/>
          <a:ln w="9525">
            <a:noFill/>
            <a:miter lim="800000"/>
            <a:headEnd/>
            <a:tailEnd/>
          </a:ln>
        </xdr:spPr>
      </xdr:pic>
      <xdr:sp macro="" textlink="">
        <xdr:nvSpPr>
          <xdr:cNvPr id="15" name="3 CuadroTexto">
            <a:extLst>
              <a:ext uri="{FF2B5EF4-FFF2-40B4-BE49-F238E27FC236}">
                <a16:creationId xmlns:a16="http://schemas.microsoft.com/office/drawing/2014/main" id="{0700731E-421B-A2E1-26E9-C1B1E5C539F5}"/>
              </a:ext>
            </a:extLst>
          </xdr:cNvPr>
          <xdr:cNvSpPr txBox="1"/>
        </xdr:nvSpPr>
        <xdr:spPr>
          <a:xfrm>
            <a:off x="311869" y="310548"/>
            <a:ext cx="7850179" cy="15537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oneCellAnchor>
    <xdr:from>
      <xdr:col>0</xdr:col>
      <xdr:colOff>71557</xdr:colOff>
      <xdr:row>0</xdr:row>
      <xdr:rowOff>0</xdr:rowOff>
    </xdr:from>
    <xdr:ext cx="31613386" cy="1047750"/>
    <xdr:grpSp>
      <xdr:nvGrpSpPr>
        <xdr:cNvPr id="16" name="Shape 2">
          <a:extLst>
            <a:ext uri="{FF2B5EF4-FFF2-40B4-BE49-F238E27FC236}">
              <a16:creationId xmlns:a16="http://schemas.microsoft.com/office/drawing/2014/main" id="{22CBB80D-841A-4478-800C-B3A7DEB29B36}"/>
            </a:ext>
          </a:extLst>
        </xdr:cNvPr>
        <xdr:cNvGrpSpPr/>
      </xdr:nvGrpSpPr>
      <xdr:grpSpPr>
        <a:xfrm>
          <a:off x="71557" y="0"/>
          <a:ext cx="31613386" cy="1047750"/>
          <a:chOff x="0" y="3256125"/>
          <a:chExt cx="10691970" cy="1047750"/>
        </a:xfrm>
      </xdr:grpSpPr>
      <xdr:grpSp>
        <xdr:nvGrpSpPr>
          <xdr:cNvPr id="17" name="Shape 7">
            <a:extLst>
              <a:ext uri="{FF2B5EF4-FFF2-40B4-BE49-F238E27FC236}">
                <a16:creationId xmlns:a16="http://schemas.microsoft.com/office/drawing/2014/main" id="{6B2A25F7-1C48-EF02-493E-DF2BB369AC5C}"/>
              </a:ext>
            </a:extLst>
          </xdr:cNvPr>
          <xdr:cNvGrpSpPr/>
        </xdr:nvGrpSpPr>
        <xdr:grpSpPr>
          <a:xfrm>
            <a:off x="0" y="3256125"/>
            <a:ext cx="10691970" cy="1047750"/>
            <a:chOff x="57150" y="170793"/>
            <a:chExt cx="8104875" cy="1863624"/>
          </a:xfrm>
        </xdr:grpSpPr>
        <xdr:sp macro="" textlink="">
          <xdr:nvSpPr>
            <xdr:cNvPr id="18" name="Shape 4">
              <a:extLst>
                <a:ext uri="{FF2B5EF4-FFF2-40B4-BE49-F238E27FC236}">
                  <a16:creationId xmlns:a16="http://schemas.microsoft.com/office/drawing/2014/main" id="{369658B4-DA3A-C5DE-ADE6-AA64C92AFB72}"/>
                </a:ext>
              </a:extLst>
            </xdr:cNvPr>
            <xdr:cNvSpPr/>
          </xdr:nvSpPr>
          <xdr:spPr>
            <a:xfrm>
              <a:off x="57150" y="170793"/>
              <a:ext cx="8104875" cy="1863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9" name="Shape 8" descr="ESCUDO-transp-lema-blanco.png">
              <a:extLst>
                <a:ext uri="{FF2B5EF4-FFF2-40B4-BE49-F238E27FC236}">
                  <a16:creationId xmlns:a16="http://schemas.microsoft.com/office/drawing/2014/main" id="{25DAF60C-7C96-588E-A2F0-618C858CD70B}"/>
                </a:ext>
              </a:extLst>
            </xdr:cNvPr>
            <xdr:cNvPicPr preferRelativeResize="0"/>
          </xdr:nvPicPr>
          <xdr:blipFill rotWithShape="1">
            <a:blip xmlns:r="http://schemas.openxmlformats.org/officeDocument/2006/relationships" r:embed="rId1">
              <a:alphaModFix/>
            </a:blip>
            <a:srcRect/>
            <a:stretch/>
          </xdr:blipFill>
          <xdr:spPr>
            <a:xfrm>
              <a:off x="57150" y="170793"/>
              <a:ext cx="239804" cy="1863624"/>
            </a:xfrm>
            <a:prstGeom prst="rect">
              <a:avLst/>
            </a:prstGeom>
            <a:noFill/>
            <a:ln>
              <a:noFill/>
            </a:ln>
          </xdr:spPr>
        </xdr:pic>
      </xdr:grpSp>
    </xdr:grpSp>
    <xdr:clientData fLocksWithSheet="0"/>
  </xdr:oneCellAnchor>
  <xdr:oneCellAnchor>
    <xdr:from>
      <xdr:col>0</xdr:col>
      <xdr:colOff>71557</xdr:colOff>
      <xdr:row>0</xdr:row>
      <xdr:rowOff>0</xdr:rowOff>
    </xdr:from>
    <xdr:ext cx="31613386" cy="1047750"/>
    <xdr:grpSp>
      <xdr:nvGrpSpPr>
        <xdr:cNvPr id="20" name="Shape 2">
          <a:extLst>
            <a:ext uri="{FF2B5EF4-FFF2-40B4-BE49-F238E27FC236}">
              <a16:creationId xmlns:a16="http://schemas.microsoft.com/office/drawing/2014/main" id="{EBBAB5D2-43E8-4E75-9880-E75D07BE164E}"/>
            </a:ext>
          </a:extLst>
        </xdr:cNvPr>
        <xdr:cNvGrpSpPr/>
      </xdr:nvGrpSpPr>
      <xdr:grpSpPr>
        <a:xfrm>
          <a:off x="71557" y="0"/>
          <a:ext cx="31613386" cy="1047750"/>
          <a:chOff x="0" y="3256125"/>
          <a:chExt cx="10691970" cy="1047750"/>
        </a:xfrm>
      </xdr:grpSpPr>
      <xdr:grpSp>
        <xdr:nvGrpSpPr>
          <xdr:cNvPr id="21" name="Shape 7">
            <a:extLst>
              <a:ext uri="{FF2B5EF4-FFF2-40B4-BE49-F238E27FC236}">
                <a16:creationId xmlns:a16="http://schemas.microsoft.com/office/drawing/2014/main" id="{A6BA29D8-BE4B-4494-DD34-2A4A5E7586F6}"/>
              </a:ext>
            </a:extLst>
          </xdr:cNvPr>
          <xdr:cNvGrpSpPr/>
        </xdr:nvGrpSpPr>
        <xdr:grpSpPr>
          <a:xfrm>
            <a:off x="0" y="3256125"/>
            <a:ext cx="10691970" cy="1047750"/>
            <a:chOff x="57150" y="170793"/>
            <a:chExt cx="8104875" cy="1863624"/>
          </a:xfrm>
        </xdr:grpSpPr>
        <xdr:sp macro="" textlink="">
          <xdr:nvSpPr>
            <xdr:cNvPr id="22" name="Shape 4">
              <a:extLst>
                <a:ext uri="{FF2B5EF4-FFF2-40B4-BE49-F238E27FC236}">
                  <a16:creationId xmlns:a16="http://schemas.microsoft.com/office/drawing/2014/main" id="{F2C95A7A-A722-6E5B-D6CB-56DBF371CC6D}"/>
                </a:ext>
              </a:extLst>
            </xdr:cNvPr>
            <xdr:cNvSpPr/>
          </xdr:nvSpPr>
          <xdr:spPr>
            <a:xfrm>
              <a:off x="57150" y="170793"/>
              <a:ext cx="8104875" cy="1863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3" name="Shape 8" descr="ESCUDO-transp-lema-blanco.png">
              <a:extLst>
                <a:ext uri="{FF2B5EF4-FFF2-40B4-BE49-F238E27FC236}">
                  <a16:creationId xmlns:a16="http://schemas.microsoft.com/office/drawing/2014/main" id="{5D052494-F077-48FC-E7FB-E35697E793E2}"/>
                </a:ext>
              </a:extLst>
            </xdr:cNvPr>
            <xdr:cNvPicPr preferRelativeResize="0"/>
          </xdr:nvPicPr>
          <xdr:blipFill rotWithShape="1">
            <a:blip xmlns:r="http://schemas.openxmlformats.org/officeDocument/2006/relationships" r:embed="rId1">
              <a:alphaModFix/>
            </a:blip>
            <a:srcRect/>
            <a:stretch/>
          </xdr:blipFill>
          <xdr:spPr>
            <a:xfrm>
              <a:off x="57150" y="170793"/>
              <a:ext cx="239804" cy="1863624"/>
            </a:xfrm>
            <a:prstGeom prst="rect">
              <a:avLst/>
            </a:prstGeom>
            <a:noFill/>
            <a:ln>
              <a:noFill/>
            </a:ln>
          </xdr:spPr>
        </xdr:pic>
      </xdr:grpSp>
    </xdr:grpSp>
    <xdr:clientData fLocksWithSheet="0"/>
  </xdr:one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872837</xdr:colOff>
      <xdr:row>0</xdr:row>
      <xdr:rowOff>1080392</xdr:rowOff>
    </xdr:to>
    <xdr:pic>
      <xdr:nvPicPr>
        <xdr:cNvPr id="2" name="1 Imagen" descr="ESCUDO-transp-lema-blanco.png">
          <a:extLst>
            <a:ext uri="{FF2B5EF4-FFF2-40B4-BE49-F238E27FC236}">
              <a16:creationId xmlns:a16="http://schemas.microsoft.com/office/drawing/2014/main" id="{9F97D419-E32D-4056-B4E2-4EE95551A0FF}"/>
            </a:ext>
          </a:extLst>
        </xdr:cNvPr>
        <xdr:cNvPicPr>
          <a:picLocks noChangeAspect="1"/>
        </xdr:cNvPicPr>
      </xdr:nvPicPr>
      <xdr:blipFill>
        <a:blip xmlns:r="http://schemas.openxmlformats.org/officeDocument/2006/relationships" r:embed="rId1" cstate="print"/>
        <a:srcRect/>
        <a:stretch>
          <a:fillRect/>
        </a:stretch>
      </xdr:blipFill>
      <xdr:spPr bwMode="auto">
        <a:xfrm>
          <a:off x="1" y="0"/>
          <a:ext cx="872836" cy="1080392"/>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a:extLst>
            <a:ext uri="{FF2B5EF4-FFF2-40B4-BE49-F238E27FC236}">
              <a16:creationId xmlns:a16="http://schemas.microsoft.com/office/drawing/2014/main" id="{C9F7962A-9E95-4A39-9AAD-E8303E5463F4}"/>
            </a:ext>
          </a:extLst>
        </xdr:cNvPr>
        <xdr:cNvSpPr txBox="1"/>
      </xdr:nvSpPr>
      <xdr:spPr bwMode="auto">
        <a:xfrm>
          <a:off x="1266825" y="428625"/>
          <a:ext cx="491109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a:extLst>
            <a:ext uri="{FF2B5EF4-FFF2-40B4-BE49-F238E27FC236}">
              <a16:creationId xmlns:a16="http://schemas.microsoft.com/office/drawing/2014/main" id="{00000000-0008-0000-0800-000002000000}"/>
            </a:ext>
          </a:extLst>
        </xdr:cNvPr>
        <xdr:cNvGrpSpPr>
          <a:grpSpLocks/>
        </xdr:cNvGrpSpPr>
      </xdr:nvGrpSpPr>
      <xdr:grpSpPr bwMode="auto">
        <a:xfrm>
          <a:off x="0" y="0"/>
          <a:ext cx="9403080" cy="1661160"/>
          <a:chOff x="57150" y="47625"/>
          <a:chExt cx="6181725" cy="1581150"/>
        </a:xfrm>
      </xdr:grpSpPr>
      <xdr:pic>
        <xdr:nvPicPr>
          <xdr:cNvPr id="3" name="1 Imagen" descr="ESCUDO-transp-lema-blanco.pn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id="{00000000-0008-0000-0800-000004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127</xdr:row>
      <xdr:rowOff>167640</xdr:rowOff>
    </xdr:from>
    <xdr:to>
      <xdr:col>5</xdr:col>
      <xdr:colOff>84107</xdr:colOff>
      <xdr:row>128</xdr:row>
      <xdr:rowOff>121932</xdr:rowOff>
    </xdr:to>
    <xdr:pic>
      <xdr:nvPicPr>
        <xdr:cNvPr id="2" name="Imagen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2117" y="38500905"/>
          <a:ext cx="3310944" cy="148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162</xdr:row>
      <xdr:rowOff>38100</xdr:rowOff>
    </xdr:from>
    <xdr:to>
      <xdr:col>3</xdr:col>
      <xdr:colOff>1257378</xdr:colOff>
      <xdr:row>163</xdr:row>
      <xdr:rowOff>68598</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5498" y="45612309"/>
          <a:ext cx="883997" cy="234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170</xdr:row>
      <xdr:rowOff>38100</xdr:rowOff>
    </xdr:from>
    <xdr:to>
      <xdr:col>3</xdr:col>
      <xdr:colOff>1691776</xdr:colOff>
      <xdr:row>170</xdr:row>
      <xdr:rowOff>192431</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9278" y="47332641"/>
          <a:ext cx="1554615" cy="15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62</xdr:row>
      <xdr:rowOff>53340</xdr:rowOff>
    </xdr:from>
    <xdr:to>
      <xdr:col>5</xdr:col>
      <xdr:colOff>312708</xdr:colOff>
      <xdr:row>62</xdr:row>
      <xdr:rowOff>171462</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40718" y="23331274"/>
          <a:ext cx="3310944" cy="118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a:extLst>
            <a:ext uri="{FF2B5EF4-FFF2-40B4-BE49-F238E27FC236}">
              <a16:creationId xmlns:a16="http://schemas.microsoft.com/office/drawing/2014/main" id="{00000000-0008-0000-0900-000006000000}"/>
            </a:ext>
          </a:extLst>
        </xdr:cNvPr>
        <xdr:cNvGrpSpPr>
          <a:grpSpLocks/>
        </xdr:cNvGrpSpPr>
      </xdr:nvGrpSpPr>
      <xdr:grpSpPr bwMode="auto">
        <a:xfrm>
          <a:off x="0" y="0"/>
          <a:ext cx="6906905" cy="1261675"/>
          <a:chOff x="57150" y="47625"/>
          <a:chExt cx="6316603" cy="1200288"/>
        </a:xfrm>
      </xdr:grpSpPr>
      <xdr:pic>
        <xdr:nvPicPr>
          <xdr:cNvPr id="7" name="1 Imagen" descr="ESCUDO-transp-lema-blanco.png">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00000000-0008-0000-0900-000008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5DAB9065-DE37-4491-A781-DA77E69BF44C}"/>
            </a:ext>
          </a:extLst>
        </xdr:cNvPr>
        <xdr:cNvGrpSpPr>
          <a:grpSpLocks/>
        </xdr:cNvGrpSpPr>
      </xdr:nvGrpSpPr>
      <xdr:grpSpPr bwMode="auto">
        <a:xfrm>
          <a:off x="0" y="0"/>
          <a:ext cx="6906905" cy="1274375"/>
          <a:chOff x="57150" y="47625"/>
          <a:chExt cx="6316603" cy="1200288"/>
        </a:xfrm>
      </xdr:grpSpPr>
      <xdr:pic>
        <xdr:nvPicPr>
          <xdr:cNvPr id="10" name="1 Imagen" descr="ESCUDO-transp-lema-blanco.png">
            <a:extLst>
              <a:ext uri="{FF2B5EF4-FFF2-40B4-BE49-F238E27FC236}">
                <a16:creationId xmlns:a16="http://schemas.microsoft.com/office/drawing/2014/main" id="{1E124E96-CD57-4EF8-BFA8-4A02A260C44E}"/>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8B3775CD-2BDF-4DF8-BD85-DC89B2D9F60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548D9731-8240-4DE4-9B17-399BB8940AC6}"/>
            </a:ext>
          </a:extLst>
        </xdr:cNvPr>
        <xdr:cNvGrpSpPr>
          <a:grpSpLocks/>
        </xdr:cNvGrpSpPr>
      </xdr:nvGrpSpPr>
      <xdr:grpSpPr bwMode="auto">
        <a:xfrm>
          <a:off x="0" y="0"/>
          <a:ext cx="6906905" cy="1274375"/>
          <a:chOff x="57150" y="47625"/>
          <a:chExt cx="6316603" cy="1200288"/>
        </a:xfrm>
      </xdr:grpSpPr>
      <xdr:pic>
        <xdr:nvPicPr>
          <xdr:cNvPr id="13" name="1 Imagen" descr="ESCUDO-transp-lema-blanco.png">
            <a:extLst>
              <a:ext uri="{FF2B5EF4-FFF2-40B4-BE49-F238E27FC236}">
                <a16:creationId xmlns:a16="http://schemas.microsoft.com/office/drawing/2014/main" id="{02CC8373-9F3E-45A0-9E4D-7E22CC321C18}"/>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91A51F2B-5949-45C8-BB8F-6F64260B074C}"/>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5" name="1 Grupo">
          <a:extLst>
            <a:ext uri="{FF2B5EF4-FFF2-40B4-BE49-F238E27FC236}">
              <a16:creationId xmlns:a16="http://schemas.microsoft.com/office/drawing/2014/main" id="{7B28E9BF-F5F0-4B16-A074-086E292D2298}"/>
            </a:ext>
          </a:extLst>
        </xdr:cNvPr>
        <xdr:cNvGrpSpPr>
          <a:grpSpLocks/>
        </xdr:cNvGrpSpPr>
      </xdr:nvGrpSpPr>
      <xdr:grpSpPr bwMode="auto">
        <a:xfrm>
          <a:off x="0" y="0"/>
          <a:ext cx="6906905" cy="1274375"/>
          <a:chOff x="57150" y="47625"/>
          <a:chExt cx="6316603" cy="1200288"/>
        </a:xfrm>
      </xdr:grpSpPr>
      <xdr:pic>
        <xdr:nvPicPr>
          <xdr:cNvPr id="16" name="1 Imagen" descr="ESCUDO-transp-lema-blanco.png">
            <a:extLst>
              <a:ext uri="{FF2B5EF4-FFF2-40B4-BE49-F238E27FC236}">
                <a16:creationId xmlns:a16="http://schemas.microsoft.com/office/drawing/2014/main" id="{13585EDA-F62B-41A1-B1E4-376BA31EAD12}"/>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7" name="3 CuadroTexto">
            <a:extLst>
              <a:ext uri="{FF2B5EF4-FFF2-40B4-BE49-F238E27FC236}">
                <a16:creationId xmlns:a16="http://schemas.microsoft.com/office/drawing/2014/main" id="{659EBC4F-5E81-46EF-A02A-30299A10B915}"/>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601981</xdr:colOff>
      <xdr:row>68</xdr:row>
      <xdr:rowOff>0</xdr:rowOff>
    </xdr:from>
    <xdr:to>
      <xdr:col>3</xdr:col>
      <xdr:colOff>2065148</xdr:colOff>
      <xdr:row>69</xdr:row>
      <xdr:rowOff>83843</xdr:rowOff>
    </xdr:to>
    <xdr:pic>
      <xdr:nvPicPr>
        <xdr:cNvPr id="2" name="Imagen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A00-000003000000}"/>
            </a:ext>
          </a:extLst>
        </xdr:cNvPr>
        <xdr:cNvGrpSpPr>
          <a:grpSpLocks/>
        </xdr:cNvGrpSpPr>
      </xdr:nvGrpSpPr>
      <xdr:grpSpPr bwMode="auto">
        <a:xfrm>
          <a:off x="0" y="0"/>
          <a:ext cx="5808311" cy="1279559"/>
          <a:chOff x="57150" y="47625"/>
          <a:chExt cx="6316603" cy="1200288"/>
        </a:xfrm>
      </xdr:grpSpPr>
      <xdr:pic>
        <xdr:nvPicPr>
          <xdr:cNvPr id="4" name="1 Imagen" descr="ESCUDO-transp-lema-blanco.p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A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FDA10A9C-DA23-495E-8ED0-E214B8256292}"/>
            </a:ext>
          </a:extLst>
        </xdr:cNvPr>
        <xdr:cNvGrpSpPr>
          <a:grpSpLocks/>
        </xdr:cNvGrpSpPr>
      </xdr:nvGrpSpPr>
      <xdr:grpSpPr bwMode="auto">
        <a:xfrm>
          <a:off x="0" y="0"/>
          <a:ext cx="5808311" cy="1279559"/>
          <a:chOff x="57150" y="47625"/>
          <a:chExt cx="6316603" cy="1200288"/>
        </a:xfrm>
      </xdr:grpSpPr>
      <xdr:pic>
        <xdr:nvPicPr>
          <xdr:cNvPr id="7" name="1 Imagen" descr="ESCUDO-transp-lema-blanco.png">
            <a:extLst>
              <a:ext uri="{FF2B5EF4-FFF2-40B4-BE49-F238E27FC236}">
                <a16:creationId xmlns:a16="http://schemas.microsoft.com/office/drawing/2014/main" id="{D0FEBF8F-7E70-4851-ABC2-F53E1B4EBF9F}"/>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0883B276-3AB6-4226-9518-759E032C19A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7EBEE7D8-814F-4131-AE98-27C723344752}"/>
            </a:ext>
          </a:extLst>
        </xdr:cNvPr>
        <xdr:cNvGrpSpPr>
          <a:grpSpLocks/>
        </xdr:cNvGrpSpPr>
      </xdr:nvGrpSpPr>
      <xdr:grpSpPr bwMode="auto">
        <a:xfrm>
          <a:off x="0" y="0"/>
          <a:ext cx="5808311" cy="1279559"/>
          <a:chOff x="57150" y="47625"/>
          <a:chExt cx="6316603" cy="1200288"/>
        </a:xfrm>
      </xdr:grpSpPr>
      <xdr:pic>
        <xdr:nvPicPr>
          <xdr:cNvPr id="10" name="1 Imagen" descr="ESCUDO-transp-lema-blanco.png">
            <a:extLst>
              <a:ext uri="{FF2B5EF4-FFF2-40B4-BE49-F238E27FC236}">
                <a16:creationId xmlns:a16="http://schemas.microsoft.com/office/drawing/2014/main" id="{D6DCADE6-8079-4C6D-9628-27EB17B26D9E}"/>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9A546005-74D6-4F6C-A49C-A3D0A6AD263C}"/>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ED5A222D-8963-4D0F-9BAD-D6CDFAC4A88E}"/>
            </a:ext>
          </a:extLst>
        </xdr:cNvPr>
        <xdr:cNvGrpSpPr>
          <a:grpSpLocks/>
        </xdr:cNvGrpSpPr>
      </xdr:nvGrpSpPr>
      <xdr:grpSpPr bwMode="auto">
        <a:xfrm>
          <a:off x="0" y="0"/>
          <a:ext cx="5808311" cy="1279559"/>
          <a:chOff x="57150" y="47625"/>
          <a:chExt cx="6316603" cy="1200288"/>
        </a:xfrm>
      </xdr:grpSpPr>
      <xdr:pic>
        <xdr:nvPicPr>
          <xdr:cNvPr id="13" name="1 Imagen" descr="ESCUDO-transp-lema-blanco.png">
            <a:extLst>
              <a:ext uri="{FF2B5EF4-FFF2-40B4-BE49-F238E27FC236}">
                <a16:creationId xmlns:a16="http://schemas.microsoft.com/office/drawing/2014/main" id="{D72093D8-2304-4B75-9683-B556B0D73E41}"/>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33787D3C-59B7-47F1-B64A-CEEF1087844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B00-000003000000}"/>
            </a:ext>
          </a:extLst>
        </xdr:cNvPr>
        <xdr:cNvGrpSpPr>
          <a:grpSpLocks/>
        </xdr:cNvGrpSpPr>
      </xdr:nvGrpSpPr>
      <xdr:grpSpPr bwMode="auto">
        <a:xfrm>
          <a:off x="0" y="0"/>
          <a:ext cx="5971597" cy="1279559"/>
          <a:chOff x="57150" y="47625"/>
          <a:chExt cx="6316603" cy="1200288"/>
        </a:xfrm>
      </xdr:grpSpPr>
      <xdr:pic>
        <xdr:nvPicPr>
          <xdr:cNvPr id="4" name="1 Imagen" descr="ESCUDO-transp-lema-blanco.pn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B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6" name="1 Grupo">
          <a:extLst>
            <a:ext uri="{FF2B5EF4-FFF2-40B4-BE49-F238E27FC236}">
              <a16:creationId xmlns:a16="http://schemas.microsoft.com/office/drawing/2014/main" id="{4D409143-614F-4484-8491-A572DDC56C49}"/>
            </a:ext>
          </a:extLst>
        </xdr:cNvPr>
        <xdr:cNvGrpSpPr>
          <a:grpSpLocks/>
        </xdr:cNvGrpSpPr>
      </xdr:nvGrpSpPr>
      <xdr:grpSpPr bwMode="auto">
        <a:xfrm>
          <a:off x="0" y="0"/>
          <a:ext cx="5971597" cy="1279559"/>
          <a:chOff x="57150" y="47625"/>
          <a:chExt cx="6316603" cy="1200288"/>
        </a:xfrm>
      </xdr:grpSpPr>
      <xdr:pic>
        <xdr:nvPicPr>
          <xdr:cNvPr id="7" name="1 Imagen" descr="ESCUDO-transp-lema-blanco.png">
            <a:extLst>
              <a:ext uri="{FF2B5EF4-FFF2-40B4-BE49-F238E27FC236}">
                <a16:creationId xmlns:a16="http://schemas.microsoft.com/office/drawing/2014/main" id="{967902F1-B2F6-428B-9580-ABB9A144F8A8}"/>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66E40C88-47AD-43C5-A2FF-FE6431C16BA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9" name="1 Grupo">
          <a:extLst>
            <a:ext uri="{FF2B5EF4-FFF2-40B4-BE49-F238E27FC236}">
              <a16:creationId xmlns:a16="http://schemas.microsoft.com/office/drawing/2014/main" id="{6D654F85-1A7F-42B3-ADA5-3F73D9392FD3}"/>
            </a:ext>
          </a:extLst>
        </xdr:cNvPr>
        <xdr:cNvGrpSpPr>
          <a:grpSpLocks/>
        </xdr:cNvGrpSpPr>
      </xdr:nvGrpSpPr>
      <xdr:grpSpPr bwMode="auto">
        <a:xfrm>
          <a:off x="0" y="0"/>
          <a:ext cx="5971597" cy="1279559"/>
          <a:chOff x="57150" y="47625"/>
          <a:chExt cx="6316603" cy="1200288"/>
        </a:xfrm>
      </xdr:grpSpPr>
      <xdr:pic>
        <xdr:nvPicPr>
          <xdr:cNvPr id="10" name="1 Imagen" descr="ESCUDO-transp-lema-blanco.png">
            <a:extLst>
              <a:ext uri="{FF2B5EF4-FFF2-40B4-BE49-F238E27FC236}">
                <a16:creationId xmlns:a16="http://schemas.microsoft.com/office/drawing/2014/main" id="{F7E8429C-220D-4292-AF1B-76287DD3638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1" name="3 CuadroTexto">
            <a:extLst>
              <a:ext uri="{FF2B5EF4-FFF2-40B4-BE49-F238E27FC236}">
                <a16:creationId xmlns:a16="http://schemas.microsoft.com/office/drawing/2014/main" id="{B691C352-A14B-4B5C-A327-0AFDB047A0B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twoCellAnchor>
    <xdr:from>
      <xdr:col>0</xdr:col>
      <xdr:colOff>0</xdr:colOff>
      <xdr:row>0</xdr:row>
      <xdr:rowOff>0</xdr:rowOff>
    </xdr:from>
    <xdr:to>
      <xdr:col>6</xdr:col>
      <xdr:colOff>116638</xdr:colOff>
      <xdr:row>1</xdr:row>
      <xdr:rowOff>4375</xdr:rowOff>
    </xdr:to>
    <xdr:grpSp>
      <xdr:nvGrpSpPr>
        <xdr:cNvPr id="12" name="1 Grupo">
          <a:extLst>
            <a:ext uri="{FF2B5EF4-FFF2-40B4-BE49-F238E27FC236}">
              <a16:creationId xmlns:a16="http://schemas.microsoft.com/office/drawing/2014/main" id="{12582488-EE5D-45E8-B00E-AA0244F1643D}"/>
            </a:ext>
          </a:extLst>
        </xdr:cNvPr>
        <xdr:cNvGrpSpPr>
          <a:grpSpLocks/>
        </xdr:cNvGrpSpPr>
      </xdr:nvGrpSpPr>
      <xdr:grpSpPr bwMode="auto">
        <a:xfrm>
          <a:off x="0" y="0"/>
          <a:ext cx="5971597" cy="1279559"/>
          <a:chOff x="57150" y="47625"/>
          <a:chExt cx="6316603" cy="1200288"/>
        </a:xfrm>
      </xdr:grpSpPr>
      <xdr:pic>
        <xdr:nvPicPr>
          <xdr:cNvPr id="13" name="1 Imagen" descr="ESCUDO-transp-lema-blanco.png">
            <a:extLst>
              <a:ext uri="{FF2B5EF4-FFF2-40B4-BE49-F238E27FC236}">
                <a16:creationId xmlns:a16="http://schemas.microsoft.com/office/drawing/2014/main" id="{E876490B-737E-46DF-93EC-F6BCD9EDD80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14" name="3 CuadroTexto">
            <a:extLst>
              <a:ext uri="{FF2B5EF4-FFF2-40B4-BE49-F238E27FC236}">
                <a16:creationId xmlns:a16="http://schemas.microsoft.com/office/drawing/2014/main" id="{A3E2E62D-1AC2-4664-BED3-4041FC6B92F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PLA04\Archivos%20Planeacion%20(OK)\2020\Informe%20de%20Gestion%20con%20corte%2031-Diciembre-2020\6.%20Formatos%20SINA%20-%20PAI%202020-2023%20seguimiento%20PAC%20(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rchivos/Documentos/MADS/2022/INFORMES%20DE%20GESTI&#211;N%202021/2_CRA/AJUSTES/3.%20Formatos%20SINA%20-%20PAI%202021_CRA_20042022_en%20rev%20-Rafael%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chivos/Documentos/MADS/2022/INFORMES%20DE%20GESTI&#211;N%202021/2_CRA/Revisiones/Ajustes_20042022/3.%20Formatos%20SINA%20-%20PAI%202021_CRA_20042022_en%20rev%20-Rafael%20V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archivos\Documentos\MADS\2022\INFORMES%20DE%20GESTI&#211;N%202021\1_CRA\VERSI&#211;N%20FINAL%20CRA\2.%20Formatos%20SINA%20-%20PAI%202021-%20CRA_13052022_OK.xlsx" TargetMode="External"/><Relationship Id="rId1" Type="http://schemas.openxmlformats.org/officeDocument/2006/relationships/externalLinkPath" Target="file:///D:\archivos\Documentos\MADS\2022\INFORMES%20DE%20GESTI&#211;N%202021\1_CRA\VERSI&#211;N%20FINAL%20CRA\2.%20Formatos%20SINA%20-%20PAI%202021-%20CRA_13052022_OK.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archivos\Documentos\MADS\FORMATOS\INFORMES%20DE%20GESTI&#211;N%202021\Formatos%20SINA%20-%20PAI_Vs%202023.xlsx" TargetMode="External"/><Relationship Id="rId1" Type="http://schemas.openxmlformats.org/officeDocument/2006/relationships/externalLinkPath" Target="file:///D:\archivos\Documentos\MADS\FORMATOS\INFORMES%20DE%20GESTI&#211;N%202021\Formatos%20SINA%20-%20PAI_Vs%2020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archivos\Documentos\MADS\CARS\1_CRA\INFORMES%20GESTION\GESTION%202020\Matriz%20seguimiento_CRA%20AJUSTES%20MADS_26042021.xlsx" TargetMode="External"/><Relationship Id="rId1" Type="http://schemas.openxmlformats.org/officeDocument/2006/relationships/externalLinkPath" Target="file:///D:\archivos\Documentos\MADS\CARS\1_CRA\INFORMES%20GESTION\GESTION%202020\Matriz%20seguimiento_CRA%20AJUSTES%20MADS_2604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rchivos\Documentos\MADS\FORMATOS\INFORMES%20DE%20GESTI&#211;N%202021\Formatos%20SINA%20-%20PAI%202021%20(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rmoreno\Downloads\1.%20SINA-PAI%202023%20C.R.A%20FISICO%20Y%20FINANCIERO%20_dic%20(2).xlsx" TargetMode="External"/><Relationship Id="rId1" Type="http://schemas.openxmlformats.org/officeDocument/2006/relationships/externalLinkPath" Target="file:///C:\Users\rmoreno\Downloads\1.%20SINA-PAI%202023%20C.R.A%20FISICO%20Y%20FINANCIERO%20_dic%20(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crautonomagovco-my.sharepoint.com/personal/rmoreno_crautonoma_gov_co/Documents/INFORMES%20DE%20GESTI&#211;N/INF.DE%20GESTI&#211;N%202023/4.SGMTO%20AVANC.METAS%20PAI%20A%20OCT.31%202023/Anexo%203_IMG-SUBD.GEST.AMBIENTAL%20Vig2023.xlsx" TargetMode="External"/><Relationship Id="rId1" Type="http://schemas.openxmlformats.org/officeDocument/2006/relationships/externalLinkPath" Target="/personal/rmoreno_crautonoma_gov_co/Documents/INFORMES%20DE%20GESTI&#211;N/INF.DE%20GESTI&#211;N%202023/4.SGMTO%20AVANC.METAS%20PAI%20A%20OCT.31%202023/Anexo%203_IMG-SUBD.GEST.AMBIENTAL%20Vig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ersonal/nbello_crautonoma_gov_co/Documents/Escritorio/SGTO%20PAI%20-%202022/INSUMOS/3.%20Anexo%203_IMG-CRA%20-%20Vigencia%202022_SDGA%2007%2002%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Hoja1"/>
      <sheetName val="Anexo 2 Protocolo Inf Gestión"/>
      <sheetName val="PROTOCOLO INGRESOS"/>
      <sheetName val="Informe Ingresos"/>
      <sheetName val="PROTOCOLO GASTOS"/>
      <sheetName val="informe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3">
          <cell r="D33" t="str">
            <v>SI APLICA</v>
          </cell>
        </row>
        <row r="34">
          <cell r="D34" t="str">
            <v>NO APLICA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GD"/>
      <sheetName val="Hoja1"/>
      <sheetName val="Anexo2 Protocolo Inf Gestión GD"/>
      <sheetName val="Anexo 5.1 INGRESOS (2)"/>
      <sheetName val="PROTOCOLO INGRESOS (2)"/>
      <sheetName val="Anexo 5.2. informe Gastos"/>
      <sheetName val="Anexo 5.2-A.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efreshError="1">
        <row r="5">
          <cell r="C5" t="str">
            <v>Corporación Autónoma Regional del Atlántico – CRA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GD"/>
      <sheetName val="Hoja1"/>
      <sheetName val="Anexo2 Protocolo Inf Gestión GD"/>
      <sheetName val="Anexo 5.1 INGRESOS (2)"/>
      <sheetName val="PROTOCOLO INGRESOS (2)"/>
      <sheetName val="Anexo 5.2. informe Gastos"/>
      <sheetName val="Anexo 5.2-A.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Risaralda – CARDER</v>
          </cell>
        </row>
        <row r="29">
          <cell r="H29" t="str">
            <v>Corporación Autónoma Regional de la Orinoquia – CORPORINOQUIA</v>
          </cell>
        </row>
        <row r="30">
          <cell r="H30" t="str">
            <v>Corporación para el Desarrollo Sostenible del Urabá – CORPOURABA</v>
          </cell>
        </row>
        <row r="31">
          <cell r="H31" t="str">
            <v>Corporación Autónoma Regional del Tolima – CORTOLIMA</v>
          </cell>
        </row>
        <row r="32">
          <cell r="H32" t="str">
            <v>Corporación Autónoma Regional del Atlántico – CRA</v>
          </cell>
        </row>
        <row r="33">
          <cell r="H33" t="str">
            <v>Corporación Autónoma Regional del Cauca – CRC</v>
          </cell>
        </row>
        <row r="34">
          <cell r="H34" t="str">
            <v>Corporación Autónoma Regional del Quindío – CRQ</v>
          </cell>
        </row>
        <row r="35">
          <cell r="H35" t="str">
            <v>Corporación Autónoma Regional del Sur de Bolívar – CSB</v>
          </cell>
        </row>
        <row r="36">
          <cell r="H36" t="str">
            <v>Corporación Autónoma Regional del Valle del Cauca – CVC</v>
          </cell>
        </row>
        <row r="37">
          <cell r="H37" t="str">
            <v>Corporación Autónoma Regional de los Valles del Sinú y del San Jorge – CVS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3">
          <cell r="D33" t="str">
            <v>SI APLICA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Generales"/>
      <sheetName val="Anexo 1 - Inf Gest- Cons. Direc"/>
      <sheetName val="Anexo 1- Inf Gest- CARdinal"/>
      <sheetName val="Hoja1"/>
      <sheetName val="Anexo2 Protocolo Inf Gestión GD"/>
      <sheetName val="PROTOCOLO INGRESOS (2)"/>
      <sheetName val="Anexo 5.1 INGRESOS (2)"/>
      <sheetName val="Anexo 5.2. informe Gastos"/>
      <sheetName val="Anexo 5.2-A. Gastos (2)"/>
      <sheetName val="Protocolo Gastos"/>
    </sheetNames>
    <sheetDataSet>
      <sheetData sheetId="0">
        <row r="5">
          <cell r="C5" t="str">
            <v>Corporación Autónoma Regional del Atlántico – CRA</v>
          </cell>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Risaralda – CARDER</v>
          </cell>
        </row>
        <row r="29">
          <cell r="H29" t="str">
            <v>Corporación Autónoma Regional de la Orinoquia – CORPORINOQUIA</v>
          </cell>
        </row>
        <row r="30">
          <cell r="H30" t="str">
            <v>Corporación para el Desarrollo Sostenible del Urabá – CORPOURABA</v>
          </cell>
        </row>
        <row r="31">
          <cell r="H31" t="str">
            <v>Corporación Autónoma Regional del Tolima – CORTOLIMA</v>
          </cell>
        </row>
        <row r="32">
          <cell r="H32" t="str">
            <v>Corporación Autónoma Regional del Atlántico – CRA</v>
          </cell>
        </row>
        <row r="33">
          <cell r="H33" t="str">
            <v>Corporación Autónoma Regional del Cauca – CRC</v>
          </cell>
        </row>
        <row r="34">
          <cell r="H34" t="str">
            <v>Corporación Autónoma Regional del Quindío – CRQ</v>
          </cell>
        </row>
        <row r="35">
          <cell r="H35" t="str">
            <v>Corporación Autónoma Regional del Sur de Bolívar – CSB</v>
          </cell>
        </row>
        <row r="36">
          <cell r="H36" t="str">
            <v>Corporación Autónoma Regional del Valle del Cauca – CVC</v>
          </cell>
        </row>
        <row r="37">
          <cell r="H37" t="str">
            <v>Corporación Autónoma Regional de los Valles del Sinú y del San Jorge – CVS</v>
          </cell>
        </row>
      </sheetData>
      <sheetData sheetId="1"/>
      <sheetData sheetId="2">
        <row r="8">
          <cell r="A8" t="str">
            <v>LÍNEA ESTRATÉGICA No. 1. SOSTENIBILIDAD DEL RECURSO HÍDRICO</v>
          </cell>
        </row>
      </sheetData>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Generales"/>
      <sheetName val="Anexo 1 Matriz Inf Gestión 2022"/>
      <sheetName val="Hoja1"/>
      <sheetName val="Anexo 2 Protocolo Inf Gestión"/>
      <sheetName val="PROTOCOLO INGRESOS"/>
      <sheetName val="PROTOCOLO GASTOS"/>
      <sheetName val="Anexo 5.1 Ingresos"/>
      <sheetName val="Anexo 5.2. Gastos"/>
      <sheetName val="Anexo 5.2-A. Gastos"/>
      <sheetName val="Datos Generale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Hoja2"/>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row r="38">
          <cell r="H38" t="str">
            <v>2020-I</v>
          </cell>
        </row>
        <row r="39">
          <cell r="H39" t="str">
            <v>2020-II</v>
          </cell>
        </row>
        <row r="40">
          <cell r="H40" t="str">
            <v>2021-I</v>
          </cell>
        </row>
        <row r="41">
          <cell r="H41" t="str">
            <v>2021-II</v>
          </cell>
        </row>
        <row r="42">
          <cell r="H42" t="str">
            <v>2022-I</v>
          </cell>
        </row>
        <row r="43">
          <cell r="H43" t="str">
            <v>2022-II</v>
          </cell>
        </row>
        <row r="44">
          <cell r="H44" t="str">
            <v>2023-I</v>
          </cell>
        </row>
        <row r="45">
          <cell r="H45" t="str">
            <v>2023-II</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3">
          <cell r="D33" t="str">
            <v>SI APLICA</v>
          </cell>
          <cell r="F33" t="str">
            <v>SI SE REPORTA</v>
          </cell>
        </row>
        <row r="34">
          <cell r="D34" t="str">
            <v>NO APLICA</v>
          </cell>
          <cell r="F34" t="str">
            <v>NO SE REPORTA</v>
          </cell>
        </row>
      </sheetData>
      <sheetData sheetId="4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Generales"/>
      <sheetName val="Anexo 1 Matriz Inf Gestión"/>
      <sheetName val="Hoja1"/>
      <sheetName val="Anexo 2 Protocolo Inf Gestión"/>
      <sheetName val="Informe Ingresos"/>
      <sheetName val="PROTOCOLO INGRESOS"/>
      <sheetName val="informe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3">
          <cell r="D33" t="str">
            <v>SI APLICA</v>
          </cell>
          <cell r="F33" t="str">
            <v>SI SE REPORTA</v>
          </cell>
        </row>
        <row r="34">
          <cell r="D34" t="str">
            <v>NO APLICA</v>
          </cell>
          <cell r="F34" t="str">
            <v>NO SE REPORTA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3">
          <cell r="D33" t="str">
            <v>SI APLICA</v>
          </cell>
          <cell r="F33" t="str">
            <v>SI SE REPORTA</v>
          </cell>
        </row>
        <row r="34">
          <cell r="D34" t="str">
            <v>NO APLICA</v>
          </cell>
          <cell r="F34" t="str">
            <v>NO SE REPORTA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Generales"/>
      <sheetName val="Hoja1"/>
      <sheetName val="Anexo2 Protocolo Inf Gestión GD"/>
      <sheetName val="Anexo 5.1 INGRESOS (2)"/>
      <sheetName val="Anexo 1 Matriz Inf Gestión-Rev"/>
      <sheetName val="Anexo 5.1 INGRESOS VF"/>
      <sheetName val="PROTOCOLO INGRESOS (2)"/>
      <sheetName val="Anexo 5.2. informe Gastos"/>
      <sheetName val="Anexo 5.2.A"/>
      <sheetName val="rezagos 2020 - amarillo"/>
      <sheetName val="Anexo 5.2-A.Gastos"/>
      <sheetName val="Anexo 5.2.A_REV"/>
      <sheetName val="Protocolo Gastos"/>
      <sheetName val="Hoja3"/>
    </sheetNames>
    <sheetDataSet>
      <sheetData sheetId="0"/>
      <sheetData sheetId="1"/>
      <sheetData sheetId="2"/>
      <sheetData sheetId="3"/>
      <sheetData sheetId="4"/>
      <sheetData sheetId="5">
        <row r="7">
          <cell r="R7">
            <v>115766313295.99652</v>
          </cell>
        </row>
      </sheetData>
      <sheetData sheetId="6"/>
      <sheetData sheetId="7">
        <row r="47">
          <cell r="Z47">
            <v>115162713829.69</v>
          </cell>
          <cell r="AA47">
            <v>83064830971.980011</v>
          </cell>
        </row>
      </sheetData>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Informe Ingresos"/>
      <sheetName val="PROTOCOLO INGRESOS"/>
      <sheetName val="Datos Generales"/>
      <sheetName val="Anexo 3 Matriz IMG"/>
      <sheetName val="1POMCAS"/>
      <sheetName val="2PORH"/>
      <sheetName val="3PSMV"/>
      <sheetName val="4UsoAguas"/>
      <sheetName val="5PUEAA"/>
      <sheetName val="6POMCASejec"/>
      <sheetName val="7Clima"/>
      <sheetName val="8Suelo"/>
      <sheetName val="9RUNAP A"/>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Cruces IEDI"/>
    </sheetNames>
    <sheetDataSet>
      <sheetData sheetId="0" refreshError="1"/>
      <sheetData sheetId="1" refreshError="1"/>
      <sheetData sheetId="2" refreshError="1"/>
      <sheetData sheetId="3">
        <row r="5">
          <cell r="C5" t="str">
            <v>Corporación Autónoma Regional del Atlántico – CRA</v>
          </cell>
        </row>
        <row r="6">
          <cell r="C6" t="str">
            <v>2023-II</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9">
          <cell r="D29" t="str">
            <v/>
          </cell>
        </row>
      </sheetData>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Informe Ingresos"/>
      <sheetName val="PROTOCOLO INGRESOS"/>
      <sheetName val="Datos Generale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Cruces IEDI"/>
    </sheetNames>
    <sheetDataSet>
      <sheetData sheetId="0" refreshError="1"/>
      <sheetData sheetId="1" refreshError="1"/>
      <sheetData sheetId="2" refreshError="1"/>
      <sheetData sheetId="3">
        <row r="5">
          <cell r="C5" t="str">
            <v>Corporación Autónoma Regional del Atlántico – CRA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6">
          <cell r="D26">
            <v>1</v>
          </cell>
        </row>
      </sheetData>
      <sheetData sheetId="3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mailto:jrestrepo@crautonoma.gov.co"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mailto:gescaf@crautonoma.gov.co"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mailto:jrestrepo@crautonoma.gov.co"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mailto:gescaf@crautonoma.gov.co"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gescaf@crautonoma.gov.co" TargetMode="External"/><Relationship Id="rId1" Type="http://schemas.openxmlformats.org/officeDocument/2006/relationships/hyperlink" Target="http://cambioclimatico.minambiente.gov.co/"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mailto:gescaf@crautonoma.gov.co"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mailto:jrestrepo@crautonoma.gov.co"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mailto:gescaf@crautonoma.gov.co"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mailto:jrestrepo@crautonom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mailto:jrestrepo@crautonoma.gov.co"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mailto:jrestrepo@crautonoma.gov.co"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0.bin"/><Relationship Id="rId1" Type="http://schemas.openxmlformats.org/officeDocument/2006/relationships/hyperlink" Target="mailto:gescaf@crautonoma.gov.co"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mailto:gescaf@crautonoma.gov.co"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2.bin"/><Relationship Id="rId1" Type="http://schemas.openxmlformats.org/officeDocument/2006/relationships/hyperlink" Target="mailto:jrestrepo@crautonoma.gov.co"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3.bin"/><Relationship Id="rId1" Type="http://schemas.openxmlformats.org/officeDocument/2006/relationships/hyperlink" Target="mailto:jrestrepo@crautonoma.gov.co"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4.bin"/><Relationship Id="rId1" Type="http://schemas.openxmlformats.org/officeDocument/2006/relationships/hyperlink" Target="mailto:jrestrepo@crautonoma.gov.co"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jrestrepo@crautonoma.gov.co" TargetMode="External"/><Relationship Id="rId1" Type="http://schemas.openxmlformats.org/officeDocument/2006/relationships/hyperlink" Target="https://www.minambiente.gov.co/index.php/ambientes-y-desarrollos-sostenibles/negocios-verdes-y-sostenibles" TargetMode="External"/><Relationship Id="rId4"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mailto:jrestrepo@crautonoma.gov.co"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7.bin"/><Relationship Id="rId1" Type="http://schemas.openxmlformats.org/officeDocument/2006/relationships/hyperlink" Target="mailto:bcoll@crautonoma.gov.co"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8.bin"/><Relationship Id="rId1" Type="http://schemas.openxmlformats.org/officeDocument/2006/relationships/hyperlink" Target="mailto:jrestrepo@crautonoma.gov.co"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29.bin"/><Relationship Id="rId1" Type="http://schemas.openxmlformats.org/officeDocument/2006/relationships/hyperlink" Target="mailto:gescaf@crautonoma.gov.co"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mailto:jrestrepo@crautonoma.gov.co" TargetMode="External"/><Relationship Id="rId7" Type="http://schemas.openxmlformats.org/officeDocument/2006/relationships/comments" Target="../comments12.xml"/><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6" Type="http://schemas.openxmlformats.org/officeDocument/2006/relationships/vmlDrawing" Target="../drawings/vmlDrawing12.vml"/><Relationship Id="rId5" Type="http://schemas.openxmlformats.org/officeDocument/2006/relationships/drawing" Target="../drawings/drawing31.xml"/><Relationship Id="rId4"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hyperlink" Target="mailto:jrestrepo@crautonoma.gov.co" TargetMode="External"/><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5" Type="http://schemas.openxmlformats.org/officeDocument/2006/relationships/drawing" Target="../drawings/drawing32.xml"/><Relationship Id="rId4"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2.bin"/><Relationship Id="rId1" Type="http://schemas.openxmlformats.org/officeDocument/2006/relationships/hyperlink" Target="mailto:gescaf@crautonoma.gov.co"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mailto:gescaf@crautonoma.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mailto:gescaf@crautonoma.gov.co"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mailto:gescaf@crautonoma.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B28"/>
  <sheetViews>
    <sheetView topLeftCell="A3" workbookViewId="0">
      <selection sqref="A1:XFD1048576"/>
    </sheetView>
  </sheetViews>
  <sheetFormatPr baseColWidth="10" defaultColWidth="11.44140625" defaultRowHeight="13.8"/>
  <cols>
    <col min="1" max="16384" width="11.44140625" style="406"/>
  </cols>
  <sheetData>
    <row r="1" spans="1:2">
      <c r="A1" s="406" t="s">
        <v>1692</v>
      </c>
      <c r="B1" s="407" t="s">
        <v>1142</v>
      </c>
    </row>
    <row r="2" spans="1:2">
      <c r="A2" s="406" t="s">
        <v>1693</v>
      </c>
      <c r="B2" s="407" t="s">
        <v>130</v>
      </c>
    </row>
    <row r="3" spans="1:2">
      <c r="A3" s="406" t="s">
        <v>1694</v>
      </c>
      <c r="B3" s="407" t="s">
        <v>161</v>
      </c>
    </row>
    <row r="4" spans="1:2">
      <c r="A4" s="406" t="s">
        <v>1695</v>
      </c>
      <c r="B4" s="407" t="s">
        <v>182</v>
      </c>
    </row>
    <row r="5" spans="1:2">
      <c r="A5" s="406" t="s">
        <v>1696</v>
      </c>
      <c r="B5" s="407" t="s">
        <v>199</v>
      </c>
    </row>
    <row r="6" spans="1:2">
      <c r="A6" s="406" t="s">
        <v>1697</v>
      </c>
      <c r="B6" s="407" t="s">
        <v>219</v>
      </c>
    </row>
    <row r="7" spans="1:2">
      <c r="A7" s="406" t="s">
        <v>1698</v>
      </c>
      <c r="B7" s="407" t="s">
        <v>279</v>
      </c>
    </row>
    <row r="8" spans="1:2">
      <c r="A8" s="406" t="s">
        <v>1699</v>
      </c>
      <c r="B8" s="407" t="s">
        <v>313</v>
      </c>
    </row>
    <row r="9" spans="1:2">
      <c r="A9" s="406" t="s">
        <v>1700</v>
      </c>
      <c r="B9" s="407" t="s">
        <v>347</v>
      </c>
    </row>
    <row r="10" spans="1:2">
      <c r="A10" s="406" t="s">
        <v>1701</v>
      </c>
      <c r="B10" s="407" t="s">
        <v>395</v>
      </c>
    </row>
    <row r="11" spans="1:2">
      <c r="B11" s="407" t="s">
        <v>417</v>
      </c>
    </row>
    <row r="12" spans="1:2">
      <c r="B12" s="407" t="s">
        <v>448</v>
      </c>
    </row>
    <row r="13" spans="1:2">
      <c r="B13" s="407" t="s">
        <v>479</v>
      </c>
    </row>
    <row r="14" spans="1:2">
      <c r="B14" s="407" t="s">
        <v>525</v>
      </c>
    </row>
    <row r="15" spans="1:2">
      <c r="B15" s="407" t="s">
        <v>556</v>
      </c>
    </row>
    <row r="16" spans="1:2">
      <c r="B16" s="407" t="s">
        <v>584</v>
      </c>
    </row>
    <row r="17" spans="2:2">
      <c r="B17" s="407" t="s">
        <v>629</v>
      </c>
    </row>
    <row r="18" spans="2:2">
      <c r="B18" s="407" t="s">
        <v>649</v>
      </c>
    </row>
    <row r="19" spans="2:2">
      <c r="B19" s="407" t="s">
        <v>697</v>
      </c>
    </row>
    <row r="20" spans="2:2">
      <c r="B20" s="407" t="s">
        <v>767</v>
      </c>
    </row>
    <row r="21" spans="2:2">
      <c r="B21" s="407" t="s">
        <v>828</v>
      </c>
    </row>
    <row r="22" spans="2:2">
      <c r="B22" s="407" t="s">
        <v>875</v>
      </c>
    </row>
    <row r="23" spans="2:2">
      <c r="B23" s="407" t="s">
        <v>939</v>
      </c>
    </row>
    <row r="24" spans="2:2">
      <c r="B24" s="407" t="s">
        <v>960</v>
      </c>
    </row>
    <row r="25" spans="2:2">
      <c r="B25" s="407" t="s">
        <v>989</v>
      </c>
    </row>
    <row r="26" spans="2:2">
      <c r="B26" s="407" t="s">
        <v>1060</v>
      </c>
    </row>
    <row r="27" spans="2:2">
      <c r="B27" s="407" t="s">
        <v>1107</v>
      </c>
    </row>
    <row r="28" spans="2:2">
      <c r="B28" s="406" t="s">
        <v>1701</v>
      </c>
    </row>
  </sheetData>
  <hyperlinks>
    <hyperlink ref="B1" location="'1POMCAS'!A1" display="Porcentaje de avance en la formulación y/o ajuste de los Planes de Ordenación y Manejo de Cuencas (POMCAS), Planes de Manejo de Acuíferos (PMA) y Planes de Manejo de Microcuencas (PMM)" xr:uid="{00000000-0004-0000-0000-000000000000}"/>
    <hyperlink ref="B2" location="'2PORH'!A1" display="Porcentaje de cuerpos de agua con planes de ordenamiento del recurso hídrico (PORH) adoptados" xr:uid="{00000000-0004-0000-0000-000001000000}"/>
    <hyperlink ref="B3" location="'3PSMV'!_Toc467769470" display="Porcentaje de Planes de Saneamiento y Manejo de Vertimientos (PSMV) con seguimiento" xr:uid="{00000000-0004-0000-0000-000002000000}"/>
    <hyperlink ref="B4" location="'4UsoAguas'!_Toc467769471" display="Porcentaje de cuerpos de agua con reglamentación del uso de las aguas" xr:uid="{00000000-0004-0000-0000-000003000000}"/>
    <hyperlink ref="B5" location="'5PUEAA'!_Toc467769472" display="Porcentaje de Programas de Uso Eficiente y Ahorro del Agua (PUEAA) con seguimiento" xr:uid="{00000000-0004-0000-0000-000004000000}"/>
    <hyperlink ref="B6" location="'6POMCASejec'!_Toc467769473" display="Porcentaje de Planes de Ordenación y Manejo de Cuencas (POMCAS), Planes de Manejo de Acuíferos (PMA) y Planes de Manejo de Microcuencas (PMM) en ejecución" xr:uid="{00000000-0004-0000-0000-000005000000}"/>
    <hyperlink ref="B7" location="'7Clima'!_Toc467769474" display="Porcentaje de entes territoriales asesorados en la incorporación, planificación y ejecución de acciones relacionadas con cambio climático en el marco de los instrumentos de planificación territorial" xr:uid="{00000000-0004-0000-0000-000006000000}"/>
    <hyperlink ref="B8" location="'8Suelo'!_Toc467769475" display="Porcentaje de suelos degradados en recuperación o rehabilitación" xr:uid="{00000000-0004-0000-0000-000007000000}"/>
    <hyperlink ref="B9" location="'9RUNAP'!_Toc467769476" display="Porcentaje de la superficie de áreas protegidas regionales declaradas, homologadas o recategorizadas, inscritas en el RUNAP" xr:uid="{00000000-0004-0000-0000-000008000000}"/>
    <hyperlink ref="B10" location="'10Paramos'!_Toc467769477" display="Porcentaje de páramos delimitados por el MADS, con zonificación y régimen de usos adoptados por la CAR" xr:uid="{00000000-0004-0000-0000-000009000000}"/>
    <hyperlink ref="B11" location="'11Forest'!_Toc467769478" display="Porcentaje de avance en la formulación del Plan de Ordenación Forestal" xr:uid="{00000000-0004-0000-0000-00000A000000}"/>
    <hyperlink ref="B12" location="'12PlanesAP'!_Toc467769479" display="Porcentaje de áreas protegidas con planes de manejo en ejecución" xr:uid="{00000000-0004-0000-0000-00000B000000}"/>
    <hyperlink ref="B13" location="'13Amenaz'!_Toc467769480" display="Porcentaje de especies amenazadas con medidas de conservación y manejo en ejecución" xr:uid="{00000000-0004-0000-0000-00000C000000}"/>
    <hyperlink ref="B14" location="'14Invasor'!_Toc467769481" display="Porcentaje de especies invasoras con medidas de prevención, control y manejo en ejecución" xr:uid="{00000000-0004-0000-0000-00000D000000}"/>
    <hyperlink ref="B15" location="'15Restaura'!_Toc467769482" display="Porcentaje de áreas de ecosistemas en restauración, rehabilitación y reforestación" xr:uid="{00000000-0004-0000-0000-00000E000000}"/>
    <hyperlink ref="B16" location="'16MIZC'!_Toc467769483" display="Implementación de acciones en manejo integrado de zonas costeras" xr:uid="{00000000-0004-0000-0000-00000F000000}"/>
    <hyperlink ref="B17" location="'17PGIRS'!_Toc467769484" display="Porcentaje de Planes de Gestión Integral de Residuos Sólidos (PGIRS) con seguimiento a metas de aprovechamiento" xr:uid="{00000000-0004-0000-0000-000010000000}"/>
    <hyperlink ref="B18" location="'18Sector'!_Toc467769485" display="Porcentaje de sectores con acompañamiento para la reconversión hacia sistemas sostenibles de producción" xr:uid="{00000000-0004-0000-0000-000011000000}"/>
    <hyperlink ref="B19" location="'19GAU'!_Toc467769486" display="Porcentaje de ejecución de acciones en Gestión Ambiental Urbana" xr:uid="{00000000-0004-0000-0000-000012000000}"/>
    <hyperlink ref="B20" location="'20Negoc'!_Toc467769487" display="Implementación del Programa Regional de Negocios Verdes por la autoridad ambiental" xr:uid="{00000000-0004-0000-0000-000013000000}"/>
    <hyperlink ref="B22" location="'22Autor'!_Toc467769489" display="Porcentaje de autorizaciones ambientales con seguimiento" xr:uid="{00000000-0004-0000-0000-000014000000}"/>
    <hyperlink ref="B23" location="'23Sanc'!_Toc467769490" display="Porcentaje de Procesos Sancionatorios Resueltos" xr:uid="{00000000-0004-0000-0000-000015000000}"/>
    <hyperlink ref="B24"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00000000-0004-0000-0000-000016000000}"/>
    <hyperlink ref="B25" location="'25Redes'!_Toc467769492" display="Porcentaje de redes y estaciones de monitoreo en operación" xr:uid="{00000000-0004-0000-0000-000017000000}"/>
    <hyperlink ref="B26" location="'26SIAC'!_Toc467769493" display="Porcentaje de actualización y reporte de la información en el SIAC" xr:uid="{00000000-0004-0000-0000-000018000000}"/>
    <hyperlink ref="B27" location="'27Educa'!_Toc467769494" display="Ejecución de Acciones en Educación Ambiental" xr:uid="{00000000-0004-0000-0000-000019000000}"/>
    <hyperlink ref="B21" location="'21TiempoT'!_Toc467769488" display="Tiempo promedio de trámite para la resolución de autorizaciones ambientales otorgadas por la corporación" xr:uid="{00000000-0004-0000-0000-00001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tabColor rgb="FF92D050"/>
  </sheetPr>
  <dimension ref="A1:U75"/>
  <sheetViews>
    <sheetView showGridLines="0" topLeftCell="A20" zoomScale="98" zoomScaleNormal="98" workbookViewId="0">
      <selection activeCell="H20" sqref="H20"/>
    </sheetView>
  </sheetViews>
  <sheetFormatPr baseColWidth="10" defaultRowHeight="14.4"/>
  <cols>
    <col min="1" max="1" width="1.88671875" customWidth="1"/>
    <col min="2" max="2" width="12.88671875" customWidth="1"/>
    <col min="3" max="3" width="6.109375" style="66" customWidth="1"/>
    <col min="4" max="4" width="34.88671875" customWidth="1"/>
    <col min="5" max="5" width="17.88671875" customWidth="1"/>
    <col min="9" max="9" width="54.55468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161</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4" t="s">
        <v>1178</v>
      </c>
      <c r="C8" s="564">
        <v>2023</v>
      </c>
      <c r="D8" s="170">
        <f>IF(E10="NO APLICA","NO APLICA",IF(E11="NO SE REPORTA","SIN INFORMACION",+H22))</f>
        <v>1</v>
      </c>
      <c r="E8" s="167"/>
      <c r="F8" s="5" t="s">
        <v>129</v>
      </c>
      <c r="G8" s="5"/>
      <c r="H8" s="5"/>
      <c r="I8" s="5"/>
      <c r="J8" s="5"/>
      <c r="K8" s="5"/>
    </row>
    <row r="9" spans="1:21">
      <c r="B9" s="298" t="s">
        <v>1179</v>
      </c>
      <c r="C9" s="67"/>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30.75" customHeight="1">
      <c r="B12" s="298"/>
      <c r="C12" s="67"/>
      <c r="D12" s="144" t="str">
        <f>IF(E11="SI SE REPORTA","¿Qué programas o proyectos del Plan de Acción están asociados al indicador? ","")</f>
        <v xml:space="preserve">¿Qué programas o proyectos del Plan de Acción están asociados al indicador? </v>
      </c>
      <c r="E12" s="1407" t="s">
        <v>1819</v>
      </c>
      <c r="F12" s="1407"/>
      <c r="G12" s="1407"/>
      <c r="H12" s="1407"/>
      <c r="I12" s="1407"/>
      <c r="J12" s="1407"/>
      <c r="K12" s="1407"/>
      <c r="L12" s="1407"/>
      <c r="M12" s="1407"/>
      <c r="N12" s="1407"/>
      <c r="O12" s="1407"/>
      <c r="P12" s="1407"/>
      <c r="Q12" s="1407"/>
      <c r="R12" s="1407"/>
    </row>
    <row r="13" spans="1:21" ht="48.75" customHeight="1">
      <c r="B13" s="298"/>
      <c r="C13" s="67"/>
      <c r="D13" s="144" t="s">
        <v>1236</v>
      </c>
      <c r="E13" s="1408" t="s">
        <v>2674</v>
      </c>
      <c r="F13" s="1409"/>
      <c r="G13" s="1409"/>
      <c r="H13" s="1409"/>
      <c r="I13" s="1409"/>
      <c r="J13" s="1409"/>
      <c r="K13" s="1409"/>
      <c r="L13" s="1409"/>
      <c r="M13" s="1409"/>
      <c r="N13" s="1409"/>
      <c r="O13" s="1409"/>
      <c r="P13" s="1409"/>
      <c r="Q13" s="1409"/>
      <c r="R13" s="1410"/>
    </row>
    <row r="14" spans="1:21" ht="6.9" customHeight="1" thickBot="1">
      <c r="B14" s="298"/>
      <c r="C14" s="67"/>
      <c r="D14" s="5"/>
      <c r="E14" s="5"/>
      <c r="F14" s="5"/>
      <c r="G14" s="5"/>
      <c r="H14" s="5"/>
      <c r="I14" s="5"/>
      <c r="J14" s="5"/>
      <c r="K14" s="5"/>
    </row>
    <row r="15" spans="1:21" ht="15" thickBot="1">
      <c r="B15" s="1434" t="s">
        <v>2</v>
      </c>
      <c r="C15" s="68"/>
      <c r="D15" s="1425" t="s">
        <v>3</v>
      </c>
      <c r="E15" s="1426"/>
      <c r="F15" s="1426"/>
      <c r="G15" s="1426"/>
      <c r="H15" s="1426"/>
      <c r="I15" s="1426"/>
      <c r="J15" s="1427"/>
      <c r="K15" s="5"/>
    </row>
    <row r="16" spans="1:21" ht="44.25" customHeight="1" thickBot="1">
      <c r="B16" s="1435"/>
      <c r="C16" s="73"/>
      <c r="D16" s="34" t="s">
        <v>175</v>
      </c>
      <c r="E16" s="438">
        <v>22</v>
      </c>
      <c r="F16" s="5"/>
      <c r="G16" s="5"/>
      <c r="H16" s="5"/>
      <c r="I16" s="5"/>
      <c r="J16" s="17"/>
      <c r="K16" s="5"/>
    </row>
    <row r="17" spans="2:11" ht="57.75" customHeight="1" thickBot="1">
      <c r="B17" s="1435"/>
      <c r="C17" s="73"/>
      <c r="D17" s="32" t="s">
        <v>176</v>
      </c>
      <c r="E17" s="438">
        <v>22</v>
      </c>
      <c r="F17" s="314"/>
      <c r="G17" s="5"/>
      <c r="H17" s="5"/>
      <c r="I17" s="5"/>
      <c r="J17" s="17"/>
      <c r="K17" s="5"/>
    </row>
    <row r="18" spans="2:11" ht="15" thickBot="1">
      <c r="B18" s="1435"/>
      <c r="C18" s="71"/>
      <c r="D18" s="1447"/>
      <c r="E18" s="1448"/>
      <c r="F18" s="1448"/>
      <c r="G18" s="1448"/>
      <c r="H18" s="1448"/>
      <c r="I18" s="1448"/>
      <c r="J18" s="1449"/>
      <c r="K18" s="5"/>
    </row>
    <row r="19" spans="2:11" ht="15" thickBot="1">
      <c r="B19" s="1435"/>
      <c r="C19" s="77" t="s">
        <v>18</v>
      </c>
      <c r="D19" s="34" t="s">
        <v>149</v>
      </c>
      <c r="E19" s="69" t="s">
        <v>19</v>
      </c>
      <c r="F19" s="69" t="s">
        <v>20</v>
      </c>
      <c r="G19" s="69" t="s">
        <v>21</v>
      </c>
      <c r="H19" s="69" t="s">
        <v>22</v>
      </c>
      <c r="I19" s="177" t="s">
        <v>54</v>
      </c>
      <c r="J19" s="89"/>
      <c r="K19" s="5"/>
    </row>
    <row r="20" spans="2:11" ht="65.25" customHeight="1" thickBot="1">
      <c r="B20" s="1435"/>
      <c r="C20" s="2" t="s">
        <v>151</v>
      </c>
      <c r="D20" s="32" t="s">
        <v>177</v>
      </c>
      <c r="E20" s="438">
        <v>12</v>
      </c>
      <c r="F20" s="438">
        <v>15</v>
      </c>
      <c r="G20" s="438">
        <v>16</v>
      </c>
      <c r="H20" s="438">
        <v>22</v>
      </c>
      <c r="I20" s="505" t="s">
        <v>2836</v>
      </c>
      <c r="J20" s="555"/>
      <c r="K20" s="5"/>
    </row>
    <row r="21" spans="2:11" ht="94.2" customHeight="1" thickBot="1">
      <c r="B21" s="1435"/>
      <c r="C21" s="2" t="s">
        <v>153</v>
      </c>
      <c r="D21" s="2" t="s">
        <v>178</v>
      </c>
      <c r="E21" s="438">
        <v>12</v>
      </c>
      <c r="F21" s="438">
        <v>15</v>
      </c>
      <c r="G21" s="438">
        <v>16</v>
      </c>
      <c r="H21" s="438">
        <v>22</v>
      </c>
      <c r="I21" s="505" t="s">
        <v>2668</v>
      </c>
      <c r="J21" s="90"/>
      <c r="K21" s="5"/>
    </row>
    <row r="22" spans="2:11" ht="43.5" customHeight="1" thickBot="1">
      <c r="B22" s="1436"/>
      <c r="C22" s="2" t="s">
        <v>155</v>
      </c>
      <c r="D22" s="32" t="s">
        <v>179</v>
      </c>
      <c r="E22" s="148">
        <f>IFERROR(E21/E20,"N.A.")</f>
        <v>1</v>
      </c>
      <c r="F22" s="148">
        <f>IFERROR(F21/F20,"N.A.")</f>
        <v>1</v>
      </c>
      <c r="G22" s="148">
        <f>IFERROR(G21/G20,"N.A.")</f>
        <v>1</v>
      </c>
      <c r="H22" s="148">
        <f>IFERROR(H21/H20,"N.A.")</f>
        <v>1</v>
      </c>
      <c r="I22" s="297"/>
      <c r="J22" s="91"/>
      <c r="K22" s="5"/>
    </row>
    <row r="23" spans="2:11" ht="24" customHeight="1" thickBot="1">
      <c r="B23" s="37" t="s">
        <v>33</v>
      </c>
      <c r="C23" s="72"/>
      <c r="D23" s="1437" t="s">
        <v>180</v>
      </c>
      <c r="E23" s="1438"/>
      <c r="F23" s="1438"/>
      <c r="G23" s="1438"/>
      <c r="H23" s="1438"/>
      <c r="I23" s="1438"/>
      <c r="J23" s="1439"/>
      <c r="K23" s="5"/>
    </row>
    <row r="24" spans="2:11" ht="24.6" thickBot="1">
      <c r="B24" s="37" t="s">
        <v>35</v>
      </c>
      <c r="C24" s="72"/>
      <c r="D24" s="1437" t="s">
        <v>158</v>
      </c>
      <c r="E24" s="1438"/>
      <c r="F24" s="1438"/>
      <c r="G24" s="1438"/>
      <c r="H24" s="1438"/>
      <c r="I24" s="1438"/>
      <c r="J24" s="1439"/>
      <c r="K24" s="5"/>
    </row>
    <row r="25" spans="2:11" ht="15" thickBot="1">
      <c r="B25" s="1"/>
      <c r="C25" s="64"/>
      <c r="D25" s="5"/>
      <c r="E25" s="5"/>
      <c r="F25" s="5"/>
      <c r="G25" s="5"/>
      <c r="H25" s="5"/>
      <c r="I25" s="5"/>
      <c r="J25" s="5"/>
      <c r="K25" s="5"/>
    </row>
    <row r="26" spans="2:11" ht="24" customHeight="1" thickBot="1">
      <c r="B26" s="1444" t="s">
        <v>37</v>
      </c>
      <c r="C26" s="1445"/>
      <c r="D26" s="1445"/>
      <c r="E26" s="1446"/>
      <c r="F26" s="5"/>
      <c r="G26" s="5"/>
      <c r="H26" s="5"/>
      <c r="I26" s="5"/>
      <c r="J26" s="5"/>
      <c r="K26" s="5"/>
    </row>
    <row r="27" spans="2:11" ht="15" thickBot="1">
      <c r="B27" s="1434">
        <v>1</v>
      </c>
      <c r="C27" s="73"/>
      <c r="D27" s="38" t="s">
        <v>38</v>
      </c>
      <c r="E27" s="25" t="s">
        <v>1811</v>
      </c>
      <c r="F27" s="5"/>
      <c r="G27" s="5"/>
      <c r="H27" s="5"/>
      <c r="I27" s="5"/>
      <c r="J27" s="5"/>
      <c r="K27" s="5"/>
    </row>
    <row r="28" spans="2:11" ht="24.6" thickBot="1">
      <c r="B28" s="1435"/>
      <c r="C28" s="73"/>
      <c r="D28" s="32" t="s">
        <v>39</v>
      </c>
      <c r="E28" s="24" t="s">
        <v>1820</v>
      </c>
      <c r="F28" s="5"/>
      <c r="G28" s="5"/>
      <c r="H28" s="5"/>
      <c r="I28" s="5"/>
      <c r="J28" s="5"/>
      <c r="K28" s="5"/>
    </row>
    <row r="29" spans="2:11" ht="15" thickBot="1">
      <c r="B29" s="1435"/>
      <c r="C29" s="73"/>
      <c r="D29" s="32" t="s">
        <v>40</v>
      </c>
      <c r="E29" s="24" t="s">
        <v>2027</v>
      </c>
      <c r="F29" s="5"/>
      <c r="G29" s="5"/>
      <c r="H29" s="5"/>
      <c r="I29" s="5"/>
      <c r="J29" s="5"/>
      <c r="K29" s="5"/>
    </row>
    <row r="30" spans="2:11" ht="17.25" customHeight="1" thickBot="1">
      <c r="B30" s="1435"/>
      <c r="C30" s="73"/>
      <c r="D30" s="32" t="s">
        <v>41</v>
      </c>
      <c r="E30" s="25" t="s">
        <v>2029</v>
      </c>
      <c r="F30" s="5"/>
      <c r="G30" s="5"/>
      <c r="H30" s="5"/>
      <c r="I30" s="5"/>
      <c r="J30" s="5"/>
      <c r="K30" s="5"/>
    </row>
    <row r="31" spans="2:11" ht="29.4" thickBot="1">
      <c r="B31" s="1435"/>
      <c r="C31" s="73"/>
      <c r="D31" s="32" t="s">
        <v>42</v>
      </c>
      <c r="E31" s="504" t="s">
        <v>1821</v>
      </c>
      <c r="F31" s="5"/>
      <c r="G31" s="5"/>
      <c r="H31" s="5"/>
      <c r="I31" s="5"/>
      <c r="J31" s="5"/>
      <c r="K31" s="5"/>
    </row>
    <row r="32" spans="2:11" ht="15" thickBot="1">
      <c r="B32" s="1435"/>
      <c r="C32" s="73"/>
      <c r="D32" s="32" t="s">
        <v>43</v>
      </c>
      <c r="E32" s="24" t="s">
        <v>1822</v>
      </c>
      <c r="F32" s="5"/>
      <c r="G32" s="5"/>
      <c r="H32" s="5"/>
      <c r="I32" s="5"/>
      <c r="J32" s="5"/>
      <c r="K32" s="5"/>
    </row>
    <row r="33" spans="2:11" ht="15" thickBot="1">
      <c r="B33" s="1436"/>
      <c r="C33" s="2"/>
      <c r="D33" s="32" t="s">
        <v>44</v>
      </c>
      <c r="E33" s="24" t="s">
        <v>1814</v>
      </c>
      <c r="F33" s="5"/>
      <c r="G33" s="5"/>
      <c r="H33" s="5"/>
      <c r="I33" s="5"/>
      <c r="J33" s="5"/>
      <c r="K33" s="5"/>
    </row>
    <row r="34" spans="2:11" ht="15" thickBot="1">
      <c r="B34" s="1"/>
      <c r="C34" s="64"/>
      <c r="D34" s="5"/>
      <c r="E34" s="5"/>
      <c r="F34" s="5"/>
      <c r="G34" s="5"/>
      <c r="H34" s="5"/>
      <c r="I34" s="5"/>
      <c r="J34" s="5"/>
      <c r="K34" s="5"/>
    </row>
    <row r="35" spans="2:11" ht="15" thickBot="1">
      <c r="B35" s="1444" t="s">
        <v>45</v>
      </c>
      <c r="C35" s="1445"/>
      <c r="D35" s="1445"/>
      <c r="E35" s="1446"/>
      <c r="F35" s="5"/>
      <c r="G35" s="5"/>
      <c r="H35" s="5"/>
      <c r="I35" s="5"/>
      <c r="J35" s="5"/>
      <c r="K35" s="5"/>
    </row>
    <row r="36" spans="2:11" ht="15" thickBot="1">
      <c r="B36" s="1434">
        <v>1</v>
      </c>
      <c r="C36" s="73"/>
      <c r="D36" s="38" t="s">
        <v>38</v>
      </c>
      <c r="E36" s="189" t="s">
        <v>46</v>
      </c>
      <c r="F36" s="5"/>
      <c r="G36" s="5"/>
      <c r="H36" s="5"/>
      <c r="I36" s="5"/>
      <c r="J36" s="5"/>
      <c r="K36" s="5"/>
    </row>
    <row r="37" spans="2:11" ht="15" thickBot="1">
      <c r="B37" s="1435"/>
      <c r="C37" s="73"/>
      <c r="D37" s="32" t="s">
        <v>39</v>
      </c>
      <c r="E37" s="189" t="s">
        <v>159</v>
      </c>
      <c r="F37" s="5"/>
      <c r="G37" s="5"/>
      <c r="H37" s="5"/>
      <c r="I37" s="5"/>
      <c r="J37" s="5"/>
      <c r="K37" s="5"/>
    </row>
    <row r="38" spans="2:11" ht="15" thickBot="1">
      <c r="B38" s="1435"/>
      <c r="C38" s="73"/>
      <c r="D38" s="32" t="s">
        <v>40</v>
      </c>
      <c r="E38" s="193"/>
      <c r="F38" s="5"/>
      <c r="G38" s="5"/>
      <c r="H38" s="5"/>
      <c r="I38" s="5"/>
      <c r="J38" s="5"/>
      <c r="K38" s="5"/>
    </row>
    <row r="39" spans="2:11" ht="15" thickBot="1">
      <c r="B39" s="1435"/>
      <c r="C39" s="73"/>
      <c r="D39" s="32" t="s">
        <v>41</v>
      </c>
      <c r="E39" s="193"/>
      <c r="F39" s="5"/>
      <c r="G39" s="5"/>
      <c r="H39" s="5"/>
      <c r="I39" s="5"/>
      <c r="J39" s="5"/>
      <c r="K39" s="5"/>
    </row>
    <row r="40" spans="2:11" ht="15" thickBot="1">
      <c r="B40" s="1435"/>
      <c r="C40" s="73"/>
      <c r="D40" s="32" t="s">
        <v>42</v>
      </c>
      <c r="E40" s="193"/>
      <c r="F40" s="5"/>
      <c r="G40" s="5"/>
      <c r="H40" s="5"/>
      <c r="I40" s="5"/>
      <c r="J40" s="5"/>
      <c r="K40" s="5"/>
    </row>
    <row r="41" spans="2:11" ht="15" thickBot="1">
      <c r="B41" s="1435"/>
      <c r="C41" s="73"/>
      <c r="D41" s="32" t="s">
        <v>43</v>
      </c>
      <c r="E41" s="193"/>
      <c r="F41" s="5"/>
      <c r="G41" s="5"/>
      <c r="H41" s="5"/>
      <c r="I41" s="5"/>
      <c r="J41" s="5"/>
      <c r="K41" s="5"/>
    </row>
    <row r="42" spans="2:11" ht="15" thickBot="1">
      <c r="B42" s="1436"/>
      <c r="C42" s="2"/>
      <c r="D42" s="32" t="s">
        <v>44</v>
      </c>
      <c r="E42" s="193"/>
      <c r="F42" s="5"/>
      <c r="G42" s="5"/>
      <c r="H42" s="5"/>
      <c r="I42" s="5"/>
      <c r="J42" s="5"/>
      <c r="K42" s="5"/>
    </row>
    <row r="43" spans="2:11" ht="15" thickBot="1">
      <c r="B43" s="1"/>
      <c r="C43" s="64"/>
      <c r="D43" s="5"/>
      <c r="E43" s="5"/>
      <c r="F43" s="5"/>
      <c r="G43" s="5"/>
      <c r="H43" s="5"/>
      <c r="I43" s="5"/>
      <c r="J43" s="5"/>
      <c r="K43" s="5"/>
    </row>
    <row r="44" spans="2:11" ht="15" customHeight="1" thickBot="1">
      <c r="B44" s="192" t="s">
        <v>48</v>
      </c>
      <c r="C44" s="98"/>
      <c r="D44" s="98"/>
      <c r="E44" s="99"/>
      <c r="G44" s="5"/>
      <c r="H44" s="5"/>
      <c r="I44" s="5"/>
      <c r="J44" s="5"/>
      <c r="K44" s="5"/>
    </row>
    <row r="45" spans="2:11" ht="24.6" thickBot="1">
      <c r="B45" s="37" t="s">
        <v>49</v>
      </c>
      <c r="C45" s="32" t="s">
        <v>50</v>
      </c>
      <c r="D45" s="32" t="s">
        <v>51</v>
      </c>
      <c r="E45" s="32" t="s">
        <v>52</v>
      </c>
      <c r="F45" s="5"/>
      <c r="G45" s="5"/>
      <c r="H45" s="5"/>
      <c r="I45" s="5"/>
      <c r="J45" s="5"/>
    </row>
    <row r="46" spans="2:11" ht="72.599999999999994" thickBot="1">
      <c r="B46" s="39">
        <v>42401</v>
      </c>
      <c r="C46" s="32">
        <v>0.01</v>
      </c>
      <c r="D46" s="58" t="s">
        <v>181</v>
      </c>
      <c r="E46" s="32"/>
      <c r="F46" s="5"/>
      <c r="G46" s="5"/>
      <c r="H46" s="5"/>
      <c r="I46" s="5"/>
      <c r="J46" s="5"/>
    </row>
    <row r="47" spans="2:11" ht="15" thickBot="1">
      <c r="B47" s="3"/>
      <c r="C47" s="74"/>
      <c r="D47" s="5"/>
      <c r="E47" s="5"/>
      <c r="F47" s="5"/>
      <c r="G47" s="5"/>
      <c r="H47" s="5"/>
      <c r="I47" s="5"/>
      <c r="J47" s="5"/>
      <c r="K47" s="5"/>
    </row>
    <row r="48" spans="2:11">
      <c r="B48" s="106" t="s">
        <v>54</v>
      </c>
      <c r="C48" s="75"/>
      <c r="D48" s="5"/>
      <c r="E48" s="5"/>
      <c r="F48" s="5"/>
      <c r="G48" s="5"/>
      <c r="H48" s="5"/>
      <c r="I48" s="5"/>
      <c r="J48" s="5"/>
      <c r="K48" s="5"/>
    </row>
    <row r="49" spans="2:11">
      <c r="B49" s="1504"/>
      <c r="C49" s="1505"/>
      <c r="D49" s="1505"/>
      <c r="E49" s="1506"/>
      <c r="F49" s="5"/>
      <c r="G49" s="5"/>
      <c r="H49" s="5"/>
      <c r="I49" s="5"/>
      <c r="J49" s="5"/>
      <c r="K49" s="5"/>
    </row>
    <row r="50" spans="2:11" ht="15" thickBot="1">
      <c r="B50" s="5"/>
      <c r="D50" s="5"/>
      <c r="E50" s="5"/>
      <c r="F50" s="5"/>
      <c r="G50" s="5"/>
      <c r="H50" s="5"/>
      <c r="I50" s="5"/>
      <c r="J50" s="5"/>
      <c r="K50" s="5"/>
    </row>
    <row r="51" spans="2:11" ht="24.6" thickBot="1">
      <c r="B51" s="41" t="s">
        <v>55</v>
      </c>
      <c r="C51" s="76"/>
      <c r="D51" s="5"/>
      <c r="E51" s="5"/>
      <c r="F51" s="5"/>
      <c r="G51" s="5"/>
      <c r="H51" s="5"/>
      <c r="I51" s="5"/>
      <c r="J51" s="5"/>
      <c r="K51" s="5"/>
    </row>
    <row r="52" spans="2:11" ht="15" thickBot="1">
      <c r="B52" s="1"/>
      <c r="C52" s="64"/>
      <c r="D52" s="5"/>
      <c r="E52" s="5"/>
      <c r="F52" s="5"/>
      <c r="G52" s="5"/>
      <c r="H52" s="5"/>
      <c r="I52" s="5"/>
      <c r="J52" s="5"/>
      <c r="K52" s="5"/>
    </row>
    <row r="53" spans="2:11" ht="60.6" thickBot="1">
      <c r="B53" s="42" t="s">
        <v>56</v>
      </c>
      <c r="C53" s="77"/>
      <c r="D53" s="34" t="s">
        <v>162</v>
      </c>
      <c r="E53" s="5"/>
      <c r="F53" s="5"/>
      <c r="G53" s="5"/>
      <c r="H53" s="5"/>
      <c r="I53" s="5"/>
      <c r="J53" s="5"/>
      <c r="K53" s="5"/>
    </row>
    <row r="54" spans="2:11">
      <c r="B54" s="1434" t="s">
        <v>58</v>
      </c>
      <c r="C54" s="73"/>
      <c r="D54" s="43" t="s">
        <v>59</v>
      </c>
      <c r="E54" s="5"/>
      <c r="F54" s="5"/>
      <c r="G54" s="5"/>
      <c r="H54" s="5"/>
      <c r="I54" s="5"/>
      <c r="J54" s="5"/>
      <c r="K54" s="5"/>
    </row>
    <row r="55" spans="2:11" ht="60">
      <c r="B55" s="1435"/>
      <c r="C55" s="73"/>
      <c r="D55" s="36" t="s">
        <v>163</v>
      </c>
      <c r="E55" s="5"/>
      <c r="F55" s="5"/>
      <c r="G55" s="5"/>
      <c r="H55" s="5"/>
      <c r="I55" s="5"/>
      <c r="J55" s="5"/>
      <c r="K55" s="5"/>
    </row>
    <row r="56" spans="2:11">
      <c r="B56" s="1435"/>
      <c r="C56" s="73"/>
      <c r="D56" s="43" t="s">
        <v>133</v>
      </c>
      <c r="E56" s="5"/>
      <c r="F56" s="5"/>
      <c r="G56" s="5"/>
      <c r="H56" s="5"/>
      <c r="I56" s="5"/>
      <c r="J56" s="5"/>
      <c r="K56" s="5"/>
    </row>
    <row r="57" spans="2:11">
      <c r="B57" s="1435"/>
      <c r="C57" s="73"/>
      <c r="D57" s="36" t="s">
        <v>63</v>
      </c>
      <c r="E57" s="5"/>
      <c r="F57" s="5"/>
      <c r="G57" s="5"/>
      <c r="H57" s="5"/>
      <c r="I57" s="5"/>
      <c r="J57" s="5"/>
      <c r="K57" s="5"/>
    </row>
    <row r="58" spans="2:11">
      <c r="B58" s="1435"/>
      <c r="C58" s="73"/>
      <c r="D58" s="36" t="s">
        <v>164</v>
      </c>
      <c r="E58" s="5"/>
      <c r="F58" s="5"/>
      <c r="G58" s="5"/>
      <c r="H58" s="5"/>
      <c r="I58" s="5"/>
      <c r="J58" s="5"/>
      <c r="K58" s="5"/>
    </row>
    <row r="59" spans="2:11">
      <c r="B59" s="1435"/>
      <c r="C59" s="73"/>
      <c r="D59" s="36" t="s">
        <v>165</v>
      </c>
      <c r="E59" s="5"/>
      <c r="F59" s="5"/>
      <c r="G59" s="5"/>
      <c r="H59" s="5"/>
      <c r="I59" s="5"/>
      <c r="J59" s="5"/>
      <c r="K59" s="5"/>
    </row>
    <row r="60" spans="2:11">
      <c r="B60" s="1435"/>
      <c r="C60" s="73"/>
      <c r="D60" s="36" t="s">
        <v>166</v>
      </c>
      <c r="E60" s="5"/>
      <c r="F60" s="5"/>
      <c r="G60" s="5"/>
      <c r="H60" s="5"/>
      <c r="I60" s="5"/>
      <c r="J60" s="5"/>
      <c r="K60" s="5"/>
    </row>
    <row r="61" spans="2:11">
      <c r="B61" s="1435"/>
      <c r="C61" s="73"/>
      <c r="D61" s="36" t="s">
        <v>167</v>
      </c>
      <c r="E61" s="5"/>
      <c r="F61" s="5"/>
      <c r="G61" s="5"/>
      <c r="H61" s="5"/>
      <c r="I61" s="5"/>
      <c r="J61" s="5"/>
      <c r="K61" s="5"/>
    </row>
    <row r="62" spans="2:11" ht="15" thickBot="1">
      <c r="B62" s="1436"/>
      <c r="C62" s="2"/>
      <c r="D62" s="58"/>
      <c r="E62" s="5"/>
      <c r="F62" s="5"/>
      <c r="G62" s="5"/>
      <c r="H62" s="5"/>
      <c r="I62" s="5"/>
      <c r="J62" s="5"/>
      <c r="K62" s="5"/>
    </row>
    <row r="63" spans="2:11" ht="24.6" thickBot="1">
      <c r="B63" s="37" t="s">
        <v>71</v>
      </c>
      <c r="C63" s="2"/>
      <c r="D63" s="32"/>
      <c r="E63" s="5"/>
      <c r="F63" s="5"/>
      <c r="G63" s="5"/>
      <c r="H63" s="5"/>
      <c r="I63" s="5"/>
      <c r="J63" s="5"/>
      <c r="K63" s="5"/>
    </row>
    <row r="64" spans="2:11" ht="96">
      <c r="B64" s="1434" t="s">
        <v>72</v>
      </c>
      <c r="C64" s="73"/>
      <c r="D64" s="36" t="s">
        <v>168</v>
      </c>
      <c r="E64" s="5"/>
      <c r="F64" s="5"/>
      <c r="G64" s="5"/>
      <c r="H64" s="5"/>
      <c r="I64" s="5"/>
      <c r="J64" s="5"/>
      <c r="K64" s="5"/>
    </row>
    <row r="65" spans="2:11" ht="84">
      <c r="B65" s="1435"/>
      <c r="C65" s="73"/>
      <c r="D65" s="36" t="s">
        <v>169</v>
      </c>
      <c r="E65" s="5"/>
      <c r="F65" s="5"/>
      <c r="G65" s="5"/>
      <c r="H65" s="5"/>
      <c r="I65" s="5"/>
      <c r="J65" s="5"/>
      <c r="K65" s="5"/>
    </row>
    <row r="66" spans="2:11" ht="96.6" thickBot="1">
      <c r="B66" s="1436"/>
      <c r="C66" s="2"/>
      <c r="D66" s="32" t="s">
        <v>170</v>
      </c>
      <c r="E66" s="5"/>
      <c r="F66" s="5"/>
      <c r="G66" s="5"/>
      <c r="H66" s="5"/>
      <c r="I66" s="5"/>
      <c r="J66" s="5"/>
      <c r="K66" s="5"/>
    </row>
    <row r="67" spans="2:11">
      <c r="B67" s="1434" t="s">
        <v>89</v>
      </c>
      <c r="C67" s="73"/>
      <c r="D67" s="36"/>
      <c r="E67" s="5"/>
      <c r="F67" s="5"/>
      <c r="G67" s="5"/>
      <c r="H67" s="5"/>
      <c r="I67" s="5"/>
      <c r="J67" s="5"/>
      <c r="K67" s="5"/>
    </row>
    <row r="68" spans="2:11">
      <c r="B68" s="1435"/>
      <c r="C68" s="73"/>
      <c r="D68" s="13"/>
      <c r="E68" s="5"/>
      <c r="F68" s="5"/>
      <c r="G68" s="5"/>
      <c r="H68" s="5"/>
      <c r="I68" s="5"/>
      <c r="J68" s="5"/>
      <c r="K68" s="5"/>
    </row>
    <row r="69" spans="2:11">
      <c r="B69" s="1435"/>
      <c r="C69" s="73"/>
      <c r="D69" s="36" t="s">
        <v>90</v>
      </c>
      <c r="E69" s="5"/>
      <c r="F69" s="5"/>
      <c r="G69" s="5"/>
      <c r="H69" s="5"/>
      <c r="I69" s="5"/>
      <c r="J69" s="5"/>
      <c r="K69" s="5"/>
    </row>
    <row r="70" spans="2:11" ht="38.4">
      <c r="B70" s="1435"/>
      <c r="C70" s="73"/>
      <c r="D70" s="36" t="s">
        <v>171</v>
      </c>
      <c r="E70" s="5"/>
      <c r="F70" s="5"/>
      <c r="G70" s="5"/>
      <c r="H70" s="5"/>
      <c r="I70" s="5"/>
      <c r="J70" s="5"/>
      <c r="K70" s="5"/>
    </row>
    <row r="71" spans="2:11" ht="38.4">
      <c r="B71" s="1435"/>
      <c r="C71" s="73"/>
      <c r="D71" s="36" t="s">
        <v>172</v>
      </c>
      <c r="E71" s="5"/>
      <c r="F71" s="5"/>
      <c r="G71" s="5"/>
      <c r="H71" s="5"/>
      <c r="I71" s="5"/>
      <c r="J71" s="5"/>
      <c r="K71" s="5"/>
    </row>
    <row r="72" spans="2:11" ht="38.4">
      <c r="B72" s="1435"/>
      <c r="C72" s="73"/>
      <c r="D72" s="36" t="s">
        <v>173</v>
      </c>
      <c r="E72" s="5"/>
      <c r="F72" s="5"/>
      <c r="G72" s="5"/>
      <c r="H72" s="5"/>
      <c r="I72" s="5"/>
      <c r="J72" s="5"/>
      <c r="K72" s="5"/>
    </row>
    <row r="73" spans="2:11" ht="48.6" thickBot="1">
      <c r="B73" s="1436"/>
      <c r="C73" s="2"/>
      <c r="D73" s="32" t="s">
        <v>174</v>
      </c>
      <c r="E73" s="5"/>
      <c r="F73" s="5"/>
      <c r="G73" s="5"/>
      <c r="H73" s="5"/>
      <c r="I73" s="5"/>
      <c r="J73" s="5"/>
      <c r="K73" s="5"/>
    </row>
    <row r="74" spans="2:11">
      <c r="B74" s="5"/>
      <c r="D74" s="5"/>
      <c r="E74" s="5"/>
      <c r="F74" s="5"/>
      <c r="G74" s="5"/>
      <c r="H74" s="5"/>
      <c r="I74" s="5"/>
      <c r="J74" s="5"/>
      <c r="K74" s="5"/>
    </row>
    <row r="75" spans="2:11">
      <c r="B75" s="5"/>
      <c r="D75" s="5"/>
      <c r="E75" s="5"/>
      <c r="F75" s="5"/>
      <c r="G75" s="5"/>
      <c r="H75" s="5"/>
      <c r="I75" s="5"/>
      <c r="J75" s="5"/>
      <c r="K75" s="5"/>
    </row>
  </sheetData>
  <mergeCells count="23">
    <mergeCell ref="B10:D10"/>
    <mergeCell ref="F10:S10"/>
    <mergeCell ref="F11:S11"/>
    <mergeCell ref="E12:R12"/>
    <mergeCell ref="E13:R13"/>
    <mergeCell ref="B67:B73"/>
    <mergeCell ref="B15:B22"/>
    <mergeCell ref="D23:J23"/>
    <mergeCell ref="D24:J24"/>
    <mergeCell ref="B26:E26"/>
    <mergeCell ref="B27:B33"/>
    <mergeCell ref="B35:E35"/>
    <mergeCell ref="D15:J15"/>
    <mergeCell ref="D18:J18"/>
    <mergeCell ref="B36:B42"/>
    <mergeCell ref="B54:B62"/>
    <mergeCell ref="B64:B66"/>
    <mergeCell ref="B49:E49"/>
    <mergeCell ref="A1:P1"/>
    <mergeCell ref="A2:P2"/>
    <mergeCell ref="A3:P3"/>
    <mergeCell ref="A4:D4"/>
    <mergeCell ref="A5:P5"/>
  </mergeCells>
  <conditionalFormatting sqref="E12:R12">
    <cfRule type="expression" dxfId="115" priority="1">
      <formula>E11="SI SE REPORTA"</formula>
    </cfRule>
  </conditionalFormatting>
  <conditionalFormatting sqref="F10">
    <cfRule type="notContainsBlanks" dxfId="114" priority="4">
      <formula>LEN(TRIM(F10))&gt;0</formula>
    </cfRule>
  </conditionalFormatting>
  <conditionalFormatting sqref="F11:S11">
    <cfRule type="expression" dxfId="113" priority="2">
      <formula>E11="NO SE REPORTA"</formula>
    </cfRule>
    <cfRule type="expression" dxfId="112"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xr:uid="{00000000-0002-0000-0700-000000000000}">
      <formula1>0</formula1>
    </dataValidation>
    <dataValidation type="list" allowBlank="1" showInputMessage="1" showErrorMessage="1" sqref="E11" xr:uid="{00000000-0002-0000-0700-000001000000}">
      <formula1>REPORTE</formula1>
    </dataValidation>
    <dataValidation type="list" allowBlank="1" showInputMessage="1" showErrorMessage="1" sqref="E10" xr:uid="{00000000-0002-0000-0700-000002000000}">
      <formula1>SI</formula1>
    </dataValidation>
  </dataValidations>
  <hyperlinks>
    <hyperlink ref="B9" location="'ANEXO 3'!A1" display="VOLVER AL INDICE" xr:uid="{00000000-0004-0000-0700-000000000000}"/>
    <hyperlink ref="E31" r:id="rId1" xr:uid="{00000000-0004-0000-0700-000001000000}"/>
  </hyperlinks>
  <pageMargins left="0.25" right="0.25" top="0.75" bottom="0.75" header="0.3" footer="0.3"/>
  <pageSetup paperSize="178" orientation="landscape" horizontalDpi="1200" verticalDpi="1200" r:id="rId2"/>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tabColor rgb="FF92D050"/>
  </sheetPr>
  <dimension ref="A1:U75"/>
  <sheetViews>
    <sheetView showGridLines="0" topLeftCell="A4" zoomScale="75" zoomScaleNormal="75" workbookViewId="0">
      <selection activeCell="G17" sqref="G17"/>
    </sheetView>
  </sheetViews>
  <sheetFormatPr baseColWidth="10" defaultRowHeight="14.4"/>
  <cols>
    <col min="1" max="1" width="1.88671875" customWidth="1"/>
    <col min="2" max="2" width="14.33203125" customWidth="1"/>
    <col min="3" max="3" width="7.44140625" style="66" customWidth="1"/>
    <col min="4" max="4" width="34.88671875" customWidth="1"/>
    <col min="5" max="5" width="24.55468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182</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4" t="s">
        <v>1178</v>
      </c>
      <c r="C8" s="564">
        <v>2023</v>
      </c>
      <c r="D8" s="170" t="str">
        <f>+IF(E10="NO APLICA","NO APLICA",IF(E11="NO SE REPORTA","SIN INFORMACION",+H23))</f>
        <v>SIN INFORMACION</v>
      </c>
      <c r="E8" s="167"/>
      <c r="F8" s="5" t="s">
        <v>129</v>
      </c>
      <c r="G8" s="5"/>
      <c r="H8" s="5"/>
      <c r="I8" s="5"/>
      <c r="J8" s="5"/>
      <c r="K8" s="5"/>
    </row>
    <row r="9" spans="1:21">
      <c r="B9" s="298" t="s">
        <v>1179</v>
      </c>
      <c r="C9" s="67"/>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1232</v>
      </c>
      <c r="F11" s="1405" t="s">
        <v>1824</v>
      </c>
      <c r="G11" s="1406"/>
      <c r="H11" s="1406"/>
      <c r="I11" s="1406"/>
      <c r="J11" s="1406"/>
      <c r="K11" s="1406"/>
      <c r="L11" s="1406"/>
      <c r="M11" s="1406"/>
      <c r="N11" s="1406"/>
      <c r="O11" s="1406"/>
      <c r="P11" s="1406"/>
      <c r="Q11" s="1406"/>
      <c r="R11" s="1406"/>
      <c r="S11" s="1406"/>
    </row>
    <row r="12" spans="1:21" ht="23.4" customHeight="1">
      <c r="B12" s="298"/>
      <c r="C12" s="67"/>
      <c r="D12" s="144" t="str">
        <f>IF(E11="SI SE REPORTA","¿Qué programas o proyectos del Plan de Acción están asociados al indicador? ","")</f>
        <v/>
      </c>
      <c r="E12" s="1407"/>
      <c r="F12" s="1407"/>
      <c r="G12" s="1407"/>
      <c r="H12" s="1407"/>
      <c r="I12" s="1407"/>
      <c r="J12" s="1407"/>
      <c r="K12" s="1407"/>
      <c r="L12" s="1407"/>
      <c r="M12" s="1407"/>
      <c r="N12" s="1407"/>
      <c r="O12" s="1407"/>
      <c r="P12" s="1407"/>
      <c r="Q12" s="1407"/>
      <c r="R12" s="1407"/>
    </row>
    <row r="13" spans="1:21" ht="30" customHeight="1">
      <c r="B13" s="298"/>
      <c r="C13" s="67"/>
      <c r="D13" s="144" t="s">
        <v>1236</v>
      </c>
      <c r="E13" s="1408" t="s">
        <v>1823</v>
      </c>
      <c r="F13" s="1409"/>
      <c r="G13" s="1409"/>
      <c r="H13" s="1409"/>
      <c r="I13" s="1409"/>
      <c r="J13" s="1409"/>
      <c r="K13" s="1409"/>
      <c r="L13" s="1409"/>
      <c r="M13" s="1409"/>
      <c r="N13" s="1409"/>
      <c r="O13" s="1409"/>
      <c r="P13" s="1409"/>
      <c r="Q13" s="1409"/>
      <c r="R13" s="1410"/>
    </row>
    <row r="14" spans="1:21" ht="6.9" customHeight="1" thickBot="1">
      <c r="B14" s="298"/>
      <c r="C14" s="67"/>
      <c r="D14" s="5"/>
      <c r="E14" s="5"/>
      <c r="F14" s="5"/>
      <c r="G14" s="5"/>
      <c r="H14" s="5"/>
      <c r="I14" s="5"/>
      <c r="J14" s="5"/>
      <c r="K14" s="5"/>
    </row>
    <row r="15" spans="1:21" ht="15" thickBot="1">
      <c r="B15" s="1434" t="s">
        <v>2</v>
      </c>
      <c r="C15" s="68"/>
      <c r="D15" s="1425" t="s">
        <v>3</v>
      </c>
      <c r="E15" s="1426"/>
      <c r="F15" s="1426"/>
      <c r="G15" s="1426"/>
      <c r="H15" s="1426"/>
      <c r="I15" s="1426"/>
      <c r="J15" s="1427"/>
      <c r="K15" s="5"/>
    </row>
    <row r="16" spans="1:21" ht="27" customHeight="1" thickBot="1">
      <c r="B16" s="1435"/>
      <c r="C16" s="73"/>
      <c r="D16" s="34" t="s">
        <v>192</v>
      </c>
      <c r="E16" s="438">
        <v>17</v>
      </c>
      <c r="F16" s="5"/>
      <c r="G16" s="5"/>
      <c r="H16" s="5"/>
      <c r="I16" s="5"/>
      <c r="J16" s="17"/>
      <c r="K16" s="5"/>
    </row>
    <row r="17" spans="2:11" ht="40.5" customHeight="1" thickBot="1">
      <c r="B17" s="1435"/>
      <c r="C17" s="73"/>
      <c r="D17" s="32" t="s">
        <v>1912</v>
      </c>
      <c r="E17" s="438">
        <v>1</v>
      </c>
      <c r="F17" s="5"/>
      <c r="G17" s="5"/>
      <c r="H17" s="5"/>
      <c r="I17" s="5"/>
      <c r="J17" s="17"/>
      <c r="K17" s="5"/>
    </row>
    <row r="18" spans="2:11" ht="36.6" thickBot="1">
      <c r="B18" s="1435"/>
      <c r="C18" s="73"/>
      <c r="D18" s="32" t="s">
        <v>193</v>
      </c>
      <c r="E18" s="438">
        <v>0</v>
      </c>
      <c r="F18" s="5"/>
      <c r="G18" s="5"/>
      <c r="H18" s="5"/>
      <c r="I18" s="5"/>
      <c r="J18" s="17"/>
      <c r="K18" s="5"/>
    </row>
    <row r="19" spans="2:11" ht="15" thickBot="1">
      <c r="B19" s="1435"/>
      <c r="C19" s="71"/>
      <c r="D19" s="1447"/>
      <c r="E19" s="1448"/>
      <c r="F19" s="1448"/>
      <c r="G19" s="1448"/>
      <c r="H19" s="1448"/>
      <c r="I19" s="1448"/>
      <c r="J19" s="1449"/>
      <c r="K19" s="5"/>
    </row>
    <row r="20" spans="2:11" ht="15" thickBot="1">
      <c r="B20" s="1435"/>
      <c r="C20" s="77" t="s">
        <v>18</v>
      </c>
      <c r="D20" s="34" t="s">
        <v>149</v>
      </c>
      <c r="E20" s="69" t="s">
        <v>19</v>
      </c>
      <c r="F20" s="69" t="s">
        <v>20</v>
      </c>
      <c r="G20" s="69" t="s">
        <v>21</v>
      </c>
      <c r="H20" s="69" t="s">
        <v>22</v>
      </c>
      <c r="I20" s="69" t="s">
        <v>150</v>
      </c>
      <c r="J20" s="89"/>
      <c r="K20" s="5"/>
    </row>
    <row r="21" spans="2:11" ht="24.6" thickBot="1">
      <c r="B21" s="1435"/>
      <c r="C21" s="2" t="s">
        <v>151</v>
      </c>
      <c r="D21" s="32" t="s">
        <v>194</v>
      </c>
      <c r="E21" s="438">
        <v>0</v>
      </c>
      <c r="F21" s="438">
        <v>0</v>
      </c>
      <c r="G21" s="438">
        <v>0</v>
      </c>
      <c r="H21" s="438">
        <v>0</v>
      </c>
      <c r="I21" s="519">
        <f>SUM(E21:H21)</f>
        <v>0</v>
      </c>
      <c r="J21" s="90"/>
      <c r="K21" s="5"/>
    </row>
    <row r="22" spans="2:11" ht="24.6" thickBot="1">
      <c r="B22" s="1435"/>
      <c r="C22" s="2" t="s">
        <v>153</v>
      </c>
      <c r="D22" s="32" t="s">
        <v>195</v>
      </c>
      <c r="E22" s="438">
        <v>0</v>
      </c>
      <c r="F22" s="438">
        <v>0</v>
      </c>
      <c r="G22" s="438">
        <v>0</v>
      </c>
      <c r="H22" s="438">
        <v>0</v>
      </c>
      <c r="I22" s="519">
        <f>SUM(E22:H22)</f>
        <v>0</v>
      </c>
      <c r="J22" s="90"/>
      <c r="K22" s="5"/>
    </row>
    <row r="23" spans="2:11" ht="36.6" thickBot="1">
      <c r="B23" s="1436"/>
      <c r="C23" s="2" t="s">
        <v>155</v>
      </c>
      <c r="D23" s="32" t="s">
        <v>196</v>
      </c>
      <c r="E23" s="487" t="str">
        <f>IFERROR(E22/E21,"N.A.")</f>
        <v>N.A.</v>
      </c>
      <c r="F23" s="487" t="str">
        <f>IFERROR(F22/F21,"N.A.")</f>
        <v>N.A.</v>
      </c>
      <c r="G23" s="487" t="str">
        <f>IFERROR(G22/G21,"N.A.")</f>
        <v>N.A.</v>
      </c>
      <c r="H23" s="487" t="str">
        <f>IFERROR(H22/H21,"N.A.")</f>
        <v>N.A.</v>
      </c>
      <c r="I23" s="487" t="str">
        <f>IFERROR(I22/I21,"N.A.")</f>
        <v>N.A.</v>
      </c>
      <c r="J23" s="91"/>
      <c r="K23" s="5"/>
    </row>
    <row r="24" spans="2:11" ht="24" customHeight="1" thickBot="1">
      <c r="B24" s="37" t="s">
        <v>33</v>
      </c>
      <c r="C24" s="72"/>
      <c r="D24" s="1437" t="s">
        <v>197</v>
      </c>
      <c r="E24" s="1438"/>
      <c r="F24" s="1438"/>
      <c r="G24" s="1438"/>
      <c r="H24" s="1438"/>
      <c r="I24" s="1438"/>
      <c r="J24" s="1439"/>
      <c r="K24" s="5"/>
    </row>
    <row r="25" spans="2:11" ht="24.6" thickBot="1">
      <c r="B25" s="37" t="s">
        <v>35</v>
      </c>
      <c r="C25" s="72"/>
      <c r="D25" s="1437" t="s">
        <v>158</v>
      </c>
      <c r="E25" s="1438"/>
      <c r="F25" s="1438"/>
      <c r="G25" s="1438"/>
      <c r="H25" s="1438"/>
      <c r="I25" s="1438"/>
      <c r="J25" s="1439"/>
      <c r="K25" s="5"/>
    </row>
    <row r="26" spans="2:11" ht="15" thickBot="1">
      <c r="B26" s="1"/>
      <c r="C26" s="64"/>
      <c r="D26" s="5"/>
      <c r="E26" s="5"/>
      <c r="F26" s="5"/>
      <c r="G26" s="5"/>
      <c r="H26" s="5"/>
      <c r="I26" s="5"/>
      <c r="J26" s="5"/>
      <c r="K26" s="5"/>
    </row>
    <row r="27" spans="2:11" ht="15" customHeight="1" thickBot="1">
      <c r="B27" s="97" t="s">
        <v>37</v>
      </c>
      <c r="C27" s="98"/>
      <c r="D27" s="98"/>
      <c r="E27" s="98"/>
      <c r="F27" s="99"/>
      <c r="G27" s="5"/>
      <c r="H27" s="5"/>
      <c r="I27" s="5"/>
      <c r="J27" s="5"/>
      <c r="K27" s="5"/>
    </row>
    <row r="28" spans="2:11" ht="15" thickBot="1">
      <c r="B28" s="1434">
        <v>1</v>
      </c>
      <c r="C28" s="73"/>
      <c r="D28" s="38" t="s">
        <v>38</v>
      </c>
      <c r="E28" s="133" t="s">
        <v>1811</v>
      </c>
      <c r="F28" s="49"/>
      <c r="G28" s="5"/>
      <c r="H28" s="5"/>
      <c r="I28" s="5"/>
      <c r="J28" s="5"/>
      <c r="K28" s="5"/>
    </row>
    <row r="29" spans="2:11" ht="15" thickBot="1">
      <c r="B29" s="1435"/>
      <c r="C29" s="73"/>
      <c r="D29" s="32" t="s">
        <v>39</v>
      </c>
      <c r="E29" s="281" t="s">
        <v>1987</v>
      </c>
      <c r="F29" s="49"/>
      <c r="G29" s="5"/>
      <c r="H29" s="5"/>
      <c r="I29" s="5"/>
      <c r="J29" s="5"/>
      <c r="K29" s="5"/>
    </row>
    <row r="30" spans="2:11" ht="15" thickBot="1">
      <c r="B30" s="1435"/>
      <c r="C30" s="73"/>
      <c r="D30" s="32" t="s">
        <v>40</v>
      </c>
      <c r="E30" s="281" t="s">
        <v>1818</v>
      </c>
      <c r="F30" s="49"/>
      <c r="G30" s="5"/>
      <c r="H30" s="5"/>
      <c r="I30" s="5"/>
      <c r="J30" s="5"/>
      <c r="K30" s="5"/>
    </row>
    <row r="31" spans="2:11" ht="15" thickBot="1">
      <c r="B31" s="1435"/>
      <c r="C31" s="73"/>
      <c r="D31" s="32" t="s">
        <v>41</v>
      </c>
      <c r="E31" s="133" t="s">
        <v>2030</v>
      </c>
      <c r="F31" s="49"/>
      <c r="G31" s="5"/>
      <c r="H31" s="5"/>
      <c r="I31" s="5"/>
      <c r="J31" s="5"/>
      <c r="K31" s="5"/>
    </row>
    <row r="32" spans="2:11" ht="15" thickBot="1">
      <c r="B32" s="1435"/>
      <c r="C32" s="73"/>
      <c r="D32" s="32" t="s">
        <v>42</v>
      </c>
      <c r="E32" s="445" t="s">
        <v>1813</v>
      </c>
      <c r="F32" s="49"/>
      <c r="G32" s="5"/>
      <c r="H32" s="5"/>
      <c r="I32" s="5"/>
      <c r="J32" s="5"/>
      <c r="K32" s="5"/>
    </row>
    <row r="33" spans="2:11" ht="15" thickBot="1">
      <c r="B33" s="1435"/>
      <c r="C33" s="73"/>
      <c r="D33" s="32" t="s">
        <v>43</v>
      </c>
      <c r="E33" s="133">
        <v>3686626</v>
      </c>
      <c r="F33" s="49"/>
      <c r="G33" s="5"/>
      <c r="H33" s="5"/>
      <c r="I33" s="5"/>
      <c r="J33" s="5"/>
      <c r="K33" s="5"/>
    </row>
    <row r="34" spans="2:11" ht="15" thickBot="1">
      <c r="B34" s="1436"/>
      <c r="C34" s="2"/>
      <c r="D34" s="32" t="s">
        <v>44</v>
      </c>
      <c r="E34" s="281" t="s">
        <v>1814</v>
      </c>
      <c r="F34" s="49"/>
      <c r="G34" s="5"/>
      <c r="H34" s="5"/>
      <c r="I34" s="5"/>
      <c r="J34" s="5"/>
      <c r="K34" s="5"/>
    </row>
    <row r="35" spans="2:11" ht="15" thickBot="1">
      <c r="B35" s="1"/>
      <c r="C35" s="64"/>
      <c r="D35" s="5"/>
      <c r="E35" s="5"/>
      <c r="F35" s="5"/>
      <c r="G35" s="5"/>
      <c r="H35" s="5"/>
      <c r="I35" s="5"/>
      <c r="J35" s="5"/>
      <c r="K35" s="5"/>
    </row>
    <row r="36" spans="2:11" ht="15" customHeight="1" thickBot="1">
      <c r="B36" s="97" t="s">
        <v>45</v>
      </c>
      <c r="C36" s="98"/>
      <c r="D36" s="98"/>
      <c r="E36" s="99"/>
      <c r="F36" s="563"/>
      <c r="G36" s="5"/>
      <c r="H36" s="5"/>
      <c r="I36" s="5"/>
      <c r="J36" s="5"/>
      <c r="K36" s="5"/>
    </row>
    <row r="37" spans="2:11" ht="24.6" thickBot="1">
      <c r="B37" s="1434">
        <v>1</v>
      </c>
      <c r="C37" s="73"/>
      <c r="D37" s="38" t="s">
        <v>38</v>
      </c>
      <c r="E37" s="562" t="s">
        <v>46</v>
      </c>
      <c r="F37" s="49"/>
      <c r="G37" s="5"/>
      <c r="H37" s="5"/>
      <c r="I37" s="5"/>
      <c r="J37" s="5"/>
      <c r="K37" s="5"/>
    </row>
    <row r="38" spans="2:11" ht="36.6" thickBot="1">
      <c r="B38" s="1435"/>
      <c r="C38" s="73"/>
      <c r="D38" s="32" t="s">
        <v>39</v>
      </c>
      <c r="E38" s="562" t="s">
        <v>159</v>
      </c>
      <c r="F38" s="49"/>
      <c r="G38" s="5"/>
      <c r="H38" s="5"/>
      <c r="I38" s="5"/>
      <c r="J38" s="5"/>
      <c r="K38" s="5"/>
    </row>
    <row r="39" spans="2:11" ht="15" thickBot="1">
      <c r="B39" s="1435"/>
      <c r="C39" s="73"/>
      <c r="D39" s="32" t="s">
        <v>40</v>
      </c>
      <c r="E39" s="193"/>
      <c r="F39" s="49"/>
      <c r="G39" s="5"/>
      <c r="H39" s="5"/>
      <c r="I39" s="5"/>
      <c r="J39" s="5"/>
      <c r="K39" s="5"/>
    </row>
    <row r="40" spans="2:11" ht="15" thickBot="1">
      <c r="B40" s="1435"/>
      <c r="C40" s="73"/>
      <c r="D40" s="32" t="s">
        <v>41</v>
      </c>
      <c r="E40" s="193"/>
      <c r="F40" s="49"/>
      <c r="G40" s="5"/>
      <c r="H40" s="5"/>
      <c r="I40" s="5"/>
      <c r="J40" s="5"/>
      <c r="K40" s="5"/>
    </row>
    <row r="41" spans="2:11" ht="15" thickBot="1">
      <c r="B41" s="1435"/>
      <c r="C41" s="73"/>
      <c r="D41" s="32" t="s">
        <v>42</v>
      </c>
      <c r="E41" s="193"/>
      <c r="F41" s="49"/>
      <c r="G41" s="5"/>
      <c r="H41" s="5"/>
      <c r="I41" s="5"/>
      <c r="J41" s="5"/>
      <c r="K41" s="5"/>
    </row>
    <row r="42" spans="2:11" ht="15" thickBot="1">
      <c r="B42" s="1435"/>
      <c r="C42" s="73"/>
      <c r="D42" s="32" t="s">
        <v>43</v>
      </c>
      <c r="E42" s="193"/>
      <c r="F42" s="49"/>
      <c r="G42" s="5"/>
      <c r="H42" s="5"/>
      <c r="I42" s="5"/>
      <c r="J42" s="5"/>
      <c r="K42" s="5"/>
    </row>
    <row r="43" spans="2:11" ht="15" thickBot="1">
      <c r="B43" s="1436"/>
      <c r="C43" s="2"/>
      <c r="D43" s="32" t="s">
        <v>44</v>
      </c>
      <c r="E43" s="193"/>
      <c r="F43" s="49"/>
      <c r="G43" s="5"/>
      <c r="H43" s="5"/>
      <c r="I43" s="5"/>
      <c r="J43" s="5"/>
      <c r="K43" s="5"/>
    </row>
    <row r="44" spans="2:11" ht="15" thickBot="1">
      <c r="B44" s="1"/>
      <c r="C44" s="64"/>
      <c r="D44" s="5"/>
      <c r="E44" s="5"/>
      <c r="F44" s="5"/>
      <c r="G44" s="5"/>
      <c r="H44" s="5"/>
      <c r="I44" s="5"/>
      <c r="J44" s="5"/>
      <c r="K44" s="5"/>
    </row>
    <row r="45" spans="2:11" ht="15" customHeight="1" thickBot="1">
      <c r="B45" s="97" t="s">
        <v>48</v>
      </c>
      <c r="C45" s="98"/>
      <c r="D45" s="98"/>
      <c r="E45" s="99"/>
      <c r="G45" s="5"/>
      <c r="H45" s="5"/>
      <c r="I45" s="5"/>
      <c r="J45" s="5"/>
      <c r="K45" s="5"/>
    </row>
    <row r="46" spans="2:11" ht="24.6" thickBot="1">
      <c r="B46" s="37" t="s">
        <v>49</v>
      </c>
      <c r="C46" s="32" t="s">
        <v>50</v>
      </c>
      <c r="D46" s="32" t="s">
        <v>51</v>
      </c>
      <c r="E46" s="32" t="s">
        <v>52</v>
      </c>
      <c r="F46" s="5"/>
      <c r="G46" s="5"/>
      <c r="H46" s="5"/>
      <c r="I46" s="5"/>
      <c r="J46" s="5"/>
    </row>
    <row r="47" spans="2:11" ht="60.6" thickBot="1">
      <c r="B47" s="39">
        <v>42401</v>
      </c>
      <c r="C47" s="32">
        <v>0.01</v>
      </c>
      <c r="D47" s="58" t="s">
        <v>198</v>
      </c>
      <c r="E47" s="32"/>
      <c r="F47" s="5"/>
      <c r="G47" s="5"/>
      <c r="H47" s="5"/>
      <c r="I47" s="5"/>
      <c r="J47" s="5"/>
    </row>
    <row r="48" spans="2:11" ht="15" thickBot="1">
      <c r="B48" s="3"/>
      <c r="C48" s="74"/>
      <c r="D48" s="5"/>
      <c r="E48" s="5"/>
      <c r="F48" s="5"/>
      <c r="G48" s="5"/>
      <c r="H48" s="5"/>
      <c r="I48" s="5"/>
      <c r="J48" s="5"/>
      <c r="K48" s="5"/>
    </row>
    <row r="49" spans="2:11" ht="15" thickBot="1">
      <c r="B49" s="106" t="s">
        <v>54</v>
      </c>
      <c r="C49" s="75"/>
      <c r="D49" s="5"/>
      <c r="E49" s="5"/>
      <c r="F49" s="5"/>
      <c r="G49" s="5"/>
      <c r="H49" s="5"/>
      <c r="I49" s="5"/>
      <c r="J49" s="5"/>
      <c r="K49" s="5"/>
    </row>
    <row r="50" spans="2:11">
      <c r="B50" s="1507"/>
      <c r="C50" s="1508"/>
      <c r="D50" s="1508"/>
      <c r="E50" s="1509"/>
      <c r="F50" s="5"/>
      <c r="G50" s="5"/>
      <c r="H50" s="5"/>
      <c r="I50" s="5"/>
      <c r="J50" s="5"/>
      <c r="K50" s="5"/>
    </row>
    <row r="51" spans="2:11" ht="15" thickBot="1">
      <c r="B51" s="1510"/>
      <c r="C51" s="1511"/>
      <c r="D51" s="1511"/>
      <c r="E51" s="1512"/>
      <c r="F51" s="5"/>
      <c r="G51" s="5"/>
      <c r="H51" s="5"/>
      <c r="I51" s="5"/>
      <c r="J51" s="5"/>
      <c r="K51" s="5"/>
    </row>
    <row r="52" spans="2:11" ht="15" thickBot="1">
      <c r="B52" s="5"/>
      <c r="D52" s="5"/>
      <c r="E52" s="5"/>
      <c r="F52" s="5"/>
      <c r="G52" s="5"/>
      <c r="H52" s="5"/>
      <c r="I52" s="5"/>
      <c r="J52" s="5"/>
      <c r="K52" s="5"/>
    </row>
    <row r="53" spans="2:11" ht="24.6" thickBot="1">
      <c r="B53" s="41" t="s">
        <v>55</v>
      </c>
      <c r="C53" s="76"/>
      <c r="D53" s="5"/>
      <c r="E53" s="5"/>
      <c r="F53" s="5"/>
      <c r="G53" s="5"/>
      <c r="H53" s="5"/>
      <c r="I53" s="5"/>
      <c r="J53" s="5"/>
      <c r="K53" s="5"/>
    </row>
    <row r="54" spans="2:11" ht="15" thickBot="1">
      <c r="B54" s="1"/>
      <c r="C54" s="64"/>
      <c r="D54" s="5"/>
      <c r="E54" s="5"/>
      <c r="F54" s="5"/>
      <c r="G54" s="5"/>
      <c r="H54" s="5"/>
      <c r="I54" s="5"/>
      <c r="J54" s="5"/>
      <c r="K54" s="5"/>
    </row>
    <row r="55" spans="2:11" ht="60.6" thickBot="1">
      <c r="B55" s="42" t="s">
        <v>56</v>
      </c>
      <c r="C55" s="77"/>
      <c r="D55" s="34" t="s">
        <v>183</v>
      </c>
      <c r="E55" s="5"/>
      <c r="F55" s="5"/>
      <c r="G55" s="5"/>
      <c r="H55" s="5"/>
      <c r="I55" s="5"/>
      <c r="J55" s="5"/>
      <c r="K55" s="5"/>
    </row>
    <row r="56" spans="2:11">
      <c r="B56" s="1434" t="s">
        <v>58</v>
      </c>
      <c r="C56" s="73"/>
      <c r="D56" s="43" t="s">
        <v>59</v>
      </c>
      <c r="E56" s="5"/>
      <c r="F56" s="5"/>
      <c r="G56" s="5"/>
      <c r="H56" s="5"/>
      <c r="I56" s="5"/>
      <c r="J56" s="5"/>
      <c r="K56" s="5"/>
    </row>
    <row r="57" spans="2:11" ht="48">
      <c r="B57" s="1435"/>
      <c r="C57" s="73"/>
      <c r="D57" s="36" t="s">
        <v>184</v>
      </c>
      <c r="E57" s="5"/>
      <c r="F57" s="5"/>
      <c r="G57" s="5"/>
      <c r="H57" s="5"/>
      <c r="I57" s="5"/>
      <c r="J57" s="5"/>
      <c r="K57" s="5"/>
    </row>
    <row r="58" spans="2:11">
      <c r="B58" s="1435"/>
      <c r="C58" s="73"/>
      <c r="D58" s="43" t="s">
        <v>133</v>
      </c>
      <c r="E58" s="5"/>
      <c r="F58" s="5"/>
      <c r="G58" s="5"/>
      <c r="H58" s="5"/>
      <c r="I58" s="5"/>
      <c r="J58" s="5"/>
      <c r="K58" s="5"/>
    </row>
    <row r="59" spans="2:11">
      <c r="B59" s="1435"/>
      <c r="C59" s="73"/>
      <c r="D59" s="36" t="s">
        <v>135</v>
      </c>
      <c r="E59" s="5"/>
      <c r="F59" s="5"/>
      <c r="G59" s="5"/>
      <c r="H59" s="5"/>
      <c r="I59" s="5"/>
      <c r="J59" s="5"/>
      <c r="K59" s="5"/>
    </row>
    <row r="60" spans="2:11">
      <c r="B60" s="1435"/>
      <c r="C60" s="73"/>
      <c r="D60" s="36" t="s">
        <v>164</v>
      </c>
      <c r="E60" s="5"/>
      <c r="F60" s="5"/>
      <c r="G60" s="5"/>
      <c r="H60" s="5"/>
      <c r="I60" s="5"/>
      <c r="J60" s="5"/>
      <c r="K60" s="5"/>
    </row>
    <row r="61" spans="2:11" ht="36">
      <c r="B61" s="1435"/>
      <c r="C61" s="73"/>
      <c r="D61" s="36" t="s">
        <v>139</v>
      </c>
      <c r="E61" s="5"/>
      <c r="F61" s="5"/>
      <c r="G61" s="5"/>
      <c r="H61" s="5"/>
      <c r="I61" s="5"/>
      <c r="J61" s="5"/>
      <c r="K61" s="5"/>
    </row>
    <row r="62" spans="2:11">
      <c r="B62" s="1435"/>
      <c r="C62" s="73"/>
      <c r="D62" s="43" t="s">
        <v>140</v>
      </c>
      <c r="E62" s="5"/>
      <c r="F62" s="5"/>
      <c r="G62" s="5"/>
      <c r="H62" s="5"/>
      <c r="I62" s="5"/>
      <c r="J62" s="5"/>
      <c r="K62" s="5"/>
    </row>
    <row r="63" spans="2:11" ht="24.6" thickBot="1">
      <c r="B63" s="1436"/>
      <c r="C63" s="2"/>
      <c r="D63" s="32" t="s">
        <v>141</v>
      </c>
      <c r="E63" s="5"/>
      <c r="F63" s="5"/>
      <c r="G63" s="5"/>
      <c r="H63" s="5"/>
      <c r="I63" s="5"/>
      <c r="J63" s="5"/>
      <c r="K63" s="5"/>
    </row>
    <row r="64" spans="2:11" ht="15" thickBot="1">
      <c r="B64" s="37" t="s">
        <v>71</v>
      </c>
      <c r="C64" s="2"/>
      <c r="D64" s="32"/>
      <c r="E64" s="5"/>
      <c r="F64" s="5"/>
      <c r="G64" s="5"/>
      <c r="H64" s="5"/>
      <c r="I64" s="5"/>
      <c r="J64" s="5"/>
      <c r="K64" s="5"/>
    </row>
    <row r="65" spans="2:11" ht="96">
      <c r="B65" s="1434" t="s">
        <v>72</v>
      </c>
      <c r="C65" s="73"/>
      <c r="D65" s="36" t="s">
        <v>185</v>
      </c>
      <c r="E65" s="5"/>
      <c r="F65" s="5"/>
      <c r="G65" s="5"/>
      <c r="H65" s="5"/>
      <c r="I65" s="5"/>
      <c r="J65" s="5"/>
      <c r="K65" s="5"/>
    </row>
    <row r="66" spans="2:11" ht="216">
      <c r="B66" s="1435"/>
      <c r="C66" s="73"/>
      <c r="D66" s="36" t="s">
        <v>186</v>
      </c>
      <c r="E66" s="5"/>
      <c r="F66" s="5"/>
      <c r="G66" s="5"/>
      <c r="H66" s="5"/>
      <c r="I66" s="5"/>
      <c r="J66" s="5"/>
      <c r="K66" s="5"/>
    </row>
    <row r="67" spans="2:11" ht="36.6" thickBot="1">
      <c r="B67" s="1436"/>
      <c r="C67" s="2"/>
      <c r="D67" s="32" t="s">
        <v>187</v>
      </c>
      <c r="E67" s="5"/>
      <c r="F67" s="5"/>
      <c r="G67" s="5"/>
      <c r="H67" s="5"/>
      <c r="I67" s="5"/>
      <c r="J67" s="5"/>
      <c r="K67" s="5"/>
    </row>
    <row r="68" spans="2:11">
      <c r="B68" s="1434" t="s">
        <v>89</v>
      </c>
      <c r="C68" s="73"/>
      <c r="D68" s="36"/>
      <c r="E68" s="5"/>
      <c r="F68" s="5"/>
      <c r="G68" s="5"/>
      <c r="H68" s="5"/>
      <c r="I68" s="5"/>
      <c r="J68" s="5"/>
      <c r="K68" s="5"/>
    </row>
    <row r="69" spans="2:11">
      <c r="B69" s="1435"/>
      <c r="C69" s="73"/>
      <c r="D69" s="13"/>
      <c r="E69" s="5"/>
      <c r="F69" s="5"/>
      <c r="G69" s="5"/>
      <c r="H69" s="5"/>
      <c r="I69" s="5"/>
      <c r="J69" s="5"/>
      <c r="K69" s="5"/>
    </row>
    <row r="70" spans="2:11">
      <c r="B70" s="1435"/>
      <c r="C70" s="73"/>
      <c r="D70" s="36" t="s">
        <v>90</v>
      </c>
      <c r="E70" s="5"/>
      <c r="F70" s="5"/>
      <c r="G70" s="5"/>
      <c r="H70" s="5"/>
      <c r="I70" s="5"/>
      <c r="J70" s="5"/>
      <c r="K70" s="5"/>
    </row>
    <row r="71" spans="2:11" ht="38.4">
      <c r="B71" s="1435"/>
      <c r="C71" s="73"/>
      <c r="D71" s="36" t="s">
        <v>188</v>
      </c>
      <c r="E71" s="5"/>
      <c r="F71" s="5"/>
      <c r="G71" s="5"/>
      <c r="H71" s="5"/>
      <c r="I71" s="5"/>
      <c r="J71" s="5"/>
      <c r="K71" s="5"/>
    </row>
    <row r="72" spans="2:11" ht="38.4">
      <c r="B72" s="1435"/>
      <c r="C72" s="73"/>
      <c r="D72" s="36" t="s">
        <v>189</v>
      </c>
      <c r="E72" s="5"/>
      <c r="F72" s="5"/>
      <c r="G72" s="5"/>
      <c r="H72" s="5"/>
      <c r="I72" s="5"/>
      <c r="J72" s="5"/>
      <c r="K72" s="5"/>
    </row>
    <row r="73" spans="2:11" ht="38.4">
      <c r="B73" s="1435"/>
      <c r="C73" s="73"/>
      <c r="D73" s="36" t="s">
        <v>190</v>
      </c>
      <c r="E73" s="5"/>
      <c r="F73" s="5"/>
      <c r="G73" s="5"/>
      <c r="H73" s="5"/>
      <c r="I73" s="5"/>
      <c r="J73" s="5"/>
      <c r="K73" s="5"/>
    </row>
    <row r="74" spans="2:11" ht="48.6" thickBot="1">
      <c r="B74" s="1436"/>
      <c r="C74" s="2"/>
      <c r="D74" s="32" t="s">
        <v>191</v>
      </c>
      <c r="E74" s="5"/>
      <c r="F74" s="5"/>
      <c r="G74" s="5"/>
      <c r="H74" s="5"/>
      <c r="I74" s="5"/>
      <c r="J74" s="5"/>
      <c r="K74" s="5"/>
    </row>
    <row r="75" spans="2:11">
      <c r="B75" s="5"/>
      <c r="D75" s="5"/>
      <c r="E75" s="5"/>
      <c r="F75" s="5"/>
      <c r="G75" s="5"/>
      <c r="H75" s="5"/>
      <c r="I75" s="5"/>
      <c r="J75" s="5"/>
      <c r="K75" s="5"/>
    </row>
  </sheetData>
  <mergeCells count="21">
    <mergeCell ref="B10:D10"/>
    <mergeCell ref="F10:S10"/>
    <mergeCell ref="F11:S11"/>
    <mergeCell ref="E12:R12"/>
    <mergeCell ref="E13:R13"/>
    <mergeCell ref="B56:B63"/>
    <mergeCell ref="B65:B67"/>
    <mergeCell ref="B68:B74"/>
    <mergeCell ref="B15:B23"/>
    <mergeCell ref="D15:J15"/>
    <mergeCell ref="D19:J19"/>
    <mergeCell ref="D24:J24"/>
    <mergeCell ref="D25:J25"/>
    <mergeCell ref="B28:B34"/>
    <mergeCell ref="B37:B43"/>
    <mergeCell ref="B50:E51"/>
    <mergeCell ref="A1:P1"/>
    <mergeCell ref="A2:P2"/>
    <mergeCell ref="A3:P3"/>
    <mergeCell ref="A4:D4"/>
    <mergeCell ref="A5:P5"/>
  </mergeCells>
  <conditionalFormatting sqref="E12:R12">
    <cfRule type="expression" dxfId="111" priority="1">
      <formula>E11="SI SE REPORTA"</formula>
    </cfRule>
  </conditionalFormatting>
  <conditionalFormatting sqref="F10">
    <cfRule type="notContainsBlanks" dxfId="110" priority="4">
      <formula>LEN(TRIM(F10))&gt;0</formula>
    </cfRule>
  </conditionalFormatting>
  <conditionalFormatting sqref="F11:S11">
    <cfRule type="expression" dxfId="109" priority="2">
      <formula>E11="NO SE REPORTA"</formula>
    </cfRule>
    <cfRule type="expression" dxfId="108"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xr:uid="{00000000-0002-0000-0800-000000000000}">
      <formula1>0</formula1>
    </dataValidation>
    <dataValidation allowBlank="1" showInputMessage="1" showErrorMessage="1" sqref="I21:I22" xr:uid="{00000000-0002-0000-0800-000001000000}"/>
    <dataValidation type="list" allowBlank="1" showInputMessage="1" showErrorMessage="1" sqref="E11" xr:uid="{00000000-0002-0000-0800-000002000000}">
      <formula1>REPORTE</formula1>
    </dataValidation>
    <dataValidation type="list" allowBlank="1" showInputMessage="1" showErrorMessage="1" sqref="E10" xr:uid="{00000000-0002-0000-0800-000003000000}">
      <formula1>SI</formula1>
    </dataValidation>
  </dataValidations>
  <hyperlinks>
    <hyperlink ref="B9" location="'ANEXO 3'!A1" display="VOLVER AL INDICE" xr:uid="{00000000-0004-0000-0800-000000000000}"/>
    <hyperlink ref="E32" r:id="rId1" xr:uid="{00000000-0004-0000-0800-000001000000}"/>
  </hyperlinks>
  <pageMargins left="0.25" right="0.25" top="0.75" bottom="0.75" header="0.3" footer="0.3"/>
  <pageSetup paperSize="178" orientation="landscape" horizontalDpi="1200" verticalDpi="12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tabColor rgb="FF92D050"/>
  </sheetPr>
  <dimension ref="A1:U78"/>
  <sheetViews>
    <sheetView showGridLines="0" topLeftCell="A28" zoomScale="78" zoomScaleNormal="78" workbookViewId="0">
      <selection activeCell="I17" sqref="I17"/>
    </sheetView>
  </sheetViews>
  <sheetFormatPr baseColWidth="10" defaultRowHeight="14.4"/>
  <cols>
    <col min="1" max="1" width="1.88671875" customWidth="1"/>
    <col min="2" max="2" width="12.88671875" customWidth="1"/>
    <col min="3" max="3" width="8.5546875" style="66" customWidth="1"/>
    <col min="4" max="4" width="34.88671875" customWidth="1"/>
    <col min="5" max="5" width="17.5546875" customWidth="1"/>
    <col min="10" max="10" width="25.886718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+'[8]Datos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+'[8]Datos Generales'!C6</f>
        <v>2023-II</v>
      </c>
      <c r="F4" s="320"/>
      <c r="G4" s="320"/>
      <c r="H4" s="320"/>
      <c r="I4" s="320"/>
      <c r="J4" s="320"/>
      <c r="K4" s="320"/>
      <c r="L4" s="321"/>
      <c r="M4" s="321"/>
      <c r="N4" s="321"/>
      <c r="O4" s="321"/>
      <c r="P4" s="322"/>
      <c r="Q4"/>
      <c r="R4"/>
    </row>
    <row r="5" spans="1:21" ht="16.5" customHeight="1" thickBot="1">
      <c r="A5" s="1401" t="s">
        <v>199</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4" t="s">
        <v>1178</v>
      </c>
      <c r="C8" s="565">
        <v>2023</v>
      </c>
      <c r="D8" s="170">
        <f>+IF(E10="NO APLICA","NO APLICA",IF(E11="NO SE REPORTA","SIN INFORMACION",+H22))</f>
        <v>0.56896551724137934</v>
      </c>
      <c r="E8" s="167"/>
      <c r="F8" s="5" t="s">
        <v>129</v>
      </c>
      <c r="G8" s="5"/>
      <c r="H8" s="5"/>
      <c r="I8" s="5"/>
      <c r="J8" s="5"/>
      <c r="K8" s="5"/>
    </row>
    <row r="9" spans="1:21">
      <c r="B9" s="298" t="s">
        <v>1179</v>
      </c>
      <c r="C9" s="67"/>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30" customHeight="1">
      <c r="B12" s="298"/>
      <c r="C12" s="67"/>
      <c r="D12" s="144" t="str">
        <f>IF(E11="SI SE REPORTA","¿Qué programas o proyectos del Plan de Acción están asociados al indicador? ","")</f>
        <v xml:space="preserve">¿Qué programas o proyectos del Plan de Acción están asociados al indicador? </v>
      </c>
      <c r="E12" s="1407" t="s">
        <v>1825</v>
      </c>
      <c r="F12" s="1407"/>
      <c r="G12" s="1407"/>
      <c r="H12" s="1407"/>
      <c r="I12" s="1407"/>
      <c r="J12" s="1407"/>
      <c r="K12" s="1407"/>
      <c r="L12" s="1407"/>
      <c r="M12" s="1407"/>
      <c r="N12" s="1407"/>
      <c r="O12" s="1407"/>
      <c r="P12" s="1407"/>
      <c r="Q12" s="1407"/>
      <c r="R12" s="1407"/>
    </row>
    <row r="13" spans="1:21" ht="30.75" customHeight="1">
      <c r="B13" s="298"/>
      <c r="C13" s="67"/>
      <c r="D13" s="144" t="s">
        <v>1236</v>
      </c>
      <c r="E13" s="1408" t="s">
        <v>2664</v>
      </c>
      <c r="F13" s="1409"/>
      <c r="G13" s="1409"/>
      <c r="H13" s="1409"/>
      <c r="I13" s="1409"/>
      <c r="J13" s="1409"/>
      <c r="K13" s="1409"/>
      <c r="L13" s="1409"/>
      <c r="M13" s="1409"/>
      <c r="N13" s="1409"/>
      <c r="O13" s="1409"/>
      <c r="P13" s="1409"/>
      <c r="Q13" s="1409"/>
      <c r="R13" s="1410"/>
    </row>
    <row r="14" spans="1:21" ht="6.9" customHeight="1" thickBot="1">
      <c r="B14" s="298"/>
      <c r="C14" s="67"/>
      <c r="D14" s="5"/>
      <c r="E14" s="5"/>
      <c r="F14" s="5"/>
      <c r="G14" s="5"/>
      <c r="H14" s="5"/>
      <c r="I14" s="5"/>
      <c r="J14" s="5"/>
      <c r="K14" s="5"/>
    </row>
    <row r="15" spans="1:21" ht="15" thickBot="1">
      <c r="B15" s="1434" t="s">
        <v>2</v>
      </c>
      <c r="C15" s="68"/>
      <c r="D15" s="1425" t="s">
        <v>3</v>
      </c>
      <c r="E15" s="1426"/>
      <c r="F15" s="1426"/>
      <c r="G15" s="1426"/>
      <c r="H15" s="1426"/>
      <c r="I15" s="1426"/>
      <c r="J15" s="1427"/>
      <c r="K15" s="5"/>
    </row>
    <row r="16" spans="1:21" ht="36.6" thickBot="1">
      <c r="B16" s="1435"/>
      <c r="C16" s="73"/>
      <c r="D16" s="34" t="s">
        <v>2680</v>
      </c>
      <c r="E16" s="438">
        <v>58</v>
      </c>
      <c r="F16" s="5"/>
      <c r="G16" s="5"/>
      <c r="H16" s="5"/>
      <c r="I16" s="5"/>
      <c r="J16" s="17"/>
      <c r="K16" s="5"/>
    </row>
    <row r="17" spans="2:11" ht="48.6" thickBot="1">
      <c r="B17" s="1435"/>
      <c r="C17" s="73"/>
      <c r="D17" s="32" t="s">
        <v>213</v>
      </c>
      <c r="E17" s="438">
        <v>58</v>
      </c>
      <c r="F17" s="5"/>
      <c r="G17" s="5"/>
      <c r="H17" s="5"/>
      <c r="I17" s="5"/>
      <c r="J17" s="17"/>
      <c r="K17" s="5"/>
    </row>
    <row r="18" spans="2:11" ht="15" thickBot="1">
      <c r="B18" s="1435"/>
      <c r="C18" s="71"/>
      <c r="D18" s="1447"/>
      <c r="E18" s="1448"/>
      <c r="F18" s="1448"/>
      <c r="G18" s="1448"/>
      <c r="H18" s="1448"/>
      <c r="I18" s="1448"/>
      <c r="J18" s="1449"/>
      <c r="K18" s="5"/>
    </row>
    <row r="19" spans="2:11" ht="28.5" customHeight="1" thickBot="1">
      <c r="B19" s="1435"/>
      <c r="C19" s="77" t="s">
        <v>18</v>
      </c>
      <c r="D19" s="439" t="s">
        <v>149</v>
      </c>
      <c r="E19" s="531" t="s">
        <v>19</v>
      </c>
      <c r="F19" s="531" t="s">
        <v>20</v>
      </c>
      <c r="G19" s="531" t="s">
        <v>21</v>
      </c>
      <c r="H19" s="531" t="s">
        <v>22</v>
      </c>
      <c r="I19" s="1527" t="s">
        <v>54</v>
      </c>
      <c r="J19" s="1528"/>
      <c r="K19" s="5"/>
    </row>
    <row r="20" spans="2:11" ht="53.4" customHeight="1" thickBot="1">
      <c r="B20" s="1435"/>
      <c r="C20" s="157" t="s">
        <v>151</v>
      </c>
      <c r="D20" s="483" t="s">
        <v>214</v>
      </c>
      <c r="E20" s="438">
        <v>25</v>
      </c>
      <c r="F20" s="438">
        <v>51</v>
      </c>
      <c r="G20" s="438">
        <v>56</v>
      </c>
      <c r="H20" s="438">
        <v>58</v>
      </c>
      <c r="I20" s="1529"/>
      <c r="J20" s="1530"/>
      <c r="K20" s="5"/>
    </row>
    <row r="21" spans="2:11" ht="61.2" customHeight="1" thickBot="1">
      <c r="B21" s="1435"/>
      <c r="C21" s="157" t="s">
        <v>153</v>
      </c>
      <c r="D21" s="483" t="s">
        <v>215</v>
      </c>
      <c r="E21" s="438">
        <v>25</v>
      </c>
      <c r="F21" s="438">
        <v>51</v>
      </c>
      <c r="G21" s="438">
        <v>49</v>
      </c>
      <c r="H21" s="438">
        <v>33</v>
      </c>
      <c r="I21" s="1531"/>
      <c r="J21" s="1532"/>
      <c r="K21" s="5"/>
    </row>
    <row r="22" spans="2:11" ht="47.25" customHeight="1" thickBot="1">
      <c r="B22" s="1436"/>
      <c r="C22" s="157" t="s">
        <v>155</v>
      </c>
      <c r="D22" s="483" t="s">
        <v>216</v>
      </c>
      <c r="E22" s="487">
        <f>IFERROR(E21/E20,"N.A.")</f>
        <v>1</v>
      </c>
      <c r="F22" s="487">
        <f>IFERROR(F21/F20,"N.A.")</f>
        <v>1</v>
      </c>
      <c r="G22" s="487">
        <f>IFERROR(G21/G20,"N.A.")</f>
        <v>0.875</v>
      </c>
      <c r="H22" s="487">
        <f>IFERROR(H21/H20,"N.A.")</f>
        <v>0.56896551724137934</v>
      </c>
      <c r="I22" s="1533"/>
      <c r="J22" s="1534"/>
      <c r="K22" s="5"/>
    </row>
    <row r="23" spans="2:11" ht="24" customHeight="1" thickBot="1">
      <c r="B23" s="37" t="s">
        <v>33</v>
      </c>
      <c r="C23" s="72"/>
      <c r="D23" s="1437" t="s">
        <v>217</v>
      </c>
      <c r="E23" s="1438"/>
      <c r="F23" s="1438"/>
      <c r="G23" s="1438"/>
      <c r="H23" s="1438"/>
      <c r="I23" s="1438"/>
      <c r="J23" s="1439"/>
      <c r="K23" s="5"/>
    </row>
    <row r="24" spans="2:11" ht="24.6" thickBot="1">
      <c r="B24" s="37" t="s">
        <v>35</v>
      </c>
      <c r="C24" s="72"/>
      <c r="D24" s="1437" t="s">
        <v>158</v>
      </c>
      <c r="E24" s="1438"/>
      <c r="F24" s="1438"/>
      <c r="G24" s="1438"/>
      <c r="H24" s="1438"/>
      <c r="I24" s="1438"/>
      <c r="J24" s="1439"/>
      <c r="K24" s="5"/>
    </row>
    <row r="25" spans="2:11" ht="15" thickBot="1">
      <c r="B25" s="29"/>
      <c r="C25" s="67"/>
      <c r="D25" s="5"/>
      <c r="E25" s="5"/>
      <c r="F25" s="5"/>
      <c r="G25" s="5"/>
      <c r="H25" s="5"/>
      <c r="I25" s="5"/>
      <c r="J25" s="194"/>
      <c r="K25" s="5"/>
    </row>
    <row r="26" spans="2:11" ht="15" customHeight="1" thickBot="1">
      <c r="B26" s="97" t="s">
        <v>37</v>
      </c>
      <c r="C26" s="101"/>
      <c r="D26" s="101"/>
      <c r="E26" s="101"/>
      <c r="F26" s="101"/>
      <c r="G26" s="101"/>
      <c r="H26" s="101"/>
      <c r="I26" s="101"/>
      <c r="J26" s="102"/>
      <c r="K26" s="5"/>
    </row>
    <row r="27" spans="2:11" ht="15" thickBot="1">
      <c r="B27" s="1434">
        <v>1</v>
      </c>
      <c r="C27" s="68"/>
      <c r="D27" s="195" t="s">
        <v>38</v>
      </c>
      <c r="E27" s="1522" t="s">
        <v>1811</v>
      </c>
      <c r="F27" s="1523"/>
      <c r="I27" s="49"/>
      <c r="J27" s="196"/>
      <c r="K27" s="5"/>
    </row>
    <row r="28" spans="2:11" ht="15" thickBot="1">
      <c r="B28" s="1435"/>
      <c r="C28" s="71"/>
      <c r="D28" s="197" t="s">
        <v>39</v>
      </c>
      <c r="E28" s="1526" t="s">
        <v>1826</v>
      </c>
      <c r="F28" s="1525"/>
      <c r="I28" s="49"/>
      <c r="J28" s="17"/>
      <c r="K28" s="5"/>
    </row>
    <row r="29" spans="2:11" ht="15" thickBot="1">
      <c r="B29" s="1435"/>
      <c r="C29" s="71"/>
      <c r="D29" s="197" t="s">
        <v>40</v>
      </c>
      <c r="E29" s="1522" t="s">
        <v>2015</v>
      </c>
      <c r="F29" s="1523"/>
      <c r="I29" s="49"/>
      <c r="J29" s="17"/>
      <c r="K29" s="5"/>
    </row>
    <row r="30" spans="2:11" ht="18.75" customHeight="1" thickBot="1">
      <c r="B30" s="1435"/>
      <c r="C30" s="71"/>
      <c r="D30" s="197" t="s">
        <v>41</v>
      </c>
      <c r="E30" s="1522" t="s">
        <v>2028</v>
      </c>
      <c r="F30" s="1523"/>
      <c r="I30" s="49"/>
      <c r="J30" s="17"/>
      <c r="K30" s="5"/>
    </row>
    <row r="31" spans="2:11" ht="36" customHeight="1" thickBot="1">
      <c r="B31" s="1435"/>
      <c r="C31" s="71"/>
      <c r="D31" s="197" t="s">
        <v>42</v>
      </c>
      <c r="E31" s="1524" t="s">
        <v>2016</v>
      </c>
      <c r="F31" s="1525"/>
      <c r="I31" s="49"/>
      <c r="J31" s="17"/>
      <c r="K31" s="5"/>
    </row>
    <row r="32" spans="2:11" ht="15" thickBot="1">
      <c r="B32" s="1435"/>
      <c r="C32" s="71"/>
      <c r="D32" s="197" t="s">
        <v>43</v>
      </c>
      <c r="E32" s="1522" t="s">
        <v>1822</v>
      </c>
      <c r="F32" s="1523"/>
      <c r="I32" s="49"/>
      <c r="J32" s="17"/>
      <c r="K32" s="5"/>
    </row>
    <row r="33" spans="2:11" ht="15" thickBot="1">
      <c r="B33" s="1436"/>
      <c r="C33" s="72"/>
      <c r="D33" s="197" t="s">
        <v>44</v>
      </c>
      <c r="E33" s="1522" t="s">
        <v>1814</v>
      </c>
      <c r="F33" s="1523"/>
      <c r="I33" s="198"/>
      <c r="J33" s="19"/>
      <c r="K33" s="5"/>
    </row>
    <row r="34" spans="2:11" ht="15" customHeight="1" thickBot="1">
      <c r="B34" s="97" t="s">
        <v>45</v>
      </c>
      <c r="C34" s="98"/>
      <c r="D34" s="98"/>
      <c r="E34" s="98"/>
      <c r="F34" s="98"/>
      <c r="G34" s="98"/>
      <c r="H34" s="98"/>
      <c r="I34" s="101"/>
      <c r="J34" s="102"/>
      <c r="K34" s="5"/>
    </row>
    <row r="35" spans="2:11" ht="14.4" customHeight="1" thickBot="1">
      <c r="B35" s="1434">
        <v>1</v>
      </c>
      <c r="C35" s="68"/>
      <c r="D35" s="199" t="s">
        <v>38</v>
      </c>
      <c r="E35" s="176" t="s">
        <v>46</v>
      </c>
      <c r="F35" s="177"/>
      <c r="I35" s="49"/>
      <c r="J35" s="196"/>
      <c r="K35" s="5"/>
    </row>
    <row r="36" spans="2:11" ht="15" thickBot="1">
      <c r="B36" s="1435"/>
      <c r="C36" s="71"/>
      <c r="D36" s="104" t="s">
        <v>39</v>
      </c>
      <c r="E36" s="176" t="s">
        <v>159</v>
      </c>
      <c r="F36" s="176"/>
      <c r="I36" s="49"/>
      <c r="J36" s="17"/>
      <c r="K36" s="5"/>
    </row>
    <row r="37" spans="2:11" ht="15" thickBot="1">
      <c r="B37" s="1435"/>
      <c r="C37" s="71"/>
      <c r="D37" s="104" t="s">
        <v>40</v>
      </c>
      <c r="E37" s="1520"/>
      <c r="F37" s="1521"/>
      <c r="I37" s="49"/>
      <c r="J37" s="17"/>
      <c r="K37" s="5"/>
    </row>
    <row r="38" spans="2:11" ht="15" thickBot="1">
      <c r="B38" s="1435"/>
      <c r="C38" s="71"/>
      <c r="D38" s="104" t="s">
        <v>41</v>
      </c>
      <c r="E38" s="1520"/>
      <c r="F38" s="1521"/>
      <c r="I38" s="49"/>
      <c r="J38" s="17"/>
      <c r="K38" s="5"/>
    </row>
    <row r="39" spans="2:11" ht="15" thickBot="1">
      <c r="B39" s="1435"/>
      <c r="C39" s="71"/>
      <c r="D39" s="104" t="s">
        <v>42</v>
      </c>
      <c r="E39" s="1520"/>
      <c r="F39" s="1521"/>
      <c r="I39" s="49"/>
      <c r="J39" s="17"/>
      <c r="K39" s="5"/>
    </row>
    <row r="40" spans="2:11" ht="15" thickBot="1">
      <c r="B40" s="1435"/>
      <c r="C40" s="71"/>
      <c r="D40" s="104" t="s">
        <v>43</v>
      </c>
      <c r="E40" s="1520"/>
      <c r="F40" s="1521"/>
      <c r="I40" s="49"/>
      <c r="J40" s="17"/>
      <c r="K40" s="5"/>
    </row>
    <row r="41" spans="2:11" ht="15" thickBot="1">
      <c r="B41" s="1436"/>
      <c r="C41" s="72"/>
      <c r="D41" s="104" t="s">
        <v>44</v>
      </c>
      <c r="E41" s="1520"/>
      <c r="F41" s="1521"/>
      <c r="I41" s="198"/>
      <c r="J41" s="19"/>
      <c r="K41" s="5"/>
    </row>
    <row r="42" spans="2:11" ht="15" thickBot="1">
      <c r="B42" s="200"/>
      <c r="C42" s="201"/>
      <c r="D42" s="202"/>
      <c r="E42" s="202"/>
      <c r="F42" s="202"/>
      <c r="G42" s="101"/>
      <c r="H42" s="101"/>
      <c r="I42" s="101"/>
      <c r="J42" s="102"/>
      <c r="K42" s="5"/>
    </row>
    <row r="43" spans="2:11" ht="15" thickBot="1">
      <c r="B43" s="1444" t="s">
        <v>48</v>
      </c>
      <c r="C43" s="1445"/>
      <c r="D43" s="1445"/>
      <c r="E43" s="1445"/>
      <c r="F43" s="1445"/>
      <c r="G43" s="1445"/>
      <c r="H43" s="1445"/>
      <c r="I43" s="1446"/>
      <c r="J43" s="102"/>
      <c r="K43" s="5"/>
    </row>
    <row r="44" spans="2:11" ht="24" customHeight="1" thickBot="1">
      <c r="B44" s="1437" t="s">
        <v>49</v>
      </c>
      <c r="C44" s="1438"/>
      <c r="D44" s="1439"/>
      <c r="E44" s="32" t="s">
        <v>50</v>
      </c>
      <c r="F44" s="1437" t="s">
        <v>51</v>
      </c>
      <c r="G44" s="1439"/>
      <c r="H44" s="1437" t="s">
        <v>52</v>
      </c>
      <c r="I44" s="1439"/>
      <c r="J44" s="92"/>
      <c r="K44" s="5"/>
    </row>
    <row r="45" spans="2:11" ht="108" customHeight="1" thickBot="1">
      <c r="B45" s="1515">
        <v>42401</v>
      </c>
      <c r="C45" s="1516"/>
      <c r="D45" s="1517"/>
      <c r="E45" s="32">
        <v>0.01</v>
      </c>
      <c r="F45" s="1518" t="s">
        <v>218</v>
      </c>
      <c r="G45" s="1519"/>
      <c r="H45" s="1437"/>
      <c r="I45" s="1439"/>
      <c r="J45" s="94"/>
      <c r="K45" s="5"/>
    </row>
    <row r="46" spans="2:11">
      <c r="B46" s="203"/>
      <c r="C46" s="204"/>
      <c r="D46" s="203"/>
      <c r="E46" s="203"/>
      <c r="F46" s="203"/>
      <c r="G46" s="203"/>
      <c r="H46" s="203"/>
      <c r="I46" s="203"/>
      <c r="J46" s="5"/>
      <c r="K46" s="5"/>
    </row>
    <row r="47" spans="2:11" ht="15" thickBot="1">
      <c r="B47" s="1"/>
      <c r="C47" s="64"/>
      <c r="D47" s="5"/>
      <c r="E47" s="5"/>
      <c r="F47" s="5"/>
      <c r="G47" s="5"/>
      <c r="H47" s="5"/>
      <c r="I47" s="5"/>
      <c r="J47" s="5"/>
      <c r="K47" s="5"/>
    </row>
    <row r="48" spans="2:11" ht="15" thickBot="1">
      <c r="B48" s="4" t="s">
        <v>54</v>
      </c>
      <c r="C48" s="75"/>
      <c r="D48" s="5"/>
      <c r="E48" s="5"/>
      <c r="F48" s="5"/>
      <c r="G48" s="5"/>
      <c r="H48" s="5"/>
      <c r="I48" s="5"/>
      <c r="J48" s="5"/>
      <c r="K48" s="5"/>
    </row>
    <row r="49" spans="2:11">
      <c r="B49" s="1513"/>
      <c r="C49" s="1514"/>
      <c r="D49" s="1514"/>
      <c r="E49" s="1514"/>
      <c r="F49" s="1514"/>
      <c r="G49" s="1514"/>
      <c r="H49" s="1514"/>
      <c r="I49" s="1514"/>
      <c r="J49" s="1514"/>
      <c r="K49" s="5"/>
    </row>
    <row r="50" spans="2:11">
      <c r="B50" s="1513"/>
      <c r="C50" s="1514"/>
      <c r="D50" s="1514"/>
      <c r="E50" s="1514"/>
      <c r="F50" s="1514"/>
      <c r="G50" s="1514"/>
      <c r="H50" s="1514"/>
      <c r="I50" s="1514"/>
      <c r="J50" s="1514"/>
      <c r="K50" s="5"/>
    </row>
    <row r="51" spans="2:11">
      <c r="B51" s="1"/>
      <c r="C51" s="64"/>
      <c r="D51" s="5"/>
      <c r="E51" s="5"/>
      <c r="F51" s="5"/>
      <c r="G51" s="5"/>
      <c r="H51" s="5"/>
      <c r="I51" s="5"/>
      <c r="J51" s="5"/>
      <c r="K51" s="5"/>
    </row>
    <row r="52" spans="2:11" ht="15" thickBot="1">
      <c r="B52" s="5"/>
      <c r="D52" s="5"/>
      <c r="E52" s="5"/>
      <c r="F52" s="5"/>
      <c r="G52" s="5"/>
      <c r="H52" s="5"/>
      <c r="I52" s="5"/>
      <c r="J52" s="5"/>
      <c r="K52" s="5"/>
    </row>
    <row r="53" spans="2:11" ht="24.6" thickBot="1">
      <c r="B53" s="41" t="s">
        <v>55</v>
      </c>
      <c r="C53" s="76"/>
      <c r="D53" s="5"/>
      <c r="E53" s="5"/>
      <c r="F53" s="5"/>
      <c r="G53" s="5"/>
      <c r="H53" s="5"/>
      <c r="I53" s="5"/>
      <c r="J53" s="5"/>
      <c r="K53" s="5"/>
    </row>
    <row r="54" spans="2:11" ht="15" thickBot="1">
      <c r="B54" s="1"/>
      <c r="C54" s="64"/>
      <c r="D54" s="5"/>
      <c r="E54" s="5"/>
      <c r="F54" s="5"/>
      <c r="G54" s="5"/>
      <c r="H54" s="5"/>
      <c r="I54" s="5"/>
      <c r="J54" s="5"/>
      <c r="K54" s="5"/>
    </row>
    <row r="55" spans="2:11" ht="60.6" thickBot="1">
      <c r="B55" s="42" t="s">
        <v>56</v>
      </c>
      <c r="C55" s="77"/>
      <c r="D55" s="34" t="s">
        <v>200</v>
      </c>
      <c r="E55" s="5"/>
      <c r="F55" s="5"/>
      <c r="G55" s="5"/>
      <c r="H55" s="5"/>
      <c r="I55" s="5"/>
      <c r="J55" s="5"/>
      <c r="K55" s="5"/>
    </row>
    <row r="56" spans="2:11">
      <c r="B56" s="1434" t="s">
        <v>58</v>
      </c>
      <c r="C56" s="73"/>
      <c r="D56" s="43" t="s">
        <v>59</v>
      </c>
      <c r="E56" s="5"/>
      <c r="F56" s="5"/>
      <c r="G56" s="5"/>
      <c r="H56" s="5"/>
      <c r="I56" s="5"/>
      <c r="J56" s="5"/>
      <c r="K56" s="5"/>
    </row>
    <row r="57" spans="2:11" ht="60">
      <c r="B57" s="1435"/>
      <c r="C57" s="73"/>
      <c r="D57" s="36" t="s">
        <v>201</v>
      </c>
      <c r="E57" s="5"/>
      <c r="F57" s="5"/>
      <c r="G57" s="5"/>
      <c r="H57" s="5"/>
      <c r="I57" s="5"/>
      <c r="J57" s="5"/>
      <c r="K57" s="5"/>
    </row>
    <row r="58" spans="2:11">
      <c r="B58" s="1435"/>
      <c r="C58" s="73"/>
      <c r="D58" s="43" t="s">
        <v>133</v>
      </c>
      <c r="E58" s="5"/>
      <c r="F58" s="5"/>
      <c r="G58" s="5"/>
      <c r="H58" s="5"/>
      <c r="I58" s="5"/>
      <c r="J58" s="5"/>
      <c r="K58" s="5"/>
    </row>
    <row r="59" spans="2:11">
      <c r="B59" s="1435"/>
      <c r="C59" s="73"/>
      <c r="D59" s="36" t="s">
        <v>63</v>
      </c>
      <c r="E59" s="5"/>
      <c r="F59" s="5"/>
      <c r="G59" s="5"/>
      <c r="H59" s="5"/>
      <c r="I59" s="5"/>
      <c r="J59" s="5"/>
      <c r="K59" s="5"/>
    </row>
    <row r="60" spans="2:11">
      <c r="B60" s="1435"/>
      <c r="C60" s="73"/>
      <c r="D60" s="36" t="s">
        <v>164</v>
      </c>
      <c r="E60" s="5"/>
      <c r="F60" s="5"/>
      <c r="G60" s="5"/>
      <c r="H60" s="5"/>
      <c r="I60" s="5"/>
      <c r="J60" s="5"/>
      <c r="K60" s="5"/>
    </row>
    <row r="61" spans="2:11">
      <c r="B61" s="1435"/>
      <c r="C61" s="73"/>
      <c r="D61" s="36" t="s">
        <v>202</v>
      </c>
      <c r="E61" s="5"/>
      <c r="F61" s="5"/>
      <c r="G61" s="5"/>
      <c r="H61" s="5"/>
      <c r="I61" s="5"/>
      <c r="J61" s="5"/>
      <c r="K61" s="5"/>
    </row>
    <row r="62" spans="2:11">
      <c r="B62" s="1435"/>
      <c r="C62" s="73"/>
      <c r="D62" s="36" t="s">
        <v>203</v>
      </c>
      <c r="E62" s="5"/>
      <c r="F62" s="5"/>
      <c r="G62" s="5"/>
      <c r="H62" s="5"/>
      <c r="I62" s="5"/>
      <c r="J62" s="5"/>
      <c r="K62" s="5"/>
    </row>
    <row r="63" spans="2:11" ht="24">
      <c r="B63" s="1435"/>
      <c r="C63" s="73"/>
      <c r="D63" s="36" t="s">
        <v>204</v>
      </c>
      <c r="E63" s="5"/>
      <c r="F63" s="5"/>
      <c r="G63" s="5"/>
      <c r="H63" s="5"/>
      <c r="I63" s="5"/>
      <c r="J63" s="5"/>
      <c r="K63" s="5"/>
    </row>
    <row r="64" spans="2:11">
      <c r="B64" s="1435"/>
      <c r="C64" s="73"/>
      <c r="D64" s="43" t="s">
        <v>140</v>
      </c>
      <c r="E64" s="5"/>
      <c r="F64" s="5"/>
      <c r="G64" s="5"/>
      <c r="H64" s="5"/>
      <c r="I64" s="5"/>
      <c r="J64" s="5"/>
      <c r="K64" s="5"/>
    </row>
    <row r="65" spans="2:11" ht="15" thickBot="1">
      <c r="B65" s="1436"/>
      <c r="C65" s="2"/>
      <c r="D65" s="58"/>
      <c r="E65" s="5"/>
      <c r="F65" s="5"/>
      <c r="G65" s="5"/>
      <c r="H65" s="5"/>
      <c r="I65" s="5"/>
      <c r="J65" s="5"/>
      <c r="K65" s="5"/>
    </row>
    <row r="66" spans="2:11" ht="24.6" thickBot="1">
      <c r="B66" s="37" t="s">
        <v>71</v>
      </c>
      <c r="C66" s="2"/>
      <c r="D66" s="32"/>
      <c r="E66" s="5"/>
      <c r="F66" s="5"/>
      <c r="G66" s="5"/>
      <c r="H66" s="5"/>
      <c r="I66" s="5"/>
      <c r="J66" s="5"/>
      <c r="K66" s="5"/>
    </row>
    <row r="67" spans="2:11" ht="132">
      <c r="B67" s="1434" t="s">
        <v>72</v>
      </c>
      <c r="C67" s="73"/>
      <c r="D67" s="36" t="s">
        <v>205</v>
      </c>
      <c r="E67" s="5"/>
      <c r="F67" s="5"/>
      <c r="G67" s="5"/>
      <c r="H67" s="5"/>
      <c r="I67" s="5"/>
      <c r="J67" s="5"/>
      <c r="K67" s="5"/>
    </row>
    <row r="68" spans="2:11" ht="108">
      <c r="B68" s="1435"/>
      <c r="C68" s="73"/>
      <c r="D68" s="36" t="s">
        <v>206</v>
      </c>
      <c r="E68" s="5"/>
      <c r="F68" s="5"/>
      <c r="G68" s="5"/>
      <c r="H68" s="5"/>
      <c r="I68" s="5"/>
      <c r="J68" s="5"/>
      <c r="K68" s="5"/>
    </row>
    <row r="69" spans="2:11" ht="192">
      <c r="B69" s="1435"/>
      <c r="C69" s="73"/>
      <c r="D69" s="36" t="s">
        <v>207</v>
      </c>
      <c r="E69" s="5"/>
      <c r="F69" s="5"/>
      <c r="G69" s="5"/>
      <c r="H69" s="5"/>
      <c r="I69" s="5"/>
      <c r="J69" s="5"/>
      <c r="K69" s="5"/>
    </row>
    <row r="70" spans="2:11" ht="60">
      <c r="B70" s="1435"/>
      <c r="C70" s="73"/>
      <c r="D70" s="36" t="s">
        <v>208</v>
      </c>
      <c r="E70" s="5"/>
      <c r="F70" s="5"/>
      <c r="G70" s="5"/>
      <c r="H70" s="5"/>
      <c r="I70" s="5"/>
      <c r="J70" s="5"/>
      <c r="K70" s="5"/>
    </row>
    <row r="71" spans="2:11" ht="15" thickBot="1">
      <c r="B71" s="1436"/>
      <c r="C71" s="2"/>
      <c r="D71" s="32"/>
      <c r="E71" s="5"/>
      <c r="F71" s="5"/>
      <c r="G71" s="5"/>
      <c r="H71" s="5"/>
      <c r="I71" s="5"/>
      <c r="J71" s="5"/>
      <c r="K71" s="5"/>
    </row>
    <row r="72" spans="2:11">
      <c r="B72" s="1434" t="s">
        <v>89</v>
      </c>
      <c r="C72" s="73"/>
      <c r="D72" s="36"/>
      <c r="E72" s="5"/>
      <c r="F72" s="5"/>
      <c r="G72" s="5"/>
      <c r="H72" s="5"/>
      <c r="I72" s="5"/>
      <c r="J72" s="5"/>
      <c r="K72" s="5"/>
    </row>
    <row r="73" spans="2:11">
      <c r="B73" s="1435"/>
      <c r="C73" s="73"/>
      <c r="D73" s="13"/>
      <c r="E73" s="5"/>
      <c r="F73" s="5"/>
      <c r="G73" s="5"/>
      <c r="H73" s="5"/>
      <c r="I73" s="5"/>
      <c r="J73" s="5"/>
      <c r="K73" s="5"/>
    </row>
    <row r="74" spans="2:11">
      <c r="B74" s="1435"/>
      <c r="C74" s="73"/>
      <c r="D74" s="36" t="s">
        <v>90</v>
      </c>
      <c r="E74" s="5"/>
      <c r="F74" s="5"/>
      <c r="G74" s="5"/>
      <c r="H74" s="5"/>
      <c r="I74" s="5"/>
      <c r="J74" s="5"/>
      <c r="K74" s="5"/>
    </row>
    <row r="75" spans="2:11" ht="38.4">
      <c r="B75" s="1435"/>
      <c r="C75" s="73"/>
      <c r="D75" s="36" t="s">
        <v>209</v>
      </c>
      <c r="E75" s="5"/>
      <c r="F75" s="5"/>
      <c r="G75" s="5"/>
      <c r="H75" s="5"/>
      <c r="I75" s="5"/>
      <c r="J75" s="5"/>
      <c r="K75" s="5"/>
    </row>
    <row r="76" spans="2:11" ht="38.4">
      <c r="B76" s="1435"/>
      <c r="C76" s="73"/>
      <c r="D76" s="36" t="s">
        <v>210</v>
      </c>
      <c r="E76" s="5"/>
      <c r="F76" s="5"/>
      <c r="G76" s="5"/>
      <c r="H76" s="5"/>
      <c r="I76" s="5"/>
      <c r="J76" s="5"/>
      <c r="K76" s="5"/>
    </row>
    <row r="77" spans="2:11" ht="38.4">
      <c r="B77" s="1435"/>
      <c r="C77" s="73"/>
      <c r="D77" s="36" t="s">
        <v>211</v>
      </c>
      <c r="E77" s="5"/>
      <c r="F77" s="5"/>
      <c r="G77" s="5"/>
      <c r="H77" s="5"/>
      <c r="I77" s="5"/>
      <c r="J77" s="5"/>
      <c r="K77" s="5"/>
    </row>
    <row r="78" spans="2:11" ht="48.6" thickBot="1">
      <c r="B78" s="1436"/>
      <c r="C78" s="2"/>
      <c r="D78" s="32" t="s">
        <v>212</v>
      </c>
      <c r="E78" s="5"/>
      <c r="F78" s="5"/>
      <c r="G78" s="5"/>
      <c r="H78" s="5"/>
      <c r="I78" s="5"/>
      <c r="J78" s="5"/>
      <c r="K78" s="5"/>
    </row>
  </sheetData>
  <sheetProtection insertColumns="0" insertRows="0"/>
  <mergeCells count="44">
    <mergeCell ref="I19:J19"/>
    <mergeCell ref="I20:J20"/>
    <mergeCell ref="I21:J21"/>
    <mergeCell ref="I22:J22"/>
    <mergeCell ref="B10:D10"/>
    <mergeCell ref="F10:S10"/>
    <mergeCell ref="F11:S11"/>
    <mergeCell ref="E12:R12"/>
    <mergeCell ref="E13:R13"/>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E40:F40"/>
    <mergeCell ref="E33:F33"/>
    <mergeCell ref="B35:B41"/>
    <mergeCell ref="E37:F37"/>
    <mergeCell ref="B27:B33"/>
    <mergeCell ref="B49:J50"/>
    <mergeCell ref="B45:D45"/>
    <mergeCell ref="F45:G45"/>
    <mergeCell ref="H45:I45"/>
    <mergeCell ref="E41:F41"/>
    <mergeCell ref="B43:I43"/>
    <mergeCell ref="B44:D44"/>
    <mergeCell ref="F44:G44"/>
    <mergeCell ref="H44:I44"/>
    <mergeCell ref="A1:P1"/>
    <mergeCell ref="A2:P2"/>
    <mergeCell ref="A3:P3"/>
    <mergeCell ref="A4:D4"/>
    <mergeCell ref="A5:P5"/>
  </mergeCells>
  <conditionalFormatting sqref="E12:R12">
    <cfRule type="expression" dxfId="107" priority="1">
      <formula>E11="SI SE REPORTA"</formula>
    </cfRule>
  </conditionalFormatting>
  <conditionalFormatting sqref="F10">
    <cfRule type="notContainsBlanks" dxfId="106" priority="4">
      <formula>LEN(TRIM(F10))&gt;0</formula>
    </cfRule>
  </conditionalFormatting>
  <conditionalFormatting sqref="F11:S11">
    <cfRule type="expression" dxfId="105" priority="2">
      <formula>E11="NO SE REPORTA"</formula>
    </cfRule>
    <cfRule type="expression" dxfId="104"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xr:uid="{5157CF8D-8DA3-4612-B311-26D97B32ADA9}">
      <formula1>0</formula1>
    </dataValidation>
    <dataValidation type="list" allowBlank="1" showInputMessage="1" showErrorMessage="1" sqref="E11" xr:uid="{29A06B47-2C20-455B-9EFA-C0050F862D7C}">
      <formula1>REPORTE</formula1>
    </dataValidation>
    <dataValidation type="list" allowBlank="1" showInputMessage="1" showErrorMessage="1" sqref="E10" xr:uid="{3250C70D-22A1-437F-9BC8-8121780A47B7}">
      <formula1>SI</formula1>
    </dataValidation>
  </dataValidations>
  <hyperlinks>
    <hyperlink ref="B9" location="'ANEXO 3'!A1" display="VOLVER AL INDICE" xr:uid="{7735D72D-322A-4B0E-BC73-30F92CA87919}"/>
    <hyperlink ref="E31" r:id="rId1" display="jrestrepo@crautonoma.gov.co" xr:uid="{1EE92C5E-E23D-4D44-AB56-8293382B89BD}"/>
  </hyperlinks>
  <pageMargins left="0.25" right="0.25" top="0.75" bottom="0.75" header="0.3" footer="0.3"/>
  <pageSetup paperSize="178"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6">
    <tabColor rgb="FF92D050"/>
  </sheetPr>
  <dimension ref="A1:U110"/>
  <sheetViews>
    <sheetView showGridLines="0" topLeftCell="C8" zoomScale="80" zoomScaleNormal="80" workbookViewId="0">
      <selection activeCell="I22" sqref="I22"/>
    </sheetView>
  </sheetViews>
  <sheetFormatPr baseColWidth="10" defaultRowHeight="14.4"/>
  <cols>
    <col min="1" max="1" width="1.88671875" customWidth="1"/>
    <col min="2" max="2" width="12.88671875" customWidth="1"/>
    <col min="3" max="3" width="7.5546875" style="66" customWidth="1"/>
    <col min="4" max="4" width="40.5546875" customWidth="1"/>
    <col min="5" max="5" width="24.6640625" customWidth="1"/>
    <col min="6" max="6" width="18.44140625" customWidth="1"/>
    <col min="7" max="7" width="15" customWidth="1"/>
    <col min="8" max="8" width="15.44140625" customWidth="1"/>
    <col min="9" max="9" width="17.5546875" customWidth="1"/>
    <col min="10" max="10" width="90"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219</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4" t="s">
        <v>1178</v>
      </c>
      <c r="C8" s="564">
        <v>2023</v>
      </c>
      <c r="D8" s="170">
        <f>IF(E10="NO APLICA","NO APLICA",IF(E11="NO SE REPORTA","SIN INFORMACION",))+H27</f>
        <v>1</v>
      </c>
      <c r="E8" s="167"/>
      <c r="F8" s="5" t="s">
        <v>129</v>
      </c>
      <c r="G8" s="5"/>
      <c r="H8" s="5"/>
      <c r="I8" s="5"/>
      <c r="J8" s="5"/>
      <c r="K8" s="5"/>
    </row>
    <row r="9" spans="1:21">
      <c r="B9" s="298" t="s">
        <v>1179</v>
      </c>
      <c r="C9" s="67"/>
      <c r="D9" s="5"/>
      <c r="E9" s="5"/>
      <c r="F9" s="5"/>
      <c r="G9" s="5"/>
      <c r="H9" s="5"/>
      <c r="I9" s="5"/>
      <c r="J9" s="5"/>
      <c r="K9" s="5"/>
    </row>
    <row r="10" spans="1:21" ht="18.75" customHeight="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8.75"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35.25" customHeight="1">
      <c r="B12" s="298"/>
      <c r="C12" s="67"/>
      <c r="D12" s="144" t="str">
        <f>IF(E11="SI SE REPORTA","¿Qué programas o proyectos del Plan de Acción están asociados al indicador? ","")</f>
        <v xml:space="preserve">¿Qué programas o proyectos del Plan de Acción están asociados al indicador? </v>
      </c>
      <c r="E12" s="1535" t="s">
        <v>1828</v>
      </c>
      <c r="F12" s="1535"/>
      <c r="G12" s="1535"/>
      <c r="H12" s="1535"/>
      <c r="I12" s="1535"/>
      <c r="J12" s="1535"/>
      <c r="K12" s="1535"/>
      <c r="L12" s="1535"/>
      <c r="M12" s="1535"/>
      <c r="N12" s="1535"/>
      <c r="O12" s="1535"/>
      <c r="P12" s="1535"/>
      <c r="Q12" s="1535"/>
      <c r="R12" s="1535"/>
    </row>
    <row r="13" spans="1:21" ht="21.9" customHeight="1">
      <c r="B13" s="298"/>
      <c r="C13" s="67"/>
      <c r="D13" s="144" t="s">
        <v>1236</v>
      </c>
      <c r="E13" s="1408" t="s">
        <v>1939</v>
      </c>
      <c r="F13" s="1409"/>
      <c r="G13" s="1409"/>
      <c r="H13" s="1409"/>
      <c r="I13" s="1409"/>
      <c r="J13" s="1409"/>
      <c r="K13" s="1409"/>
      <c r="L13" s="1409"/>
      <c r="M13" s="1409"/>
      <c r="N13" s="1409"/>
      <c r="O13" s="1409"/>
      <c r="P13" s="1409"/>
      <c r="Q13" s="1409"/>
      <c r="R13" s="1410"/>
    </row>
    <row r="14" spans="1:21" ht="6.9" customHeight="1" thickBot="1">
      <c r="B14" s="298"/>
      <c r="C14" s="67"/>
      <c r="D14" s="5"/>
      <c r="E14" s="5"/>
      <c r="F14" s="5"/>
      <c r="G14" s="5"/>
      <c r="H14" s="5"/>
      <c r="I14" s="5"/>
      <c r="J14" s="5"/>
      <c r="K14" s="5"/>
    </row>
    <row r="15" spans="1:21" ht="15" customHeight="1" thickTop="1">
      <c r="B15" s="1536" t="s">
        <v>2</v>
      </c>
      <c r="C15" s="68"/>
      <c r="D15" s="1425" t="s">
        <v>3</v>
      </c>
      <c r="E15" s="1426"/>
      <c r="F15" s="1426"/>
      <c r="G15" s="1426"/>
      <c r="H15" s="1426"/>
      <c r="I15" s="1426"/>
      <c r="J15" s="1426"/>
      <c r="K15" s="1427"/>
    </row>
    <row r="16" spans="1:21" ht="15" thickBot="1">
      <c r="B16" s="1459"/>
      <c r="C16" s="71"/>
      <c r="D16" s="1428" t="s">
        <v>251</v>
      </c>
      <c r="E16" s="1429"/>
      <c r="F16" s="1429"/>
      <c r="G16" s="1429"/>
      <c r="H16" s="1429"/>
      <c r="I16" s="1429"/>
      <c r="J16" s="1429"/>
      <c r="K16" s="1430"/>
    </row>
    <row r="17" spans="2:11" ht="20.25" customHeight="1" thickBot="1">
      <c r="B17" s="1459"/>
      <c r="C17" s="77" t="s">
        <v>18</v>
      </c>
      <c r="D17" s="30" t="s">
        <v>252</v>
      </c>
      <c r="E17" s="69" t="s">
        <v>19</v>
      </c>
      <c r="F17" s="69" t="s">
        <v>20</v>
      </c>
      <c r="G17" s="69" t="s">
        <v>21</v>
      </c>
      <c r="H17" s="69" t="s">
        <v>22</v>
      </c>
      <c r="I17" s="177"/>
      <c r="K17" s="17"/>
    </row>
    <row r="18" spans="2:11" ht="30" customHeight="1" thickBot="1">
      <c r="B18" s="1459"/>
      <c r="C18" s="2" t="s">
        <v>151</v>
      </c>
      <c r="D18" s="31" t="s">
        <v>254</v>
      </c>
      <c r="E18" s="162">
        <v>0</v>
      </c>
      <c r="F18" s="162">
        <v>1</v>
      </c>
      <c r="G18" s="162">
        <v>1</v>
      </c>
      <c r="H18" s="162">
        <v>1</v>
      </c>
      <c r="I18" s="209"/>
      <c r="J18" s="681" t="s">
        <v>1933</v>
      </c>
      <c r="K18" s="17"/>
    </row>
    <row r="19" spans="2:11" ht="15" thickBot="1">
      <c r="B19" s="1459"/>
      <c r="C19" s="2" t="s">
        <v>153</v>
      </c>
      <c r="D19" s="31" t="s">
        <v>255</v>
      </c>
      <c r="E19" s="162">
        <v>1</v>
      </c>
      <c r="F19" s="162">
        <v>1</v>
      </c>
      <c r="G19" s="162">
        <v>1</v>
      </c>
      <c r="H19" s="162">
        <v>1</v>
      </c>
      <c r="I19" s="209"/>
      <c r="J19" s="1289"/>
      <c r="K19" s="17"/>
    </row>
    <row r="20" spans="2:11" ht="15" thickBot="1">
      <c r="B20" s="1459"/>
      <c r="C20" s="2" t="s">
        <v>155</v>
      </c>
      <c r="D20" s="31" t="s">
        <v>256</v>
      </c>
      <c r="E20" s="162">
        <v>0</v>
      </c>
      <c r="F20" s="162">
        <v>0</v>
      </c>
      <c r="G20" s="162"/>
      <c r="H20" s="162"/>
      <c r="I20" s="209"/>
      <c r="J20" s="506"/>
      <c r="K20" s="17"/>
    </row>
    <row r="21" spans="2:11" ht="15" thickBot="1">
      <c r="B21" s="1459"/>
      <c r="C21" s="2" t="s">
        <v>257</v>
      </c>
      <c r="D21" s="31" t="s">
        <v>258</v>
      </c>
      <c r="E21" s="162">
        <v>0</v>
      </c>
      <c r="F21" s="162">
        <v>0</v>
      </c>
      <c r="G21" s="162"/>
      <c r="H21" s="162"/>
      <c r="I21" s="209"/>
      <c r="K21" s="17"/>
    </row>
    <row r="22" spans="2:11" ht="15" thickBot="1">
      <c r="B22" s="1459"/>
      <c r="C22" s="2" t="s">
        <v>259</v>
      </c>
      <c r="D22" s="31" t="s">
        <v>260</v>
      </c>
      <c r="E22" s="162">
        <v>0</v>
      </c>
      <c r="F22" s="162">
        <v>0</v>
      </c>
      <c r="G22" s="162"/>
      <c r="H22" s="162"/>
      <c r="I22" s="209"/>
      <c r="K22" s="17"/>
    </row>
    <row r="23" spans="2:11" ht="15" thickBot="1">
      <c r="B23" s="1459"/>
      <c r="C23" s="2" t="s">
        <v>261</v>
      </c>
      <c r="D23" s="31" t="s">
        <v>262</v>
      </c>
      <c r="E23" s="162">
        <v>0</v>
      </c>
      <c r="F23" s="162">
        <v>0</v>
      </c>
      <c r="G23" s="162"/>
      <c r="H23" s="162"/>
      <c r="I23" s="209"/>
      <c r="K23" s="17"/>
    </row>
    <row r="24" spans="2:11" ht="15" thickBot="1">
      <c r="B24" s="1459"/>
      <c r="C24" s="2" t="s">
        <v>263</v>
      </c>
      <c r="D24" s="31" t="s">
        <v>264</v>
      </c>
      <c r="E24" s="148" t="str">
        <f>IFERROR(E19/E18,"N.A.")</f>
        <v>N.A.</v>
      </c>
      <c r="F24" s="148">
        <f>IFERROR(F19/F18,"N.A.")</f>
        <v>1</v>
      </c>
      <c r="G24" s="148">
        <f>IFERROR(G19/G18,"N.A.")</f>
        <v>1</v>
      </c>
      <c r="H24" s="148">
        <f>IFERROR(H19/H18,"N.A.")</f>
        <v>1</v>
      </c>
      <c r="I24" s="191"/>
      <c r="K24" s="17"/>
    </row>
    <row r="25" spans="2:11" ht="15" thickBot="1">
      <c r="B25" s="1459"/>
      <c r="C25" s="2" t="s">
        <v>265</v>
      </c>
      <c r="D25" s="31" t="s">
        <v>266</v>
      </c>
      <c r="E25" s="148" t="str">
        <f>IFERROR(E21/E20,"N.A.")</f>
        <v>N.A.</v>
      </c>
      <c r="F25" s="148" t="str">
        <f>IFERROR(F21/F20,"N.A.")</f>
        <v>N.A.</v>
      </c>
      <c r="G25" s="148" t="str">
        <f>IFERROR(G21/G20,"N.A.")</f>
        <v>N.A.</v>
      </c>
      <c r="H25" s="148" t="str">
        <f>IFERROR(H21/H20,"N.A.")</f>
        <v>N.A.</v>
      </c>
      <c r="I25" s="191"/>
      <c r="K25" s="17"/>
    </row>
    <row r="26" spans="2:11" ht="15" thickBot="1">
      <c r="B26" s="1459"/>
      <c r="C26" s="2" t="s">
        <v>267</v>
      </c>
      <c r="D26" s="31" t="s">
        <v>268</v>
      </c>
      <c r="E26" s="148" t="str">
        <f>IFERROR(E23/E22,"N.A.")</f>
        <v>N.A.</v>
      </c>
      <c r="F26" s="148" t="str">
        <f>IFERROR(F23/F22,"N.A.")</f>
        <v>N.A.</v>
      </c>
      <c r="G26" s="148" t="str">
        <f>IFERROR(G23/G22,"N.A.")</f>
        <v>N.A.</v>
      </c>
      <c r="H26" s="148" t="str">
        <f>IFERROR(H23/H22,"N.A.")</f>
        <v>N.A.</v>
      </c>
      <c r="I26" s="191"/>
      <c r="K26" s="17"/>
    </row>
    <row r="27" spans="2:11" ht="15" thickBot="1">
      <c r="B27" s="206"/>
      <c r="C27" s="80"/>
      <c r="D27" s="207" t="s">
        <v>1189</v>
      </c>
      <c r="E27" s="148" t="str">
        <f>IFERROR(AVERAGE(E24:E26),"N.A.")</f>
        <v>N.A.</v>
      </c>
      <c r="F27" s="148">
        <f>IFERROR(AVERAGE(F24:F26),"N.A.")</f>
        <v>1</v>
      </c>
      <c r="G27" s="148">
        <f>IFERROR(AVERAGE(G24:G26),"N.A.")</f>
        <v>1</v>
      </c>
      <c r="H27" s="148">
        <f>IFERROR(AVERAGE(H24:H26),"N.A.")</f>
        <v>1</v>
      </c>
      <c r="I27" s="191"/>
      <c r="K27" s="17"/>
    </row>
    <row r="28" spans="2:11">
      <c r="B28" s="174"/>
      <c r="C28" s="71"/>
      <c r="D28" s="1416"/>
      <c r="E28" s="1417"/>
      <c r="F28" s="1417"/>
      <c r="G28" s="1417"/>
      <c r="H28" s="1417"/>
      <c r="I28" s="1417"/>
      <c r="J28" s="1417"/>
      <c r="K28" s="1418"/>
    </row>
    <row r="29" spans="2:11">
      <c r="B29" s="174"/>
      <c r="C29" s="71"/>
      <c r="D29" s="1428" t="s">
        <v>245</v>
      </c>
      <c r="E29" s="1429"/>
      <c r="F29" s="1429"/>
      <c r="G29" s="1429"/>
      <c r="H29" s="1429"/>
      <c r="I29" s="1429"/>
      <c r="J29" s="1429"/>
      <c r="K29" s="1430"/>
    </row>
    <row r="30" spans="2:11" ht="15" thickBot="1">
      <c r="B30" s="174"/>
      <c r="C30" s="71"/>
      <c r="D30" s="1419" t="s">
        <v>246</v>
      </c>
      <c r="E30" s="1420"/>
      <c r="F30" s="1420"/>
      <c r="G30" s="1420"/>
      <c r="H30" s="1420"/>
      <c r="I30" s="1420"/>
      <c r="J30" s="1420"/>
      <c r="K30" s="1421"/>
    </row>
    <row r="31" spans="2:11" ht="27" customHeight="1" thickBot="1">
      <c r="B31" s="174"/>
      <c r="C31" s="77" t="s">
        <v>18</v>
      </c>
      <c r="D31" s="725" t="s">
        <v>269</v>
      </c>
      <c r="E31" s="725" t="s">
        <v>270</v>
      </c>
      <c r="F31" s="725" t="s">
        <v>271</v>
      </c>
      <c r="G31" s="725" t="s">
        <v>272</v>
      </c>
      <c r="H31" s="725" t="s">
        <v>273</v>
      </c>
      <c r="I31" s="725" t="s">
        <v>274</v>
      </c>
      <c r="J31" s="725" t="s">
        <v>54</v>
      </c>
      <c r="K31" s="92"/>
    </row>
    <row r="32" spans="2:11" s="151" customFormat="1" ht="98.25" customHeight="1" thickBot="1">
      <c r="B32" s="171"/>
      <c r="C32" s="175">
        <v>1</v>
      </c>
      <c r="D32" s="507" t="s">
        <v>1938</v>
      </c>
      <c r="E32" s="451" t="s">
        <v>11</v>
      </c>
      <c r="F32" s="802">
        <v>150019282</v>
      </c>
      <c r="G32" s="802">
        <v>150019282</v>
      </c>
      <c r="H32" s="802">
        <v>149962985</v>
      </c>
      <c r="I32" s="802">
        <v>128771939</v>
      </c>
      <c r="J32" s="508" t="s">
        <v>2652</v>
      </c>
      <c r="K32" s="90"/>
    </row>
    <row r="33" spans="2:11" s="151" customFormat="1" ht="120" customHeight="1" thickBot="1">
      <c r="B33" s="171"/>
      <c r="C33" s="175">
        <v>2</v>
      </c>
      <c r="D33" s="507" t="s">
        <v>1936</v>
      </c>
      <c r="E33" s="451" t="s">
        <v>11</v>
      </c>
      <c r="F33" s="802">
        <v>140000000</v>
      </c>
      <c r="G33" s="802">
        <v>139994089</v>
      </c>
      <c r="H33" s="802">
        <v>139994089</v>
      </c>
      <c r="I33" s="802">
        <v>139994089</v>
      </c>
      <c r="J33" s="508" t="s">
        <v>1962</v>
      </c>
      <c r="K33" s="90"/>
    </row>
    <row r="34" spans="2:11" s="151" customFormat="1" ht="112.5" customHeight="1" thickBot="1">
      <c r="B34" s="171"/>
      <c r="C34" s="175">
        <v>3</v>
      </c>
      <c r="D34" s="507" t="s">
        <v>1937</v>
      </c>
      <c r="E34" s="451" t="s">
        <v>11</v>
      </c>
      <c r="F34" s="802">
        <v>147980718</v>
      </c>
      <c r="G34" s="802">
        <v>147980718</v>
      </c>
      <c r="H34" s="802">
        <v>115974788</v>
      </c>
      <c r="I34" s="802">
        <v>104883964</v>
      </c>
      <c r="J34" s="508" t="s">
        <v>1963</v>
      </c>
      <c r="K34" s="90"/>
    </row>
    <row r="35" spans="2:11" s="151" customFormat="1" ht="128.25" customHeight="1" thickBot="1">
      <c r="B35" s="171"/>
      <c r="C35" s="175">
        <v>4</v>
      </c>
      <c r="D35" s="726" t="s">
        <v>1827</v>
      </c>
      <c r="E35" s="727" t="s">
        <v>11</v>
      </c>
      <c r="F35" s="803">
        <v>150000000</v>
      </c>
      <c r="G35" s="803">
        <v>150000000</v>
      </c>
      <c r="H35" s="803">
        <v>125950195</v>
      </c>
      <c r="I35" s="803">
        <v>118607062</v>
      </c>
      <c r="J35" s="728" t="s">
        <v>1964</v>
      </c>
      <c r="K35" s="90"/>
    </row>
    <row r="36" spans="2:11" ht="24.75" customHeight="1" thickBot="1">
      <c r="B36" s="174"/>
      <c r="C36" s="2"/>
      <c r="D36" s="4" t="s">
        <v>150</v>
      </c>
      <c r="E36" s="59"/>
      <c r="F36" s="729">
        <f>SUM(F32:F35)</f>
        <v>588000000</v>
      </c>
      <c r="G36" s="729">
        <f>SUM(G32:G35)</f>
        <v>587994089</v>
      </c>
      <c r="H36" s="729">
        <f>SUM(H32:H35)</f>
        <v>531882057</v>
      </c>
      <c r="I36" s="729">
        <f>SUM(I32:I35)</f>
        <v>492257054</v>
      </c>
      <c r="J36" s="730"/>
      <c r="K36" s="94"/>
    </row>
    <row r="37" spans="2:11" ht="15" thickBot="1">
      <c r="B37" s="37"/>
      <c r="C37" s="72"/>
      <c r="D37" s="1437" t="s">
        <v>275</v>
      </c>
      <c r="E37" s="1438"/>
      <c r="F37" s="1438"/>
      <c r="G37" s="1438"/>
      <c r="H37" s="1438"/>
      <c r="I37" s="1438"/>
      <c r="J37" s="1438"/>
      <c r="K37" s="1439"/>
    </row>
    <row r="38" spans="2:11" ht="36" customHeight="1" thickBot="1">
      <c r="B38" s="61" t="s">
        <v>33</v>
      </c>
      <c r="C38" s="86"/>
      <c r="D38" s="1437" t="s">
        <v>276</v>
      </c>
      <c r="E38" s="1438"/>
      <c r="F38" s="1438"/>
      <c r="G38" s="1438"/>
      <c r="H38" s="1438"/>
      <c r="I38" s="1438"/>
      <c r="J38" s="1438"/>
      <c r="K38" s="1439"/>
    </row>
    <row r="39" spans="2:11" ht="21" thickBot="1">
      <c r="B39" s="61" t="s">
        <v>35</v>
      </c>
      <c r="C39" s="86"/>
      <c r="D39" s="1437" t="s">
        <v>277</v>
      </c>
      <c r="E39" s="1438"/>
      <c r="F39" s="1438"/>
      <c r="G39" s="1438"/>
      <c r="H39" s="1438"/>
      <c r="I39" s="1438"/>
      <c r="J39" s="1438"/>
      <c r="K39" s="1439"/>
    </row>
    <row r="40" spans="2:11" ht="15" thickBot="1">
      <c r="B40" s="1"/>
      <c r="C40" s="64"/>
      <c r="D40" s="5"/>
      <c r="E40" s="5"/>
      <c r="F40" s="5"/>
      <c r="G40" s="5"/>
      <c r="H40" s="5"/>
      <c r="I40" s="5"/>
      <c r="J40" s="5"/>
      <c r="K40" s="5"/>
    </row>
    <row r="41" spans="2:11" ht="24" customHeight="1" thickBot="1">
      <c r="B41" s="1444" t="s">
        <v>37</v>
      </c>
      <c r="C41" s="1445"/>
      <c r="D41" s="1445"/>
      <c r="E41" s="1446"/>
      <c r="F41" s="5"/>
      <c r="G41" s="5"/>
      <c r="H41" s="5"/>
      <c r="I41" s="5"/>
      <c r="J41" s="5"/>
      <c r="K41" s="5"/>
    </row>
    <row r="42" spans="2:11" ht="15" thickBot="1">
      <c r="B42" s="1434">
        <v>1</v>
      </c>
      <c r="C42" s="73"/>
      <c r="D42" s="38" t="s">
        <v>38</v>
      </c>
      <c r="E42" s="25" t="s">
        <v>1811</v>
      </c>
      <c r="F42" s="5"/>
      <c r="G42" s="5"/>
      <c r="H42" s="5"/>
      <c r="I42" s="5"/>
      <c r="J42" s="5"/>
      <c r="K42" s="5"/>
    </row>
    <row r="43" spans="2:11" ht="24.6" thickBot="1">
      <c r="B43" s="1435"/>
      <c r="C43" s="73"/>
      <c r="D43" s="32" t="s">
        <v>39</v>
      </c>
      <c r="E43" s="24" t="s">
        <v>1961</v>
      </c>
      <c r="F43" s="5"/>
      <c r="G43" s="5"/>
      <c r="H43" s="5"/>
      <c r="I43" s="5"/>
      <c r="J43" s="5"/>
      <c r="K43" s="5"/>
    </row>
    <row r="44" spans="2:11" ht="15" thickBot="1">
      <c r="B44" s="1435"/>
      <c r="C44" s="73"/>
      <c r="D44" s="32" t="s">
        <v>40</v>
      </c>
      <c r="E44" s="24" t="s">
        <v>1818</v>
      </c>
      <c r="F44" s="5"/>
      <c r="G44" s="5"/>
      <c r="H44" s="5"/>
      <c r="I44" s="5"/>
      <c r="J44" s="5"/>
      <c r="K44" s="5"/>
    </row>
    <row r="45" spans="2:11" ht="15" thickBot="1">
      <c r="B45" s="1435"/>
      <c r="C45" s="73"/>
      <c r="D45" s="32" t="s">
        <v>41</v>
      </c>
      <c r="E45" s="25" t="s">
        <v>2030</v>
      </c>
      <c r="F45" s="5"/>
      <c r="G45" s="5"/>
      <c r="H45" s="5"/>
      <c r="I45" s="5"/>
      <c r="J45" s="5"/>
      <c r="K45" s="5"/>
    </row>
    <row r="46" spans="2:11" ht="15" thickBot="1">
      <c r="B46" s="1435"/>
      <c r="C46" s="73"/>
      <c r="D46" s="32" t="s">
        <v>42</v>
      </c>
      <c r="E46" s="504" t="s">
        <v>1813</v>
      </c>
      <c r="F46" s="5"/>
      <c r="G46" s="5"/>
      <c r="H46" s="5"/>
      <c r="I46" s="5"/>
      <c r="J46" s="5"/>
      <c r="K46" s="5"/>
    </row>
    <row r="47" spans="2:11" ht="15" thickBot="1">
      <c r="B47" s="1435"/>
      <c r="C47" s="73"/>
      <c r="D47" s="32" t="s">
        <v>43</v>
      </c>
      <c r="E47" s="281">
        <v>3686626</v>
      </c>
      <c r="F47" s="5"/>
      <c r="G47" s="5"/>
      <c r="H47" s="5"/>
      <c r="I47" s="5"/>
      <c r="J47" s="5"/>
      <c r="K47" s="5"/>
    </row>
    <row r="48" spans="2:11" ht="15" thickBot="1">
      <c r="B48" s="1436"/>
      <c r="C48" s="2"/>
      <c r="D48" s="32" t="s">
        <v>44</v>
      </c>
      <c r="E48" s="24" t="s">
        <v>1814</v>
      </c>
      <c r="F48" s="5"/>
      <c r="G48" s="5"/>
      <c r="H48" s="5"/>
      <c r="I48" s="5"/>
      <c r="J48" s="5"/>
      <c r="K48" s="5"/>
    </row>
    <row r="49" spans="2:11" ht="15" thickBot="1">
      <c r="B49" s="1"/>
      <c r="C49" s="64"/>
      <c r="D49" s="5"/>
      <c r="E49" s="5"/>
      <c r="F49" s="5"/>
      <c r="G49" s="5"/>
      <c r="H49" s="5"/>
      <c r="I49" s="5"/>
      <c r="J49" s="5"/>
      <c r="K49" s="5"/>
    </row>
    <row r="50" spans="2:11" ht="15" thickBot="1">
      <c r="B50" s="1444" t="s">
        <v>45</v>
      </c>
      <c r="C50" s="1445"/>
      <c r="D50" s="1445"/>
      <c r="E50" s="1446"/>
      <c r="F50" s="5"/>
      <c r="G50" s="5"/>
      <c r="H50" s="5"/>
      <c r="I50" s="5"/>
      <c r="J50" s="5"/>
      <c r="K50" s="5"/>
    </row>
    <row r="51" spans="2:11" ht="27" customHeight="1" thickBot="1">
      <c r="B51" s="1434">
        <v>1</v>
      </c>
      <c r="C51" s="73"/>
      <c r="D51" s="38" t="s">
        <v>38</v>
      </c>
      <c r="E51" s="176" t="s">
        <v>46</v>
      </c>
      <c r="F51" s="5"/>
      <c r="G51" s="5"/>
      <c r="H51" s="5"/>
      <c r="I51" s="5"/>
      <c r="J51" s="5"/>
      <c r="K51" s="5"/>
    </row>
    <row r="52" spans="2:11" ht="26.25" customHeight="1" thickBot="1">
      <c r="B52" s="1435"/>
      <c r="C52" s="73"/>
      <c r="D52" s="32" t="s">
        <v>39</v>
      </c>
      <c r="E52" s="176" t="s">
        <v>47</v>
      </c>
      <c r="F52" s="5"/>
      <c r="G52" s="5"/>
      <c r="H52" s="5"/>
      <c r="I52" s="5"/>
      <c r="J52" s="5"/>
      <c r="K52" s="5"/>
    </row>
    <row r="53" spans="2:11" ht="15" thickBot="1">
      <c r="B53" s="1435"/>
      <c r="C53" s="73"/>
      <c r="D53" s="32" t="s">
        <v>40</v>
      </c>
      <c r="E53" s="190"/>
      <c r="F53" s="5"/>
      <c r="G53" s="5"/>
      <c r="H53" s="5"/>
      <c r="I53" s="5"/>
      <c r="J53" s="5"/>
      <c r="K53" s="5"/>
    </row>
    <row r="54" spans="2:11" ht="15" thickBot="1">
      <c r="B54" s="1435"/>
      <c r="C54" s="73"/>
      <c r="D54" s="32" t="s">
        <v>41</v>
      </c>
      <c r="E54" s="190"/>
      <c r="F54" s="5"/>
      <c r="G54" s="5"/>
      <c r="H54" s="5"/>
      <c r="I54" s="5"/>
      <c r="J54" s="5"/>
      <c r="K54" s="5"/>
    </row>
    <row r="55" spans="2:11" ht="15" thickBot="1">
      <c r="B55" s="1435"/>
      <c r="C55" s="73"/>
      <c r="D55" s="32" t="s">
        <v>42</v>
      </c>
      <c r="E55" s="190"/>
      <c r="F55" s="5"/>
      <c r="G55" s="5"/>
      <c r="H55" s="5"/>
      <c r="I55" s="5"/>
      <c r="J55" s="5"/>
      <c r="K55" s="5"/>
    </row>
    <row r="56" spans="2:11" ht="15" thickBot="1">
      <c r="B56" s="1435"/>
      <c r="C56" s="73"/>
      <c r="D56" s="32" t="s">
        <v>43</v>
      </c>
      <c r="E56" s="190"/>
      <c r="F56" s="5"/>
      <c r="G56" s="5"/>
      <c r="H56" s="5"/>
      <c r="I56" s="5"/>
      <c r="J56" s="5"/>
      <c r="K56" s="5"/>
    </row>
    <row r="57" spans="2:11" ht="15" thickBot="1">
      <c r="B57" s="1436"/>
      <c r="C57" s="2"/>
      <c r="D57" s="32" t="s">
        <v>44</v>
      </c>
      <c r="E57" s="190"/>
      <c r="F57" s="5"/>
      <c r="G57" s="5"/>
      <c r="H57" s="5"/>
      <c r="I57" s="5"/>
      <c r="J57" s="5"/>
      <c r="K57" s="5"/>
    </row>
    <row r="58" spans="2:11" ht="15" thickBot="1">
      <c r="B58" s="1"/>
      <c r="C58" s="64"/>
      <c r="D58" s="5"/>
      <c r="E58" s="5"/>
      <c r="F58" s="5"/>
      <c r="G58" s="5"/>
      <c r="H58" s="5"/>
      <c r="I58" s="5"/>
      <c r="J58" s="5"/>
      <c r="K58" s="5"/>
    </row>
    <row r="59" spans="2:11" ht="15" thickBot="1">
      <c r="B59" s="1444" t="s">
        <v>48</v>
      </c>
      <c r="C59" s="1445"/>
      <c r="D59" s="1445"/>
      <c r="E59" s="1445"/>
      <c r="F59" s="1446"/>
      <c r="G59" s="5"/>
      <c r="H59" s="5"/>
      <c r="I59" s="5"/>
      <c r="J59" s="5"/>
      <c r="K59" s="5"/>
    </row>
    <row r="60" spans="2:11" ht="15" thickBot="1">
      <c r="B60" s="37" t="s">
        <v>49</v>
      </c>
      <c r="C60" s="32" t="s">
        <v>50</v>
      </c>
      <c r="D60" s="32" t="s">
        <v>51</v>
      </c>
      <c r="E60" s="32" t="s">
        <v>52</v>
      </c>
      <c r="F60" s="5"/>
      <c r="G60" s="5"/>
      <c r="H60" s="5"/>
      <c r="I60" s="5"/>
      <c r="J60" s="5"/>
    </row>
    <row r="61" spans="2:11" ht="72.599999999999994" thickBot="1">
      <c r="B61" s="39">
        <v>42401</v>
      </c>
      <c r="C61" s="32">
        <v>0.01</v>
      </c>
      <c r="D61" s="58" t="s">
        <v>278</v>
      </c>
      <c r="E61" s="32"/>
      <c r="F61" s="5"/>
      <c r="G61" s="5"/>
      <c r="H61" s="5"/>
      <c r="I61" s="5"/>
      <c r="J61" s="5"/>
    </row>
    <row r="62" spans="2:11" ht="15" thickBot="1">
      <c r="B62" s="1"/>
      <c r="C62" s="64"/>
      <c r="D62" s="5"/>
      <c r="E62" s="5"/>
      <c r="F62" s="5"/>
      <c r="G62" s="5"/>
      <c r="H62" s="5"/>
      <c r="I62" s="5"/>
      <c r="J62" s="5"/>
      <c r="K62" s="5"/>
    </row>
    <row r="63" spans="2:11" ht="15" thickBot="1">
      <c r="B63" s="4" t="s">
        <v>54</v>
      </c>
      <c r="C63" s="75"/>
      <c r="D63" s="5"/>
      <c r="E63" s="5"/>
      <c r="F63" s="5"/>
      <c r="G63" s="5"/>
      <c r="H63" s="5"/>
      <c r="I63" s="5"/>
      <c r="J63" s="5"/>
      <c r="K63" s="5"/>
    </row>
    <row r="64" spans="2:11" ht="15" thickBot="1">
      <c r="B64" s="1444" t="s">
        <v>55</v>
      </c>
      <c r="C64" s="1445"/>
      <c r="D64" s="1446"/>
      <c r="E64" s="5"/>
      <c r="F64" s="5"/>
      <c r="G64" s="5"/>
      <c r="H64" s="5"/>
      <c r="I64" s="5"/>
      <c r="J64" s="5"/>
      <c r="K64" s="5"/>
    </row>
    <row r="65" spans="2:11" ht="84.6" thickBot="1">
      <c r="B65" s="37" t="s">
        <v>56</v>
      </c>
      <c r="C65" s="2"/>
      <c r="D65" s="32" t="s">
        <v>220</v>
      </c>
      <c r="E65" s="5"/>
      <c r="F65" s="5"/>
      <c r="G65" s="5"/>
      <c r="H65" s="5"/>
      <c r="I65" s="5"/>
      <c r="J65" s="5"/>
      <c r="K65" s="5"/>
    </row>
    <row r="66" spans="2:11">
      <c r="B66" s="1434" t="s">
        <v>58</v>
      </c>
      <c r="C66" s="73"/>
      <c r="D66" s="43" t="s">
        <v>59</v>
      </c>
      <c r="E66" s="5"/>
      <c r="F66" s="5"/>
      <c r="G66" s="5"/>
      <c r="H66" s="5"/>
      <c r="I66" s="5"/>
      <c r="J66" s="5"/>
      <c r="K66" s="5"/>
    </row>
    <row r="67" spans="2:11" ht="60">
      <c r="B67" s="1435"/>
      <c r="C67" s="73"/>
      <c r="D67" s="36" t="s">
        <v>221</v>
      </c>
      <c r="E67" s="5"/>
      <c r="F67" s="5"/>
      <c r="G67" s="5"/>
      <c r="H67" s="5"/>
      <c r="I67" s="5"/>
      <c r="J67" s="5"/>
      <c r="K67" s="5"/>
    </row>
    <row r="68" spans="2:11" ht="36">
      <c r="B68" s="1435"/>
      <c r="C68" s="73"/>
      <c r="D68" s="36" t="s">
        <v>222</v>
      </c>
      <c r="E68" s="5"/>
      <c r="F68" s="5"/>
      <c r="G68" s="5"/>
      <c r="H68" s="5"/>
      <c r="I68" s="5"/>
      <c r="J68" s="5"/>
      <c r="K68" s="5"/>
    </row>
    <row r="69" spans="2:11">
      <c r="B69" s="1435"/>
      <c r="C69" s="73"/>
      <c r="D69" s="43" t="s">
        <v>223</v>
      </c>
      <c r="E69" s="5"/>
      <c r="F69" s="5"/>
      <c r="G69" s="5"/>
      <c r="H69" s="5"/>
      <c r="I69" s="5"/>
      <c r="J69" s="5"/>
      <c r="K69" s="5"/>
    </row>
    <row r="70" spans="2:11">
      <c r="B70" s="1435"/>
      <c r="C70" s="73"/>
      <c r="D70" s="36" t="s">
        <v>63</v>
      </c>
      <c r="E70" s="5"/>
      <c r="F70" s="5"/>
      <c r="G70" s="5"/>
      <c r="H70" s="5"/>
      <c r="I70" s="5"/>
      <c r="J70" s="5"/>
      <c r="K70" s="5"/>
    </row>
    <row r="71" spans="2:11">
      <c r="B71" s="1435"/>
      <c r="C71" s="73"/>
      <c r="D71" s="36" t="s">
        <v>164</v>
      </c>
      <c r="E71" s="5"/>
      <c r="F71" s="5"/>
      <c r="G71" s="5"/>
      <c r="H71" s="5"/>
      <c r="I71" s="5"/>
      <c r="J71" s="5"/>
      <c r="K71" s="5"/>
    </row>
    <row r="72" spans="2:11" ht="15" thickBot="1">
      <c r="B72" s="1436"/>
      <c r="C72" s="2"/>
      <c r="D72" s="32" t="s">
        <v>224</v>
      </c>
      <c r="E72" s="5"/>
      <c r="F72" s="5"/>
      <c r="G72" s="5"/>
      <c r="H72" s="5"/>
      <c r="I72" s="5"/>
      <c r="J72" s="5"/>
      <c r="K72" s="5"/>
    </row>
    <row r="73" spans="2:11" ht="24.6" thickBot="1">
      <c r="B73" s="37" t="s">
        <v>71</v>
      </c>
      <c r="C73" s="2"/>
      <c r="D73" s="32"/>
      <c r="E73" s="5"/>
      <c r="F73" s="5"/>
      <c r="G73" s="5"/>
      <c r="H73" s="5"/>
      <c r="I73" s="5"/>
      <c r="J73" s="5"/>
      <c r="K73" s="5"/>
    </row>
    <row r="74" spans="2:11" ht="120">
      <c r="B74" s="1434" t="s">
        <v>72</v>
      </c>
      <c r="C74" s="73"/>
      <c r="D74" s="36" t="s">
        <v>225</v>
      </c>
      <c r="E74" s="5"/>
      <c r="F74" s="5"/>
      <c r="G74" s="5"/>
      <c r="H74" s="5"/>
      <c r="I74" s="5"/>
      <c r="J74" s="5"/>
      <c r="K74" s="5"/>
    </row>
    <row r="75" spans="2:11" ht="96.6" thickBot="1">
      <c r="B75" s="1436"/>
      <c r="C75" s="2"/>
      <c r="D75" s="32" t="s">
        <v>226</v>
      </c>
      <c r="E75" s="5"/>
      <c r="F75" s="5"/>
      <c r="G75" s="5"/>
      <c r="H75" s="5"/>
      <c r="I75" s="5"/>
      <c r="J75" s="5"/>
      <c r="K75" s="5"/>
    </row>
    <row r="76" spans="2:11" ht="29.4" customHeight="1">
      <c r="B76" s="1434" t="s">
        <v>89</v>
      </c>
      <c r="C76" s="73"/>
      <c r="D76" s="36" t="s">
        <v>90</v>
      </c>
      <c r="E76" s="5"/>
      <c r="F76" s="5"/>
      <c r="G76" s="5"/>
      <c r="H76" s="5"/>
      <c r="I76" s="5"/>
      <c r="J76" s="5"/>
      <c r="K76" s="5"/>
    </row>
    <row r="77" spans="2:11" ht="50.4">
      <c r="B77" s="1435"/>
      <c r="C77" s="73"/>
      <c r="D77" s="36" t="s">
        <v>227</v>
      </c>
      <c r="E77" s="5"/>
      <c r="F77" s="5"/>
      <c r="G77" s="5"/>
      <c r="H77" s="5"/>
      <c r="I77" s="5"/>
      <c r="J77" s="5"/>
      <c r="K77" s="5"/>
    </row>
    <row r="78" spans="2:11" ht="38.4">
      <c r="B78" s="1435"/>
      <c r="C78" s="73"/>
      <c r="D78" s="36" t="s">
        <v>228</v>
      </c>
      <c r="E78" s="5"/>
      <c r="F78" s="5"/>
      <c r="G78" s="5"/>
      <c r="H78" s="5"/>
      <c r="I78" s="5"/>
      <c r="J78" s="5"/>
      <c r="K78" s="5"/>
    </row>
    <row r="79" spans="2:11" ht="26.4">
      <c r="B79" s="1435"/>
      <c r="C79" s="73"/>
      <c r="D79" s="36" t="s">
        <v>229</v>
      </c>
      <c r="E79" s="5"/>
      <c r="F79" s="5"/>
      <c r="G79" s="5"/>
      <c r="H79" s="5"/>
      <c r="I79" s="5"/>
      <c r="J79" s="5"/>
      <c r="K79" s="5"/>
    </row>
    <row r="80" spans="2:11" ht="26.4">
      <c r="B80" s="1435"/>
      <c r="C80" s="73"/>
      <c r="D80" s="36" t="s">
        <v>230</v>
      </c>
      <c r="E80" s="5"/>
      <c r="F80" s="5"/>
      <c r="G80" s="5"/>
      <c r="H80" s="5"/>
      <c r="I80" s="5"/>
      <c r="J80" s="5"/>
      <c r="K80" s="5"/>
    </row>
    <row r="81" spans="2:11">
      <c r="B81" s="1435"/>
      <c r="C81" s="73"/>
      <c r="D81" s="36" t="s">
        <v>231</v>
      </c>
      <c r="E81" s="5"/>
      <c r="F81" s="5"/>
      <c r="G81" s="5"/>
      <c r="H81" s="5"/>
      <c r="I81" s="5"/>
      <c r="J81" s="5"/>
      <c r="K81" s="5"/>
    </row>
    <row r="82" spans="2:11">
      <c r="B82" s="1435"/>
      <c r="C82" s="73"/>
      <c r="D82" s="36" t="s">
        <v>232</v>
      </c>
      <c r="E82" s="5"/>
      <c r="F82" s="5"/>
      <c r="G82" s="5"/>
      <c r="H82" s="5"/>
      <c r="I82" s="5"/>
      <c r="J82" s="5"/>
      <c r="K82" s="5"/>
    </row>
    <row r="83" spans="2:11">
      <c r="B83" s="1435"/>
      <c r="C83" s="73"/>
      <c r="D83" s="36" t="s">
        <v>233</v>
      </c>
      <c r="E83" s="5"/>
      <c r="F83" s="5"/>
      <c r="G83" s="5"/>
      <c r="H83" s="5"/>
      <c r="I83" s="5"/>
      <c r="J83" s="5"/>
      <c r="K83" s="5"/>
    </row>
    <row r="84" spans="2:11">
      <c r="B84" s="1435"/>
      <c r="C84" s="73"/>
      <c r="D84" s="36" t="s">
        <v>98</v>
      </c>
      <c r="E84" s="5"/>
      <c r="F84" s="5"/>
      <c r="G84" s="5"/>
      <c r="H84" s="5"/>
      <c r="I84" s="5"/>
      <c r="J84" s="5"/>
      <c r="K84" s="5"/>
    </row>
    <row r="85" spans="2:11" ht="60">
      <c r="B85" s="1435"/>
      <c r="C85" s="73"/>
      <c r="D85" s="44" t="s">
        <v>234</v>
      </c>
      <c r="E85" s="5"/>
      <c r="F85" s="5"/>
      <c r="G85" s="5"/>
      <c r="H85" s="5"/>
      <c r="I85" s="5"/>
      <c r="J85" s="5"/>
      <c r="K85" s="5"/>
    </row>
    <row r="86" spans="2:11">
      <c r="B86" s="1435"/>
      <c r="C86" s="73"/>
      <c r="D86" s="43" t="s">
        <v>235</v>
      </c>
      <c r="E86" s="5"/>
      <c r="F86" s="5"/>
      <c r="G86" s="5"/>
      <c r="H86" s="5"/>
      <c r="I86" s="5"/>
      <c r="J86" s="5"/>
      <c r="K86" s="5"/>
    </row>
    <row r="87" spans="2:11">
      <c r="B87" s="1435"/>
      <c r="C87" s="73"/>
      <c r="D87" s="13"/>
      <c r="E87" s="5"/>
      <c r="F87" s="5"/>
      <c r="G87" s="5"/>
      <c r="H87" s="5"/>
      <c r="I87" s="5"/>
      <c r="J87" s="5"/>
      <c r="K87" s="5"/>
    </row>
    <row r="88" spans="2:11">
      <c r="B88" s="1435"/>
      <c r="C88" s="73"/>
      <c r="D88" s="36" t="s">
        <v>90</v>
      </c>
      <c r="E88" s="5"/>
      <c r="F88" s="5"/>
      <c r="G88" s="5"/>
      <c r="H88" s="5"/>
      <c r="I88" s="5"/>
      <c r="J88" s="5"/>
      <c r="K88" s="5"/>
    </row>
    <row r="89" spans="2:11" ht="38.4">
      <c r="B89" s="1435"/>
      <c r="C89" s="73"/>
      <c r="D89" s="36" t="s">
        <v>228</v>
      </c>
      <c r="E89" s="5"/>
      <c r="F89" s="5"/>
      <c r="G89" s="5"/>
      <c r="H89" s="5"/>
      <c r="I89" s="5"/>
      <c r="J89" s="5"/>
      <c r="K89" s="5"/>
    </row>
    <row r="90" spans="2:11" ht="26.4">
      <c r="B90" s="1435"/>
      <c r="C90" s="73"/>
      <c r="D90" s="36" t="s">
        <v>236</v>
      </c>
      <c r="E90" s="5"/>
      <c r="F90" s="5"/>
      <c r="G90" s="5"/>
      <c r="H90" s="5"/>
      <c r="I90" s="5"/>
      <c r="J90" s="5"/>
      <c r="K90" s="5"/>
    </row>
    <row r="91" spans="2:11">
      <c r="B91" s="1435"/>
      <c r="C91" s="73"/>
      <c r="D91" s="36" t="s">
        <v>237</v>
      </c>
      <c r="E91" s="5"/>
      <c r="F91" s="5"/>
      <c r="G91" s="5"/>
      <c r="H91" s="5"/>
      <c r="I91" s="5"/>
      <c r="J91" s="5"/>
      <c r="K91" s="5"/>
    </row>
    <row r="92" spans="2:11">
      <c r="B92" s="1435"/>
      <c r="C92" s="73"/>
      <c r="D92" s="43" t="s">
        <v>238</v>
      </c>
      <c r="E92" s="5"/>
      <c r="F92" s="5"/>
      <c r="G92" s="5"/>
      <c r="H92" s="5"/>
      <c r="I92" s="5"/>
      <c r="J92" s="5"/>
      <c r="K92" s="5"/>
    </row>
    <row r="93" spans="2:11">
      <c r="B93" s="1435"/>
      <c r="C93" s="73"/>
      <c r="D93" s="13"/>
      <c r="E93" s="5"/>
      <c r="F93" s="5"/>
      <c r="G93" s="5"/>
      <c r="H93" s="5"/>
      <c r="I93" s="5"/>
      <c r="J93" s="5"/>
      <c r="K93" s="5"/>
    </row>
    <row r="94" spans="2:11">
      <c r="B94" s="1435"/>
      <c r="C94" s="73"/>
      <c r="D94" s="36" t="s">
        <v>90</v>
      </c>
      <c r="E94" s="5"/>
      <c r="F94" s="5"/>
      <c r="G94" s="5"/>
      <c r="H94" s="5"/>
      <c r="I94" s="5"/>
      <c r="J94" s="5"/>
      <c r="K94" s="5"/>
    </row>
    <row r="95" spans="2:11" ht="26.4">
      <c r="B95" s="1435"/>
      <c r="C95" s="73"/>
      <c r="D95" s="36" t="s">
        <v>229</v>
      </c>
      <c r="E95" s="5"/>
      <c r="F95" s="5"/>
      <c r="G95" s="5"/>
      <c r="H95" s="5"/>
      <c r="I95" s="5"/>
      <c r="J95" s="5"/>
      <c r="K95" s="5"/>
    </row>
    <row r="96" spans="2:11" ht="26.4">
      <c r="B96" s="1435"/>
      <c r="C96" s="73"/>
      <c r="D96" s="36" t="s">
        <v>239</v>
      </c>
      <c r="E96" s="5"/>
      <c r="F96" s="5"/>
      <c r="G96" s="5"/>
      <c r="H96" s="5"/>
      <c r="I96" s="5"/>
      <c r="J96" s="5"/>
      <c r="K96" s="5"/>
    </row>
    <row r="97" spans="2:11">
      <c r="B97" s="1435"/>
      <c r="C97" s="73"/>
      <c r="D97" s="36" t="s">
        <v>240</v>
      </c>
      <c r="E97" s="5"/>
      <c r="F97" s="5"/>
      <c r="G97" s="5"/>
      <c r="H97" s="5"/>
      <c r="I97" s="5"/>
      <c r="J97" s="5"/>
      <c r="K97" s="5"/>
    </row>
    <row r="98" spans="2:11">
      <c r="B98" s="1435"/>
      <c r="C98" s="73"/>
      <c r="D98" s="43" t="s">
        <v>241</v>
      </c>
      <c r="E98" s="5"/>
      <c r="F98" s="5"/>
      <c r="G98" s="5"/>
      <c r="H98" s="5"/>
      <c r="I98" s="5"/>
      <c r="J98" s="5"/>
      <c r="K98" s="5"/>
    </row>
    <row r="99" spans="2:11">
      <c r="B99" s="1435"/>
      <c r="C99" s="73"/>
      <c r="D99" s="13"/>
      <c r="E99" s="5"/>
      <c r="F99" s="5"/>
      <c r="G99" s="5"/>
      <c r="H99" s="5"/>
      <c r="I99" s="5"/>
      <c r="J99" s="5"/>
      <c r="K99" s="5"/>
    </row>
    <row r="100" spans="2:11">
      <c r="B100" s="1435"/>
      <c r="C100" s="73"/>
      <c r="D100" s="36" t="s">
        <v>90</v>
      </c>
      <c r="E100" s="5"/>
      <c r="F100" s="5"/>
      <c r="G100" s="5"/>
      <c r="H100" s="5"/>
      <c r="I100" s="5"/>
      <c r="J100" s="5"/>
      <c r="K100" s="5"/>
    </row>
    <row r="101" spans="2:11" ht="26.4">
      <c r="B101" s="1435"/>
      <c r="C101" s="73"/>
      <c r="D101" s="36" t="s">
        <v>242</v>
      </c>
      <c r="E101" s="5"/>
      <c r="F101" s="5"/>
      <c r="G101" s="5"/>
      <c r="H101" s="5"/>
      <c r="I101" s="5"/>
      <c r="J101" s="5"/>
      <c r="K101" s="5"/>
    </row>
    <row r="102" spans="2:11">
      <c r="B102" s="1435"/>
      <c r="C102" s="73"/>
      <c r="D102" s="36" t="s">
        <v>243</v>
      </c>
      <c r="E102" s="5"/>
      <c r="F102" s="5"/>
      <c r="G102" s="5"/>
      <c r="H102" s="5"/>
      <c r="I102" s="5"/>
      <c r="J102" s="5"/>
      <c r="K102" s="5"/>
    </row>
    <row r="103" spans="2:11">
      <c r="B103" s="1435"/>
      <c r="C103" s="73"/>
      <c r="D103" s="36" t="s">
        <v>244</v>
      </c>
      <c r="E103" s="5"/>
      <c r="F103" s="5"/>
      <c r="G103" s="5"/>
      <c r="H103" s="5"/>
      <c r="I103" s="5"/>
      <c r="J103" s="5"/>
      <c r="K103" s="5"/>
    </row>
    <row r="104" spans="2:11">
      <c r="B104" s="1435"/>
      <c r="C104" s="73"/>
      <c r="D104" s="43" t="s">
        <v>245</v>
      </c>
      <c r="E104" s="5"/>
      <c r="F104" s="5"/>
      <c r="G104" s="5"/>
      <c r="H104" s="5"/>
      <c r="I104" s="5"/>
      <c r="J104" s="5"/>
      <c r="K104" s="5"/>
    </row>
    <row r="105" spans="2:11" ht="24">
      <c r="B105" s="1435"/>
      <c r="C105" s="73"/>
      <c r="D105" s="43" t="s">
        <v>246</v>
      </c>
      <c r="E105" s="5"/>
      <c r="F105" s="5"/>
      <c r="G105" s="5"/>
      <c r="H105" s="5"/>
      <c r="I105" s="5"/>
      <c r="J105" s="5"/>
      <c r="K105" s="5"/>
    </row>
    <row r="106" spans="2:11">
      <c r="B106" s="1435"/>
      <c r="C106" s="73"/>
      <c r="D106" s="36" t="s">
        <v>247</v>
      </c>
      <c r="E106" s="5"/>
      <c r="F106" s="5"/>
      <c r="G106" s="5"/>
      <c r="H106" s="5"/>
      <c r="I106" s="5"/>
      <c r="J106" s="5"/>
      <c r="K106" s="5"/>
    </row>
    <row r="107" spans="2:11">
      <c r="B107" s="1435"/>
      <c r="C107" s="73"/>
      <c r="D107" s="36" t="s">
        <v>90</v>
      </c>
      <c r="E107" s="5"/>
      <c r="F107" s="5"/>
      <c r="G107" s="5"/>
      <c r="H107" s="5"/>
      <c r="I107" s="5"/>
      <c r="J107" s="5"/>
      <c r="K107" s="5"/>
    </row>
    <row r="108" spans="2:11" ht="38.4">
      <c r="B108" s="1435"/>
      <c r="C108" s="73"/>
      <c r="D108" s="36" t="s">
        <v>248</v>
      </c>
      <c r="E108" s="5"/>
      <c r="F108" s="5"/>
      <c r="G108" s="5"/>
      <c r="H108" s="5"/>
      <c r="I108" s="5"/>
      <c r="J108" s="5"/>
      <c r="K108" s="5"/>
    </row>
    <row r="109" spans="2:11" ht="38.4">
      <c r="B109" s="1435"/>
      <c r="C109" s="73"/>
      <c r="D109" s="36" t="s">
        <v>249</v>
      </c>
      <c r="E109" s="5"/>
      <c r="F109" s="5"/>
      <c r="G109" s="5"/>
      <c r="H109" s="5"/>
      <c r="I109" s="5"/>
      <c r="J109" s="5"/>
      <c r="K109" s="5"/>
    </row>
    <row r="110" spans="2:11" ht="39" thickBot="1">
      <c r="B110" s="1436"/>
      <c r="C110" s="2"/>
      <c r="D110" s="32" t="s">
        <v>250</v>
      </c>
      <c r="E110" s="5"/>
      <c r="F110" s="5"/>
      <c r="G110" s="5"/>
      <c r="H110" s="5"/>
      <c r="I110" s="5"/>
      <c r="J110" s="5"/>
      <c r="K110" s="5"/>
    </row>
  </sheetData>
  <sheetProtection insertRows="0"/>
  <mergeCells count="28">
    <mergeCell ref="B76:B110"/>
    <mergeCell ref="B51:B57"/>
    <mergeCell ref="B59:F59"/>
    <mergeCell ref="B10:D10"/>
    <mergeCell ref="F10:S10"/>
    <mergeCell ref="F11:S11"/>
    <mergeCell ref="E12:R12"/>
    <mergeCell ref="E13:R13"/>
    <mergeCell ref="D37:K37"/>
    <mergeCell ref="B15:B26"/>
    <mergeCell ref="B64:D64"/>
    <mergeCell ref="B66:B72"/>
    <mergeCell ref="B74:B75"/>
    <mergeCell ref="D15:K15"/>
    <mergeCell ref="D16:K16"/>
    <mergeCell ref="D28:K28"/>
    <mergeCell ref="B42:B48"/>
    <mergeCell ref="B50:E50"/>
    <mergeCell ref="D29:K29"/>
    <mergeCell ref="D30:K30"/>
    <mergeCell ref="D38:K38"/>
    <mergeCell ref="D39:K39"/>
    <mergeCell ref="B41:E41"/>
    <mergeCell ref="A1:P1"/>
    <mergeCell ref="A2:P2"/>
    <mergeCell ref="A3:P3"/>
    <mergeCell ref="A4:D4"/>
    <mergeCell ref="A5:P5"/>
  </mergeCells>
  <conditionalFormatting sqref="E12:R12">
    <cfRule type="expression" dxfId="103" priority="1">
      <formula>E11="SI SE REPORTA"</formula>
    </cfRule>
  </conditionalFormatting>
  <conditionalFormatting sqref="F10">
    <cfRule type="notContainsBlanks" dxfId="102" priority="4">
      <formula>LEN(TRIM(F10))&gt;0</formula>
    </cfRule>
  </conditionalFormatting>
  <conditionalFormatting sqref="F11:S11">
    <cfRule type="expression" dxfId="101" priority="2">
      <formula>E11="NO SE REPORTA"</formula>
    </cfRule>
    <cfRule type="expression" dxfId="100" priority="3">
      <formula>E10="NO APLICA"</formula>
    </cfRule>
  </conditionalFormatting>
  <dataValidations count="5">
    <dataValidation type="whole" operator="greaterThanOrEqual" allowBlank="1" showErrorMessage="1" errorTitle="ERROR" error="Escriba un número igual o mayor que 0" promptTitle="ERROR" prompt="Escriba un número igual o mayor que 0" sqref="E18:H23" xr:uid="{00000000-0002-0000-0A00-000000000000}">
      <formula1>0</formula1>
    </dataValidation>
    <dataValidation type="list" allowBlank="1" showInputMessage="1" showErrorMessage="1" sqref="E11" xr:uid="{00000000-0002-0000-0A00-000001000000}">
      <formula1>REPORTE</formula1>
    </dataValidation>
    <dataValidation type="list" allowBlank="1" showInputMessage="1" showErrorMessage="1" sqref="E10" xr:uid="{00000000-0002-0000-0A00-000002000000}">
      <formula1>SI</formula1>
    </dataValidation>
    <dataValidation type="whole" operator="greaterThanOrEqual" allowBlank="1" showInputMessage="1" showErrorMessage="1" errorTitle="ERROR" error="Valor en PESOS (sin centavos)" sqref="F32:I35" xr:uid="{00000000-0002-0000-0A00-000003000000}">
      <formula1>0</formula1>
    </dataValidation>
    <dataValidation type="textLength" allowBlank="1" showInputMessage="1" showErrorMessage="1" errorTitle="ERROR" error="Escriba POMCA, PMM o PMA" promptTitle="ESCRIBA" prompt="POMCA, PMA o PMM" sqref="E32:E35" xr:uid="{00000000-0002-0000-0A00-000004000000}">
      <formula1>1</formula1>
      <formula2>5</formula2>
    </dataValidation>
  </dataValidations>
  <hyperlinks>
    <hyperlink ref="B9" location="'ANEXO 3'!A1" display="VOLVER AL INDICE" xr:uid="{00000000-0004-0000-0A00-000000000000}"/>
    <hyperlink ref="E46" r:id="rId1" xr:uid="{00000000-0004-0000-0A00-000001000000}"/>
  </hyperlinks>
  <pageMargins left="0.25" right="0.25" top="0.75" bottom="0.75" header="0.3" footer="0.3"/>
  <pageSetup paperSize="178"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7">
    <tabColor rgb="FF92D050"/>
  </sheetPr>
  <dimension ref="A1:U82"/>
  <sheetViews>
    <sheetView showGridLines="0" topLeftCell="A13" zoomScale="98" zoomScaleNormal="98" workbookViewId="0">
      <selection activeCell="F23" sqref="F23"/>
    </sheetView>
  </sheetViews>
  <sheetFormatPr baseColWidth="10" defaultRowHeight="14.4"/>
  <cols>
    <col min="1" max="1" width="1.88671875" customWidth="1"/>
    <col min="2" max="2" width="12.88671875" customWidth="1"/>
    <col min="3" max="3" width="5" style="66" bestFit="1" customWidth="1"/>
    <col min="4" max="4" width="44.109375" customWidth="1"/>
    <col min="5" max="5" width="24.5546875" customWidth="1"/>
    <col min="6" max="6" width="22.88671875" customWidth="1"/>
    <col min="7" max="7" width="17.33203125" customWidth="1"/>
    <col min="8" max="8" width="23.1093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27" customHeight="1"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21.75" customHeight="1"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279</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20.25" customHeight="1" thickBot="1">
      <c r="B8" s="144" t="s">
        <v>1178</v>
      </c>
      <c r="C8" s="564">
        <v>2023</v>
      </c>
      <c r="D8" s="170">
        <f>IF(E10="NO APLICA","NO APLICA",IF(E11="NO SE REPORTA","SIN INFORMACION",+H19))</f>
        <v>1</v>
      </c>
      <c r="E8" s="167"/>
      <c r="F8" s="5" t="s">
        <v>129</v>
      </c>
      <c r="G8" s="5"/>
      <c r="H8" s="5"/>
      <c r="I8" s="5"/>
      <c r="J8" s="5"/>
      <c r="K8" s="5"/>
    </row>
    <row r="9" spans="1:21">
      <c r="B9" s="298" t="s">
        <v>1179</v>
      </c>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48" customHeight="1">
      <c r="B12" s="298"/>
      <c r="C12" s="67"/>
      <c r="D12" s="144" t="str">
        <f>IF(E11="SI SE REPORTA","¿Qué programas o proyectos del Plan de Acción están asociados al indicador? ","")</f>
        <v xml:space="preserve">¿Qué programas o proyectos del Plan de Acción están asociados al indicador? </v>
      </c>
      <c r="E12" s="1407" t="s">
        <v>1909</v>
      </c>
      <c r="F12" s="1407"/>
      <c r="G12" s="1407"/>
      <c r="H12" s="1407"/>
      <c r="I12" s="1407"/>
      <c r="J12" s="1407"/>
      <c r="K12" s="1407"/>
      <c r="L12" s="1407"/>
      <c r="M12" s="1407"/>
      <c r="N12" s="1407"/>
      <c r="O12" s="1407"/>
      <c r="P12" s="1407"/>
      <c r="Q12" s="1407"/>
      <c r="R12" s="1407"/>
    </row>
    <row r="13" spans="1:21" ht="39.75" customHeight="1">
      <c r="B13" s="298"/>
      <c r="C13" s="67"/>
      <c r="D13" s="144" t="s">
        <v>1236</v>
      </c>
      <c r="E13" s="1408" t="s">
        <v>1965</v>
      </c>
      <c r="F13" s="1409"/>
      <c r="G13" s="1409"/>
      <c r="H13" s="1409"/>
      <c r="I13" s="1409"/>
      <c r="J13" s="1409"/>
      <c r="K13" s="1409"/>
      <c r="L13" s="1409"/>
      <c r="M13" s="1409"/>
      <c r="N13" s="1409"/>
      <c r="O13" s="1409"/>
      <c r="P13" s="1409"/>
      <c r="Q13" s="1409"/>
      <c r="R13" s="1410"/>
    </row>
    <row r="14" spans="1:21" ht="6.9" customHeight="1" thickBot="1">
      <c r="B14" s="298"/>
      <c r="D14" s="5"/>
      <c r="E14" s="5"/>
      <c r="F14" s="5"/>
      <c r="G14" s="5"/>
      <c r="H14" s="5"/>
      <c r="I14" s="5"/>
      <c r="J14" s="5"/>
      <c r="K14" s="5"/>
    </row>
    <row r="15" spans="1:21" ht="16.5" customHeight="1" thickTop="1" thickBot="1">
      <c r="B15" s="1536" t="s">
        <v>2</v>
      </c>
      <c r="C15" s="68"/>
      <c r="D15" s="1437" t="s">
        <v>3</v>
      </c>
      <c r="E15" s="1438"/>
      <c r="F15" s="1438"/>
      <c r="G15" s="1438"/>
      <c r="H15" s="1438"/>
      <c r="I15" s="1439"/>
      <c r="J15" s="5"/>
      <c r="K15" s="5"/>
    </row>
    <row r="16" spans="1:21" ht="15" thickBot="1">
      <c r="B16" s="1459"/>
      <c r="C16" s="73"/>
      <c r="D16" s="34" t="s">
        <v>149</v>
      </c>
      <c r="E16" s="69" t="s">
        <v>19</v>
      </c>
      <c r="F16" s="69" t="s">
        <v>20</v>
      </c>
      <c r="G16" s="69" t="s">
        <v>21</v>
      </c>
      <c r="H16" s="69" t="s">
        <v>22</v>
      </c>
      <c r="I16" s="210"/>
      <c r="J16" s="5"/>
      <c r="K16" s="5"/>
    </row>
    <row r="17" spans="2:11" ht="55.5" customHeight="1" thickBot="1">
      <c r="B17" s="1459"/>
      <c r="C17" s="73"/>
      <c r="D17" s="211" t="s">
        <v>304</v>
      </c>
      <c r="E17" s="438">
        <v>23</v>
      </c>
      <c r="F17" s="438">
        <v>23</v>
      </c>
      <c r="G17" s="438">
        <v>23</v>
      </c>
      <c r="H17" s="438">
        <v>23</v>
      </c>
      <c r="I17" s="208"/>
      <c r="J17" s="5"/>
      <c r="K17" s="5"/>
    </row>
    <row r="18" spans="2:11" ht="57" customHeight="1" thickBot="1">
      <c r="B18" s="1459"/>
      <c r="C18" s="73"/>
      <c r="D18" s="211" t="s">
        <v>305</v>
      </c>
      <c r="E18" s="438">
        <v>23</v>
      </c>
      <c r="F18" s="438">
        <v>23</v>
      </c>
      <c r="G18" s="438">
        <v>23</v>
      </c>
      <c r="H18" s="438">
        <v>23</v>
      </c>
      <c r="I18" s="208"/>
      <c r="J18" s="5"/>
      <c r="K18" s="5"/>
    </row>
    <row r="19" spans="2:11" ht="53.25" customHeight="1" thickBot="1">
      <c r="B19" s="1459"/>
      <c r="C19" s="73"/>
      <c r="D19" s="211" t="s">
        <v>306</v>
      </c>
      <c r="E19" s="487">
        <f>IFERROR(E18/E17,"N.A.")</f>
        <v>1</v>
      </c>
      <c r="F19" s="487">
        <f>IFERROR(F18/F17,"N.A.")</f>
        <v>1</v>
      </c>
      <c r="G19" s="487">
        <f>IFERROR(G18/G17,"N.A.")</f>
        <v>1</v>
      </c>
      <c r="H19" s="487">
        <f>IFERROR(H18/H17,"N.A.")</f>
        <v>1</v>
      </c>
      <c r="I19" s="191"/>
      <c r="J19" s="5"/>
      <c r="K19" s="5"/>
    </row>
    <row r="20" spans="2:11" ht="30" customHeight="1" thickBot="1">
      <c r="B20" s="1459"/>
      <c r="C20" s="71"/>
      <c r="D20" s="1425" t="s">
        <v>307</v>
      </c>
      <c r="E20" s="1426"/>
      <c r="F20" s="1426"/>
      <c r="G20" s="1426"/>
      <c r="H20" s="1426"/>
      <c r="I20" s="1427"/>
      <c r="J20" s="5"/>
      <c r="K20" s="5"/>
    </row>
    <row r="21" spans="2:11" ht="21" customHeight="1">
      <c r="B21" s="174"/>
      <c r="C21" s="1537" t="s">
        <v>18</v>
      </c>
      <c r="D21" s="1539" t="s">
        <v>308</v>
      </c>
      <c r="E21" s="1548" t="s">
        <v>312</v>
      </c>
      <c r="F21" s="1548" t="s">
        <v>309</v>
      </c>
      <c r="G21" s="1544" t="s">
        <v>54</v>
      </c>
      <c r="H21" s="1537"/>
      <c r="I21" s="17"/>
      <c r="J21" s="5"/>
      <c r="K21" s="5"/>
    </row>
    <row r="22" spans="2:11" ht="15" thickBot="1">
      <c r="B22" s="174"/>
      <c r="C22" s="1538"/>
      <c r="D22" s="1540"/>
      <c r="E22" s="1549"/>
      <c r="F22" s="1549"/>
      <c r="G22" s="1545"/>
      <c r="H22" s="1538"/>
      <c r="I22" s="17"/>
      <c r="J22" s="5"/>
      <c r="K22" s="5"/>
    </row>
    <row r="23" spans="2:11" s="151" customFormat="1" ht="79.5" customHeight="1" thickBot="1">
      <c r="B23" s="171"/>
      <c r="C23" s="455">
        <v>1</v>
      </c>
      <c r="D23" s="505" t="s">
        <v>1908</v>
      </c>
      <c r="E23" s="509">
        <v>23</v>
      </c>
      <c r="F23" s="505" t="s">
        <v>1829</v>
      </c>
      <c r="G23" s="1546" t="s">
        <v>1966</v>
      </c>
      <c r="H23" s="1547"/>
      <c r="I23" s="16"/>
      <c r="J23" s="15"/>
      <c r="K23" s="15"/>
    </row>
    <row r="24" spans="2:11" ht="36" customHeight="1" thickBot="1">
      <c r="B24" s="37" t="s">
        <v>33</v>
      </c>
      <c r="C24" s="72"/>
      <c r="D24" s="1437" t="s">
        <v>310</v>
      </c>
      <c r="E24" s="1438"/>
      <c r="F24" s="1438"/>
      <c r="G24" s="1438"/>
      <c r="H24" s="1438"/>
      <c r="I24" s="1439"/>
      <c r="J24" s="5"/>
      <c r="K24" s="5"/>
    </row>
    <row r="25" spans="2:11" ht="24.6" thickBot="1">
      <c r="B25" s="37" t="s">
        <v>35</v>
      </c>
      <c r="C25" s="72"/>
      <c r="D25" s="1437" t="s">
        <v>277</v>
      </c>
      <c r="E25" s="1438"/>
      <c r="F25" s="1438"/>
      <c r="G25" s="1438"/>
      <c r="H25" s="1438"/>
      <c r="I25" s="1439"/>
      <c r="J25" s="5"/>
      <c r="K25" s="5"/>
    </row>
    <row r="26" spans="2:11" ht="15" thickBot="1">
      <c r="B26" s="1"/>
      <c r="C26" s="64"/>
      <c r="D26" s="5"/>
      <c r="E26" s="5"/>
      <c r="F26" s="5"/>
      <c r="G26" s="5"/>
      <c r="H26" s="5"/>
      <c r="I26" s="5"/>
      <c r="J26" s="5"/>
      <c r="K26" s="5"/>
    </row>
    <row r="27" spans="2:11" ht="24" customHeight="1" thickBot="1">
      <c r="B27" s="1444" t="s">
        <v>37</v>
      </c>
      <c r="C27" s="1445"/>
      <c r="D27" s="1445"/>
      <c r="E27" s="1446"/>
      <c r="F27" s="5"/>
      <c r="G27" s="5"/>
      <c r="H27" s="5"/>
      <c r="I27" s="5"/>
      <c r="J27" s="5"/>
      <c r="K27" s="5"/>
    </row>
    <row r="28" spans="2:11" ht="15" thickBot="1">
      <c r="B28" s="1434">
        <v>1</v>
      </c>
      <c r="C28" s="73"/>
      <c r="D28" s="38" t="s">
        <v>38</v>
      </c>
      <c r="E28" s="25" t="s">
        <v>1811</v>
      </c>
      <c r="F28" s="5"/>
      <c r="G28" s="5"/>
      <c r="H28" s="5"/>
      <c r="I28" s="5"/>
      <c r="J28" s="5"/>
      <c r="K28" s="5"/>
    </row>
    <row r="29" spans="2:11" ht="15" thickBot="1">
      <c r="B29" s="1435"/>
      <c r="C29" s="73"/>
      <c r="D29" s="32" t="s">
        <v>39</v>
      </c>
      <c r="E29" s="24" t="s">
        <v>1987</v>
      </c>
      <c r="F29" s="5"/>
      <c r="G29" s="5"/>
      <c r="H29" s="5"/>
      <c r="I29" s="5"/>
      <c r="J29" s="5"/>
      <c r="K29" s="5"/>
    </row>
    <row r="30" spans="2:11" ht="15" thickBot="1">
      <c r="B30" s="1435"/>
      <c r="C30" s="73"/>
      <c r="D30" s="32" t="s">
        <v>40</v>
      </c>
      <c r="E30" s="25" t="s">
        <v>1818</v>
      </c>
      <c r="F30" s="5"/>
      <c r="G30" s="5"/>
      <c r="H30" s="5"/>
      <c r="I30" s="5"/>
      <c r="J30" s="5"/>
      <c r="K30" s="5"/>
    </row>
    <row r="31" spans="2:11" ht="15" thickBot="1">
      <c r="B31" s="1435"/>
      <c r="C31" s="73"/>
      <c r="D31" s="32" t="s">
        <v>41</v>
      </c>
      <c r="E31" s="25" t="s">
        <v>2030</v>
      </c>
      <c r="F31" s="5"/>
      <c r="G31" s="5"/>
      <c r="H31" s="5"/>
      <c r="I31" s="5"/>
      <c r="J31" s="5"/>
      <c r="K31" s="5"/>
    </row>
    <row r="32" spans="2:11" ht="15" thickBot="1">
      <c r="B32" s="1435"/>
      <c r="C32" s="73"/>
      <c r="D32" s="32" t="s">
        <v>42</v>
      </c>
      <c r="E32" s="504" t="s">
        <v>1813</v>
      </c>
      <c r="F32" s="5"/>
      <c r="G32" s="5"/>
      <c r="H32" s="5"/>
      <c r="I32" s="5"/>
      <c r="J32" s="5"/>
      <c r="K32" s="5"/>
    </row>
    <row r="33" spans="2:11" ht="15" thickBot="1">
      <c r="B33" s="1435"/>
      <c r="C33" s="73"/>
      <c r="D33" s="32" t="s">
        <v>43</v>
      </c>
      <c r="E33" s="133">
        <v>3686626</v>
      </c>
      <c r="F33" s="5"/>
      <c r="G33" s="5"/>
      <c r="H33" s="5"/>
      <c r="I33" s="5"/>
      <c r="J33" s="5"/>
      <c r="K33" s="5"/>
    </row>
    <row r="34" spans="2:11" ht="15" thickBot="1">
      <c r="B34" s="1436"/>
      <c r="C34" s="2"/>
      <c r="D34" s="32" t="s">
        <v>44</v>
      </c>
      <c r="E34" s="24" t="s">
        <v>1814</v>
      </c>
      <c r="F34" s="5"/>
      <c r="G34" s="5"/>
      <c r="H34" s="5"/>
      <c r="I34" s="5"/>
      <c r="J34" s="5"/>
      <c r="K34" s="5"/>
    </row>
    <row r="35" spans="2:11" ht="15" thickBot="1">
      <c r="B35" s="1"/>
      <c r="C35" s="64"/>
      <c r="D35" s="5"/>
      <c r="E35" s="5"/>
      <c r="F35" s="5"/>
      <c r="G35" s="5"/>
      <c r="H35" s="5"/>
      <c r="I35" s="5"/>
      <c r="J35" s="5"/>
      <c r="K35" s="5"/>
    </row>
    <row r="36" spans="2:11" ht="15" thickBot="1">
      <c r="B36" s="1444" t="s">
        <v>45</v>
      </c>
      <c r="C36" s="1445"/>
      <c r="D36" s="1445"/>
      <c r="E36" s="1446"/>
      <c r="F36" s="5"/>
      <c r="G36" s="5"/>
      <c r="H36" s="5"/>
      <c r="I36" s="5"/>
      <c r="J36" s="5"/>
      <c r="K36" s="5"/>
    </row>
    <row r="37" spans="2:11" ht="24.6" thickBot="1">
      <c r="B37" s="1434">
        <v>1</v>
      </c>
      <c r="C37" s="73"/>
      <c r="D37" s="38" t="s">
        <v>38</v>
      </c>
      <c r="E37" s="28" t="s">
        <v>46</v>
      </c>
      <c r="F37" s="5"/>
      <c r="G37" s="5"/>
      <c r="H37" s="5"/>
      <c r="I37" s="5"/>
      <c r="J37" s="5"/>
      <c r="K37" s="5"/>
    </row>
    <row r="38" spans="2:11" ht="36.6" thickBot="1">
      <c r="B38" s="1435"/>
      <c r="C38" s="73"/>
      <c r="D38" s="32" t="s">
        <v>39</v>
      </c>
      <c r="E38" s="28" t="s">
        <v>47</v>
      </c>
      <c r="F38" s="5"/>
      <c r="G38" s="5"/>
      <c r="H38" s="5"/>
      <c r="I38" s="5"/>
      <c r="J38" s="5"/>
      <c r="K38" s="5"/>
    </row>
    <row r="39" spans="2:11" ht="15" thickBot="1">
      <c r="B39" s="1435"/>
      <c r="C39" s="73"/>
      <c r="D39" s="32" t="s">
        <v>40</v>
      </c>
      <c r="E39" s="193"/>
      <c r="F39" s="5"/>
      <c r="G39" s="5"/>
      <c r="H39" s="5"/>
      <c r="I39" s="5"/>
      <c r="J39" s="5"/>
      <c r="K39" s="5"/>
    </row>
    <row r="40" spans="2:11" ht="15" thickBot="1">
      <c r="B40" s="1435"/>
      <c r="C40" s="73"/>
      <c r="D40" s="32" t="s">
        <v>41</v>
      </c>
      <c r="E40" s="193"/>
      <c r="F40" s="5"/>
      <c r="G40" s="5"/>
      <c r="H40" s="5"/>
      <c r="I40" s="5"/>
      <c r="J40" s="5"/>
      <c r="K40" s="5"/>
    </row>
    <row r="41" spans="2:11" ht="15" thickBot="1">
      <c r="B41" s="1435"/>
      <c r="C41" s="73"/>
      <c r="D41" s="32" t="s">
        <v>42</v>
      </c>
      <c r="E41" s="193"/>
      <c r="F41" s="5"/>
      <c r="G41" s="5"/>
      <c r="H41" s="5"/>
      <c r="I41" s="5"/>
      <c r="J41" s="5"/>
      <c r="K41" s="5"/>
    </row>
    <row r="42" spans="2:11" ht="15" thickBot="1">
      <c r="B42" s="1435"/>
      <c r="C42" s="73"/>
      <c r="D42" s="32" t="s">
        <v>43</v>
      </c>
      <c r="E42" s="193"/>
      <c r="F42" s="5"/>
      <c r="G42" s="5"/>
      <c r="H42" s="5"/>
      <c r="I42" s="5"/>
      <c r="J42" s="5"/>
      <c r="K42" s="5"/>
    </row>
    <row r="43" spans="2:11" ht="15" thickBot="1">
      <c r="B43" s="1436"/>
      <c r="C43" s="2"/>
      <c r="D43" s="32" t="s">
        <v>44</v>
      </c>
      <c r="E43" s="193"/>
      <c r="F43" s="5"/>
      <c r="G43" s="5"/>
      <c r="H43" s="5"/>
      <c r="I43" s="5"/>
      <c r="J43" s="5"/>
      <c r="K43" s="5"/>
    </row>
    <row r="44" spans="2:11" ht="15" thickBot="1">
      <c r="B44" s="1"/>
      <c r="C44" s="64"/>
      <c r="D44" s="5"/>
      <c r="E44" s="5"/>
      <c r="F44" s="5"/>
      <c r="G44" s="5"/>
      <c r="H44" s="5"/>
      <c r="I44" s="5"/>
      <c r="J44" s="5"/>
      <c r="K44" s="5"/>
    </row>
    <row r="45" spans="2:11" ht="15" customHeight="1" thickBot="1">
      <c r="B45" s="97" t="s">
        <v>48</v>
      </c>
      <c r="C45" s="98"/>
      <c r="D45" s="98"/>
      <c r="E45" s="99"/>
      <c r="G45" s="5"/>
      <c r="H45" s="5"/>
      <c r="I45" s="5"/>
      <c r="J45" s="5"/>
      <c r="K45" s="5"/>
    </row>
    <row r="46" spans="2:11" ht="24.6" thickBot="1">
      <c r="B46" s="37" t="s">
        <v>49</v>
      </c>
      <c r="C46" s="32" t="s">
        <v>50</v>
      </c>
      <c r="D46" s="32" t="s">
        <v>51</v>
      </c>
      <c r="E46" s="32" t="s">
        <v>52</v>
      </c>
      <c r="F46" s="5"/>
      <c r="G46" s="5"/>
      <c r="H46" s="5"/>
      <c r="I46" s="5"/>
      <c r="J46" s="5"/>
    </row>
    <row r="47" spans="2:11" ht="60.6" thickBot="1">
      <c r="B47" s="39">
        <v>42401</v>
      </c>
      <c r="C47" s="32">
        <v>0.01</v>
      </c>
      <c r="D47" s="58" t="s">
        <v>311</v>
      </c>
      <c r="E47" s="32"/>
      <c r="F47" s="5"/>
      <c r="G47" s="5"/>
      <c r="H47" s="5"/>
      <c r="I47" s="5"/>
      <c r="J47" s="5"/>
    </row>
    <row r="48" spans="2:11" ht="15" thickBot="1">
      <c r="B48" s="3"/>
      <c r="C48" s="74"/>
      <c r="D48" s="5"/>
      <c r="E48" s="5"/>
      <c r="F48" s="5"/>
      <c r="G48" s="5"/>
      <c r="H48" s="5"/>
      <c r="I48" s="5"/>
      <c r="J48" s="5"/>
      <c r="K48" s="5"/>
    </row>
    <row r="49" spans="2:11" ht="15" thickBot="1">
      <c r="B49" s="106" t="s">
        <v>54</v>
      </c>
      <c r="C49" s="75"/>
      <c r="D49" s="5"/>
      <c r="E49" s="5"/>
      <c r="F49" s="5"/>
      <c r="G49" s="5"/>
      <c r="H49" s="5"/>
      <c r="I49" s="5"/>
      <c r="J49" s="5"/>
      <c r="K49" s="5"/>
    </row>
    <row r="50" spans="2:11" ht="15" thickBot="1">
      <c r="B50" s="1541"/>
      <c r="C50" s="1542"/>
      <c r="D50" s="1542"/>
      <c r="E50" s="1543"/>
      <c r="F50" s="5"/>
      <c r="G50" s="5"/>
      <c r="H50" s="5"/>
      <c r="I50" s="5"/>
      <c r="J50" s="5"/>
      <c r="K50" s="5"/>
    </row>
    <row r="51" spans="2:11" ht="15" thickBot="1">
      <c r="B51" s="5"/>
      <c r="D51" s="5"/>
      <c r="E51" s="5"/>
      <c r="F51" s="5"/>
      <c r="G51" s="5"/>
      <c r="H51" s="5"/>
      <c r="I51" s="5"/>
      <c r="J51" s="5"/>
      <c r="K51" s="5"/>
    </row>
    <row r="52" spans="2:11" ht="15" thickBot="1">
      <c r="B52" s="1444" t="s">
        <v>55</v>
      </c>
      <c r="C52" s="1445"/>
      <c r="D52" s="1446"/>
      <c r="E52" s="5"/>
      <c r="F52" s="5"/>
      <c r="G52" s="5"/>
      <c r="H52" s="5"/>
      <c r="I52" s="5"/>
      <c r="J52" s="5"/>
      <c r="K52" s="5"/>
    </row>
    <row r="53" spans="2:11" ht="72.599999999999994" thickBot="1">
      <c r="B53" s="37" t="s">
        <v>56</v>
      </c>
      <c r="C53" s="2"/>
      <c r="D53" s="32" t="s">
        <v>280</v>
      </c>
      <c r="E53" s="5"/>
      <c r="F53" s="5"/>
      <c r="G53" s="5"/>
      <c r="H53" s="5"/>
      <c r="I53" s="5"/>
      <c r="J53" s="5"/>
      <c r="K53" s="5"/>
    </row>
    <row r="54" spans="2:11">
      <c r="B54" s="1434" t="s">
        <v>58</v>
      </c>
      <c r="C54" s="73"/>
      <c r="D54" s="43" t="s">
        <v>59</v>
      </c>
      <c r="E54" s="5"/>
      <c r="F54" s="5"/>
      <c r="G54" s="5"/>
      <c r="H54" s="5"/>
      <c r="I54" s="5"/>
      <c r="J54" s="5"/>
      <c r="K54" s="5"/>
    </row>
    <row r="55" spans="2:11" ht="60">
      <c r="B55" s="1435"/>
      <c r="C55" s="73"/>
      <c r="D55" s="36" t="s">
        <v>281</v>
      </c>
      <c r="E55" s="5"/>
      <c r="F55" s="5"/>
      <c r="G55" s="5"/>
      <c r="H55" s="5"/>
      <c r="I55" s="5"/>
      <c r="J55" s="5"/>
      <c r="K55" s="5"/>
    </row>
    <row r="56" spans="2:11" ht="48">
      <c r="B56" s="1435"/>
      <c r="C56" s="73"/>
      <c r="D56" s="36" t="s">
        <v>282</v>
      </c>
      <c r="E56" s="5"/>
      <c r="F56" s="5"/>
      <c r="G56" s="5"/>
      <c r="H56" s="5"/>
      <c r="I56" s="5"/>
      <c r="J56" s="5"/>
      <c r="K56" s="5"/>
    </row>
    <row r="57" spans="2:11">
      <c r="B57" s="1435"/>
      <c r="C57" s="73"/>
      <c r="D57" s="43" t="s">
        <v>62</v>
      </c>
      <c r="E57" s="5"/>
      <c r="F57" s="5"/>
      <c r="G57" s="5"/>
      <c r="H57" s="5"/>
      <c r="I57" s="5"/>
      <c r="J57" s="5"/>
      <c r="K57" s="5"/>
    </row>
    <row r="58" spans="2:11">
      <c r="B58" s="1435"/>
      <c r="C58" s="73"/>
      <c r="D58" s="36" t="s">
        <v>283</v>
      </c>
      <c r="E58" s="5"/>
      <c r="F58" s="5"/>
      <c r="G58" s="5"/>
      <c r="H58" s="5"/>
      <c r="I58" s="5"/>
      <c r="J58" s="5"/>
      <c r="K58" s="5"/>
    </row>
    <row r="59" spans="2:11" ht="36">
      <c r="B59" s="1435"/>
      <c r="C59" s="73"/>
      <c r="D59" s="36" t="s">
        <v>284</v>
      </c>
      <c r="E59" s="5"/>
      <c r="F59" s="5"/>
      <c r="G59" s="5"/>
      <c r="H59" s="5"/>
      <c r="I59" s="5"/>
      <c r="J59" s="5"/>
      <c r="K59" s="5"/>
    </row>
    <row r="60" spans="2:11">
      <c r="B60" s="1435"/>
      <c r="C60" s="73"/>
      <c r="D60" s="36" t="s">
        <v>285</v>
      </c>
      <c r="E60" s="5"/>
      <c r="F60" s="5"/>
      <c r="G60" s="5"/>
      <c r="H60" s="5"/>
      <c r="I60" s="5"/>
      <c r="J60" s="5"/>
      <c r="K60" s="5"/>
    </row>
    <row r="61" spans="2:11" ht="24">
      <c r="B61" s="1435"/>
      <c r="C61" s="73"/>
      <c r="D61" s="36" t="s">
        <v>286</v>
      </c>
      <c r="E61" s="5"/>
      <c r="F61" s="5"/>
      <c r="G61" s="5"/>
      <c r="H61" s="5"/>
      <c r="I61" s="5"/>
      <c r="J61" s="5"/>
      <c r="K61" s="5"/>
    </row>
    <row r="62" spans="2:11">
      <c r="B62" s="1435"/>
      <c r="C62" s="73"/>
      <c r="D62" s="43" t="s">
        <v>287</v>
      </c>
      <c r="E62" s="5"/>
      <c r="F62" s="5"/>
      <c r="G62" s="5"/>
      <c r="H62" s="5"/>
      <c r="I62" s="5"/>
      <c r="J62" s="5"/>
      <c r="K62" s="5"/>
    </row>
    <row r="63" spans="2:11">
      <c r="B63" s="1435"/>
      <c r="C63" s="73"/>
      <c r="D63" s="36" t="s">
        <v>288</v>
      </c>
      <c r="E63" s="5"/>
      <c r="F63" s="5"/>
      <c r="G63" s="5"/>
      <c r="H63" s="5"/>
      <c r="I63" s="5"/>
      <c r="J63" s="5"/>
      <c r="K63" s="5"/>
    </row>
    <row r="64" spans="2:11" ht="24">
      <c r="B64" s="1435"/>
      <c r="C64" s="73"/>
      <c r="D64" s="36" t="s">
        <v>289</v>
      </c>
      <c r="E64" s="5"/>
      <c r="F64" s="5"/>
      <c r="G64" s="5"/>
      <c r="H64" s="5"/>
      <c r="I64" s="5"/>
      <c r="J64" s="5"/>
      <c r="K64" s="5"/>
    </row>
    <row r="65" spans="2:11" ht="29.4" thickBot="1">
      <c r="B65" s="1436"/>
      <c r="C65" s="2"/>
      <c r="D65" s="212" t="s">
        <v>290</v>
      </c>
      <c r="E65" s="5"/>
      <c r="F65" s="5"/>
      <c r="G65" s="5"/>
      <c r="H65" s="5"/>
      <c r="I65" s="5"/>
      <c r="J65" s="5"/>
      <c r="K65" s="5"/>
    </row>
    <row r="66" spans="2:11" ht="24.6" thickBot="1">
      <c r="B66" s="37" t="s">
        <v>71</v>
      </c>
      <c r="C66" s="2"/>
      <c r="D66" s="32"/>
      <c r="E66" s="5"/>
      <c r="F66" s="5"/>
      <c r="G66" s="5"/>
      <c r="H66" s="5"/>
      <c r="I66" s="5"/>
      <c r="J66" s="5"/>
      <c r="K66" s="5"/>
    </row>
    <row r="67" spans="2:11" ht="144">
      <c r="B67" s="1434" t="s">
        <v>72</v>
      </c>
      <c r="C67" s="73"/>
      <c r="D67" s="36" t="s">
        <v>291</v>
      </c>
      <c r="E67" s="5"/>
      <c r="F67" s="5"/>
      <c r="G67" s="5"/>
      <c r="H67" s="5"/>
      <c r="I67" s="5"/>
      <c r="J67" s="5"/>
      <c r="K67" s="5"/>
    </row>
    <row r="68" spans="2:11" ht="120">
      <c r="B68" s="1435"/>
      <c r="C68" s="73"/>
      <c r="D68" s="36" t="s">
        <v>292</v>
      </c>
      <c r="E68" s="5"/>
      <c r="F68" s="5"/>
      <c r="G68" s="5"/>
      <c r="H68" s="5"/>
      <c r="I68" s="5"/>
      <c r="J68" s="5"/>
      <c r="K68" s="5"/>
    </row>
    <row r="69" spans="2:11" ht="48">
      <c r="B69" s="1435"/>
      <c r="C69" s="73"/>
      <c r="D69" s="36" t="s">
        <v>293</v>
      </c>
      <c r="E69" s="5"/>
      <c r="F69" s="5"/>
      <c r="G69" s="5"/>
      <c r="H69" s="5"/>
      <c r="I69" s="5"/>
      <c r="J69" s="5"/>
      <c r="K69" s="5"/>
    </row>
    <row r="70" spans="2:11">
      <c r="B70" s="1435"/>
      <c r="C70" s="73"/>
      <c r="D70" s="36" t="s">
        <v>294</v>
      </c>
      <c r="E70" s="5"/>
      <c r="F70" s="5"/>
      <c r="G70" s="5"/>
      <c r="H70" s="5"/>
      <c r="I70" s="5"/>
      <c r="J70" s="5"/>
      <c r="K70" s="5"/>
    </row>
    <row r="71" spans="2:11" ht="48">
      <c r="B71" s="1435"/>
      <c r="C71" s="73"/>
      <c r="D71" s="51" t="s">
        <v>295</v>
      </c>
      <c r="E71" s="5"/>
      <c r="F71" s="5"/>
      <c r="G71" s="5"/>
      <c r="H71" s="5"/>
      <c r="I71" s="5"/>
      <c r="J71" s="5"/>
      <c r="K71" s="5"/>
    </row>
    <row r="72" spans="2:11" ht="60">
      <c r="B72" s="1435"/>
      <c r="C72" s="73"/>
      <c r="D72" s="51" t="s">
        <v>296</v>
      </c>
      <c r="E72" s="5"/>
      <c r="F72" s="5"/>
      <c r="G72" s="5"/>
      <c r="H72" s="5"/>
      <c r="I72" s="5"/>
      <c r="J72" s="5"/>
      <c r="K72" s="5"/>
    </row>
    <row r="73" spans="2:11" ht="36">
      <c r="B73" s="1435"/>
      <c r="C73" s="73"/>
      <c r="D73" s="51" t="s">
        <v>297</v>
      </c>
      <c r="E73" s="5"/>
      <c r="F73" s="5"/>
      <c r="G73" s="5"/>
      <c r="H73" s="5"/>
      <c r="I73" s="5"/>
      <c r="J73" s="5"/>
      <c r="K73" s="5"/>
    </row>
    <row r="74" spans="2:11" ht="24">
      <c r="B74" s="1435"/>
      <c r="C74" s="73"/>
      <c r="D74" s="51" t="s">
        <v>298</v>
      </c>
      <c r="E74" s="5"/>
      <c r="F74" s="5"/>
      <c r="G74" s="5"/>
      <c r="H74" s="5"/>
      <c r="I74" s="5"/>
      <c r="J74" s="5"/>
      <c r="K74" s="5"/>
    </row>
    <row r="75" spans="2:11" ht="36">
      <c r="B75" s="1435"/>
      <c r="C75" s="73"/>
      <c r="D75" s="51" t="s">
        <v>299</v>
      </c>
      <c r="E75" s="5"/>
      <c r="F75" s="5"/>
      <c r="G75" s="5"/>
      <c r="H75" s="5"/>
      <c r="I75" s="5"/>
      <c r="J75" s="5"/>
      <c r="K75" s="5"/>
    </row>
    <row r="76" spans="2:11" ht="36.6" thickBot="1">
      <c r="B76" s="1436"/>
      <c r="C76" s="2"/>
      <c r="D76" s="52" t="s">
        <v>300</v>
      </c>
      <c r="E76" s="5"/>
      <c r="F76" s="5"/>
      <c r="G76" s="5"/>
      <c r="H76" s="5"/>
      <c r="I76" s="5"/>
      <c r="J76" s="5"/>
      <c r="K76" s="5"/>
    </row>
    <row r="77" spans="2:11">
      <c r="B77" s="1434" t="s">
        <v>89</v>
      </c>
      <c r="C77" s="73"/>
      <c r="D77" s="36"/>
      <c r="E77" s="5"/>
      <c r="F77" s="5"/>
      <c r="G77" s="5"/>
      <c r="H77" s="5"/>
      <c r="I77" s="5"/>
      <c r="J77" s="5"/>
      <c r="K77" s="5"/>
    </row>
    <row r="78" spans="2:11">
      <c r="B78" s="1435"/>
      <c r="C78" s="73"/>
      <c r="D78" s="13"/>
      <c r="E78" s="5"/>
      <c r="F78" s="5"/>
      <c r="G78" s="5"/>
      <c r="H78" s="5"/>
      <c r="I78" s="5"/>
      <c r="J78" s="5"/>
      <c r="K78" s="5"/>
    </row>
    <row r="79" spans="2:11">
      <c r="B79" s="1435"/>
      <c r="C79" s="73"/>
      <c r="D79" s="36" t="s">
        <v>90</v>
      </c>
      <c r="E79" s="5"/>
      <c r="F79" s="5"/>
      <c r="G79" s="5"/>
      <c r="H79" s="5"/>
      <c r="I79" s="5"/>
      <c r="J79" s="5"/>
      <c r="K79" s="5"/>
    </row>
    <row r="80" spans="2:11" ht="50.4">
      <c r="B80" s="1435"/>
      <c r="C80" s="73"/>
      <c r="D80" s="36" t="s">
        <v>301</v>
      </c>
      <c r="E80" s="5"/>
      <c r="F80" s="5"/>
      <c r="G80" s="5"/>
      <c r="H80" s="5"/>
      <c r="I80" s="5"/>
      <c r="J80" s="5"/>
      <c r="K80" s="5"/>
    </row>
    <row r="81" spans="2:11" ht="50.4">
      <c r="B81" s="1435"/>
      <c r="C81" s="73"/>
      <c r="D81" s="36" t="s">
        <v>302</v>
      </c>
      <c r="E81" s="5"/>
      <c r="F81" s="5"/>
      <c r="G81" s="5"/>
      <c r="H81" s="5"/>
      <c r="I81" s="5"/>
      <c r="J81" s="5"/>
      <c r="K81" s="5"/>
    </row>
    <row r="82" spans="2:11" ht="51" thickBot="1">
      <c r="B82" s="1436"/>
      <c r="C82" s="2"/>
      <c r="D82" s="32" t="s">
        <v>303</v>
      </c>
      <c r="E82" s="5"/>
      <c r="F82" s="5"/>
      <c r="G82" s="5"/>
      <c r="H82" s="5"/>
      <c r="I82" s="5"/>
      <c r="J82" s="5"/>
      <c r="K82" s="5"/>
    </row>
  </sheetData>
  <mergeCells count="30">
    <mergeCell ref="D15:I15"/>
    <mergeCell ref="D20:I20"/>
    <mergeCell ref="E21:E22"/>
    <mergeCell ref="B15:B20"/>
    <mergeCell ref="F21:F22"/>
    <mergeCell ref="B10:D10"/>
    <mergeCell ref="F10:S10"/>
    <mergeCell ref="F11:S11"/>
    <mergeCell ref="E12:R12"/>
    <mergeCell ref="E13:R13"/>
    <mergeCell ref="B52:D52"/>
    <mergeCell ref="B54:B65"/>
    <mergeCell ref="B67:B76"/>
    <mergeCell ref="B77:B82"/>
    <mergeCell ref="C21:C22"/>
    <mergeCell ref="D21:D22"/>
    <mergeCell ref="B37:B43"/>
    <mergeCell ref="B50:E50"/>
    <mergeCell ref="D25:I25"/>
    <mergeCell ref="B27:E27"/>
    <mergeCell ref="B28:B34"/>
    <mergeCell ref="B36:E36"/>
    <mergeCell ref="G21:H22"/>
    <mergeCell ref="G23:H23"/>
    <mergeCell ref="D24:I24"/>
    <mergeCell ref="A1:P1"/>
    <mergeCell ref="A2:P2"/>
    <mergeCell ref="A3:P3"/>
    <mergeCell ref="A4:D4"/>
    <mergeCell ref="A5:P5"/>
  </mergeCells>
  <conditionalFormatting sqref="E12:R12">
    <cfRule type="expression" dxfId="99" priority="1">
      <formula>E11="SI SE REPORTA"</formula>
    </cfRule>
  </conditionalFormatting>
  <conditionalFormatting sqref="F10">
    <cfRule type="notContainsBlanks" dxfId="98" priority="4">
      <formula>LEN(TRIM(F10))&gt;0</formula>
    </cfRule>
  </conditionalFormatting>
  <conditionalFormatting sqref="F11:S11">
    <cfRule type="expression" dxfId="97" priority="2">
      <formula>E11="NO SE REPORTA"</formula>
    </cfRule>
    <cfRule type="expression" dxfId="96"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 xr:uid="{00000000-0002-0000-0B00-000000000000}">
      <formula1>0</formula1>
    </dataValidation>
    <dataValidation type="list" allowBlank="1" showInputMessage="1" showErrorMessage="1" sqref="E11" xr:uid="{00000000-0002-0000-0B00-000001000000}">
      <formula1>REPORTE</formula1>
    </dataValidation>
    <dataValidation type="list" allowBlank="1" showInputMessage="1" showErrorMessage="1" sqref="E10" xr:uid="{00000000-0002-0000-0B00-000002000000}">
      <formula1>SI</formula1>
    </dataValidation>
  </dataValidations>
  <hyperlinks>
    <hyperlink ref="D65" r:id="rId1" display="http://cambioclimatico.minambiente.gov.co/" xr:uid="{00000000-0004-0000-0B00-000000000000}"/>
    <hyperlink ref="B9" location="'ANEXO 3'!A1" display="VOLVER AL INDICE" xr:uid="{00000000-0004-0000-0B00-000001000000}"/>
    <hyperlink ref="E32" r:id="rId2" xr:uid="{00000000-0004-0000-0B00-000002000000}"/>
  </hyperlinks>
  <pageMargins left="0.25" right="0.25" top="0.75" bottom="0.75" header="0.3" footer="0.3"/>
  <pageSetup paperSize="178" orientation="landscape" horizontalDpi="1200" verticalDpi="120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8">
    <tabColor rgb="FF92D050"/>
  </sheetPr>
  <dimension ref="A1:U88"/>
  <sheetViews>
    <sheetView showGridLines="0" topLeftCell="A13" zoomScale="98" zoomScaleNormal="98" workbookViewId="0">
      <selection activeCell="K25" sqref="K25"/>
    </sheetView>
  </sheetViews>
  <sheetFormatPr baseColWidth="10" defaultRowHeight="14.4"/>
  <cols>
    <col min="1" max="1" width="1.88671875" customWidth="1"/>
    <col min="2" max="2" width="12.88671875" customWidth="1"/>
    <col min="3" max="3" width="5" style="66" bestFit="1" customWidth="1"/>
    <col min="4" max="4" width="40.44140625" customWidth="1"/>
    <col min="5" max="5" width="16" customWidth="1"/>
    <col min="7" max="7" width="12.44140625" bestFit="1" customWidth="1"/>
    <col min="8" max="8" width="13.33203125" bestFit="1" customWidth="1"/>
    <col min="9" max="9" width="12.6640625" customWidth="1"/>
    <col min="11" max="11" width="80.55468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313</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4" t="s">
        <v>1178</v>
      </c>
      <c r="C8" s="564">
        <v>2023</v>
      </c>
      <c r="D8" s="170">
        <f>IF(E10="NO APLICA","NO APLICA",IF(E11="NO SE REPORTA","SIN INFORMACION",+H19))</f>
        <v>1</v>
      </c>
      <c r="E8" s="167"/>
      <c r="F8" s="5" t="s">
        <v>129</v>
      </c>
      <c r="G8" s="5"/>
      <c r="H8" s="5"/>
      <c r="I8" s="5"/>
      <c r="J8" s="5"/>
      <c r="K8" s="5"/>
    </row>
    <row r="9" spans="1:21">
      <c r="B9" s="298" t="s">
        <v>1179</v>
      </c>
      <c r="D9" s="5"/>
      <c r="E9" s="5"/>
      <c r="F9" s="5"/>
      <c r="G9" s="5"/>
      <c r="H9" s="5"/>
      <c r="I9" s="5"/>
      <c r="J9" s="5"/>
      <c r="K9" s="5"/>
    </row>
    <row r="10" spans="1:21" ht="21.75" customHeight="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8.75" customHeight="1">
      <c r="B11" s="300"/>
      <c r="C11" s="67"/>
      <c r="D11" s="144" t="str">
        <f>IF(E10="SI APLICA","¿El indicador no se reporta por limitaciones de información disponible? ","")</f>
        <v xml:space="preserve">¿El indicador no se reporta por limitaciones de información disponible? </v>
      </c>
      <c r="E11" s="302" t="s">
        <v>1233</v>
      </c>
      <c r="F11" s="1405" t="s">
        <v>1824</v>
      </c>
      <c r="G11" s="1406"/>
      <c r="H11" s="1406"/>
      <c r="I11" s="1406"/>
      <c r="J11" s="1406"/>
      <c r="K11" s="1406"/>
      <c r="L11" s="1406"/>
      <c r="M11" s="1406"/>
      <c r="N11" s="1406"/>
      <c r="O11" s="1406"/>
      <c r="P11" s="1406"/>
      <c r="Q11" s="1406"/>
      <c r="R11" s="1406"/>
      <c r="S11" s="1406"/>
    </row>
    <row r="12" spans="1:21" ht="10.5" customHeight="1">
      <c r="B12" s="298"/>
      <c r="C12" s="67"/>
      <c r="D12" s="144" t="str">
        <f>IF(E11="SI SE REPORTA","¿Qué programas o proyectos del Plan de Acción están asociados al indicador? ","")</f>
        <v xml:space="preserve">¿Qué programas o proyectos del Plan de Acción están asociados al indicador? </v>
      </c>
      <c r="E12" s="1407"/>
      <c r="F12" s="1407"/>
      <c r="G12" s="1407"/>
      <c r="H12" s="1407"/>
      <c r="I12" s="1407"/>
      <c r="J12" s="1407"/>
      <c r="K12" s="1407"/>
      <c r="L12" s="1407"/>
      <c r="M12" s="1407"/>
      <c r="N12" s="1407"/>
      <c r="O12" s="1407"/>
      <c r="P12" s="1407"/>
      <c r="Q12" s="1407"/>
      <c r="R12" s="1407"/>
    </row>
    <row r="13" spans="1:21" ht="84.75" customHeight="1">
      <c r="B13" s="298"/>
      <c r="C13" s="67"/>
      <c r="D13" s="144" t="s">
        <v>1236</v>
      </c>
      <c r="E13" s="1408" t="s">
        <v>2662</v>
      </c>
      <c r="F13" s="1409"/>
      <c r="G13" s="1409"/>
      <c r="H13" s="1409"/>
      <c r="I13" s="1409"/>
      <c r="J13" s="1409"/>
      <c r="K13" s="1409"/>
      <c r="L13" s="1409"/>
      <c r="M13" s="1409"/>
      <c r="N13" s="1409"/>
      <c r="O13" s="1409"/>
      <c r="P13" s="1409"/>
      <c r="Q13" s="1409"/>
      <c r="R13" s="1410"/>
    </row>
    <row r="14" spans="1:21" ht="14.25" customHeight="1" thickBot="1">
      <c r="B14" s="298"/>
      <c r="D14" s="5"/>
      <c r="E14" s="5"/>
      <c r="F14" s="5"/>
      <c r="G14" s="5"/>
      <c r="H14" s="5"/>
      <c r="I14" s="5"/>
      <c r="J14" s="5"/>
      <c r="K14" s="5"/>
    </row>
    <row r="15" spans="1:21" ht="15.6" customHeight="1" thickTop="1" thickBot="1">
      <c r="B15" s="1536" t="s">
        <v>2</v>
      </c>
      <c r="C15" s="68"/>
      <c r="D15" s="1425" t="s">
        <v>335</v>
      </c>
      <c r="E15" s="1426"/>
      <c r="F15" s="1426"/>
      <c r="G15" s="1426"/>
      <c r="H15" s="1426"/>
      <c r="I15" s="1426"/>
      <c r="J15" s="1426"/>
      <c r="K15" s="1427"/>
    </row>
    <row r="16" spans="1:21" ht="15" thickBot="1">
      <c r="A16" s="151"/>
      <c r="B16" s="1459"/>
      <c r="C16" s="77" t="s">
        <v>18</v>
      </c>
      <c r="D16" s="77" t="s">
        <v>1186</v>
      </c>
      <c r="E16" s="77" t="s">
        <v>19</v>
      </c>
      <c r="F16" s="77" t="s">
        <v>20</v>
      </c>
      <c r="G16" s="77" t="s">
        <v>21</v>
      </c>
      <c r="H16" s="77" t="s">
        <v>22</v>
      </c>
      <c r="I16" s="173"/>
      <c r="J16" s="151"/>
      <c r="K16" s="17"/>
    </row>
    <row r="17" spans="2:11" ht="24.6" thickBot="1">
      <c r="B17" s="1459"/>
      <c r="C17" s="2" t="s">
        <v>151</v>
      </c>
      <c r="D17" s="32" t="s">
        <v>336</v>
      </c>
      <c r="E17" s="511">
        <v>0</v>
      </c>
      <c r="F17" s="511">
        <v>0</v>
      </c>
      <c r="G17" s="511">
        <v>50</v>
      </c>
      <c r="H17" s="511">
        <v>50</v>
      </c>
      <c r="I17" s="512"/>
      <c r="J17" s="151"/>
      <c r="K17" s="17"/>
    </row>
    <row r="18" spans="2:11" ht="24.6" thickBot="1">
      <c r="B18" s="1459"/>
      <c r="C18" s="2" t="s">
        <v>153</v>
      </c>
      <c r="D18" s="32" t="s">
        <v>337</v>
      </c>
      <c r="E18" s="511">
        <v>0</v>
      </c>
      <c r="F18" s="511">
        <v>0</v>
      </c>
      <c r="G18" s="511">
        <v>50</v>
      </c>
      <c r="H18" s="511">
        <v>50</v>
      </c>
      <c r="I18" s="512"/>
      <c r="J18" s="151"/>
      <c r="K18" s="17"/>
    </row>
    <row r="19" spans="2:11" ht="24.6" thickBot="1">
      <c r="B19" s="1459"/>
      <c r="C19" s="2" t="s">
        <v>155</v>
      </c>
      <c r="D19" s="32" t="s">
        <v>338</v>
      </c>
      <c r="E19" s="487" t="str">
        <f>IFERROR(E18/E17,"N.A.")</f>
        <v>N.A.</v>
      </c>
      <c r="F19" s="487" t="str">
        <f>IFERROR(F18/F17,"N.A.")</f>
        <v>N.A.</v>
      </c>
      <c r="G19" s="487">
        <f>IFERROR(G18/G17,"N.A.")</f>
        <v>1</v>
      </c>
      <c r="H19" s="487">
        <f>IFERROR(H18/H17,"N.A.")</f>
        <v>1</v>
      </c>
      <c r="I19" s="487"/>
      <c r="K19" s="17"/>
    </row>
    <row r="20" spans="2:11">
      <c r="B20" s="174"/>
      <c r="C20" s="71"/>
      <c r="D20" s="1550" t="s">
        <v>1185</v>
      </c>
      <c r="E20" s="1551"/>
      <c r="F20" s="1551"/>
      <c r="G20" s="1551"/>
      <c r="H20" s="1551"/>
      <c r="I20" s="1551"/>
      <c r="J20" s="1551"/>
      <c r="K20" s="1552"/>
    </row>
    <row r="21" spans="2:11">
      <c r="B21" s="174"/>
      <c r="C21" s="71"/>
      <c r="D21" s="1428" t="s">
        <v>245</v>
      </c>
      <c r="E21" s="1429"/>
      <c r="F21" s="1429"/>
      <c r="G21" s="1429"/>
      <c r="H21" s="1429"/>
      <c r="I21" s="1429"/>
      <c r="J21" s="1429"/>
      <c r="K21" s="1430"/>
    </row>
    <row r="22" spans="2:11">
      <c r="B22" s="174"/>
      <c r="C22" s="71"/>
      <c r="D22" s="1428" t="s">
        <v>332</v>
      </c>
      <c r="E22" s="1429"/>
      <c r="F22" s="1429"/>
      <c r="G22" s="1429"/>
      <c r="H22" s="1429"/>
      <c r="I22" s="1429"/>
      <c r="J22" s="1429"/>
      <c r="K22" s="1430"/>
    </row>
    <row r="23" spans="2:11" ht="15" thickBot="1">
      <c r="B23" s="174"/>
      <c r="C23" s="71"/>
      <c r="D23" s="1447" t="s">
        <v>339</v>
      </c>
      <c r="E23" s="1448"/>
      <c r="F23" s="1448"/>
      <c r="G23" s="1448"/>
      <c r="H23" s="1448"/>
      <c r="I23" s="1448"/>
      <c r="J23" s="1448"/>
      <c r="K23" s="1449"/>
    </row>
    <row r="24" spans="2:11" ht="36.6" thickBot="1">
      <c r="B24" s="174"/>
      <c r="C24" s="77" t="s">
        <v>18</v>
      </c>
      <c r="D24" s="34" t="s">
        <v>269</v>
      </c>
      <c r="E24" s="34" t="s">
        <v>340</v>
      </c>
      <c r="F24" s="34" t="s">
        <v>341</v>
      </c>
      <c r="G24" s="34" t="s">
        <v>342</v>
      </c>
      <c r="H24" s="34" t="s">
        <v>343</v>
      </c>
      <c r="I24" s="34" t="s">
        <v>273</v>
      </c>
      <c r="J24" s="34" t="s">
        <v>274</v>
      </c>
      <c r="K24" s="34" t="s">
        <v>54</v>
      </c>
    </row>
    <row r="25" spans="2:11" s="151" customFormat="1" ht="88.5" customHeight="1" thickBot="1">
      <c r="B25" s="171"/>
      <c r="C25" s="175">
        <v>2</v>
      </c>
      <c r="D25" s="505" t="s">
        <v>1911</v>
      </c>
      <c r="E25" s="491" t="s">
        <v>2653</v>
      </c>
      <c r="F25" s="511">
        <v>50</v>
      </c>
      <c r="G25" s="804">
        <v>400000000</v>
      </c>
      <c r="H25" s="804">
        <v>400000000</v>
      </c>
      <c r="I25" s="804">
        <v>400000000</v>
      </c>
      <c r="J25" s="805">
        <v>306617294</v>
      </c>
      <c r="K25" s="687" t="s">
        <v>2654</v>
      </c>
    </row>
    <row r="26" spans="2:11" ht="18" customHeight="1" thickBot="1">
      <c r="B26" s="37"/>
      <c r="C26" s="2"/>
      <c r="D26" s="58" t="s">
        <v>150</v>
      </c>
      <c r="E26" s="58"/>
      <c r="F26" s="731">
        <f>SUM(F25:F25)</f>
        <v>50</v>
      </c>
      <c r="G26" s="731">
        <f>SUM(G25:G25)</f>
        <v>400000000</v>
      </c>
      <c r="H26" s="731">
        <f>SUM(H25:H25)</f>
        <v>400000000</v>
      </c>
      <c r="I26" s="731">
        <f>SUM(I25:I25)</f>
        <v>400000000</v>
      </c>
      <c r="J26" s="731">
        <f>SUM(J25:J25)</f>
        <v>306617294</v>
      </c>
      <c r="K26" s="9"/>
    </row>
    <row r="27" spans="2:11" ht="24" customHeight="1" thickBot="1">
      <c r="B27" s="61" t="s">
        <v>33</v>
      </c>
      <c r="C27" s="86"/>
      <c r="D27" s="1437" t="s">
        <v>344</v>
      </c>
      <c r="E27" s="1438"/>
      <c r="F27" s="1438"/>
      <c r="G27" s="1438"/>
      <c r="H27" s="1438"/>
      <c r="I27" s="1438"/>
      <c r="J27" s="1438"/>
      <c r="K27" s="1439"/>
    </row>
    <row r="28" spans="2:11" ht="24" customHeight="1" thickBot="1">
      <c r="B28" s="61" t="s">
        <v>35</v>
      </c>
      <c r="C28" s="86"/>
      <c r="D28" s="1437" t="s">
        <v>345</v>
      </c>
      <c r="E28" s="1438"/>
      <c r="F28" s="1438"/>
      <c r="G28" s="1438"/>
      <c r="H28" s="1438"/>
      <c r="I28" s="1438"/>
      <c r="J28" s="1438"/>
      <c r="K28" s="1439"/>
    </row>
    <row r="29" spans="2:11" ht="15" thickBot="1">
      <c r="B29" s="1"/>
      <c r="C29" s="64"/>
      <c r="D29" s="5"/>
      <c r="E29" s="5"/>
      <c r="F29" s="5"/>
      <c r="G29" s="5"/>
      <c r="H29" s="5"/>
      <c r="I29" s="5"/>
      <c r="J29" s="5"/>
      <c r="K29" s="5"/>
    </row>
    <row r="30" spans="2:11" ht="24" customHeight="1" thickBot="1">
      <c r="B30" s="1444" t="s">
        <v>37</v>
      </c>
      <c r="C30" s="1445"/>
      <c r="D30" s="1445"/>
      <c r="E30" s="1446"/>
      <c r="F30" s="5"/>
      <c r="G30" s="5"/>
      <c r="H30" s="5"/>
      <c r="I30" s="5"/>
      <c r="J30" s="5"/>
      <c r="K30" s="5"/>
    </row>
    <row r="31" spans="2:11" ht="15" thickBot="1">
      <c r="B31" s="1434">
        <v>1</v>
      </c>
      <c r="C31" s="73"/>
      <c r="D31" s="38" t="s">
        <v>38</v>
      </c>
      <c r="E31" s="25" t="s">
        <v>1811</v>
      </c>
      <c r="F31" s="5"/>
      <c r="G31" s="5"/>
      <c r="H31" s="5"/>
      <c r="I31" s="5"/>
      <c r="J31" s="5"/>
      <c r="K31" s="5"/>
    </row>
    <row r="32" spans="2:11" ht="24.6" thickBot="1">
      <c r="B32" s="1435"/>
      <c r="C32" s="73"/>
      <c r="D32" s="32" t="s">
        <v>39</v>
      </c>
      <c r="E32" s="24" t="s">
        <v>1959</v>
      </c>
      <c r="F32" s="5"/>
      <c r="G32" s="5"/>
      <c r="H32" s="5"/>
      <c r="I32" s="5"/>
      <c r="J32" s="5"/>
      <c r="K32" s="5"/>
    </row>
    <row r="33" spans="2:11" ht="15" thickBot="1">
      <c r="B33" s="1435"/>
      <c r="C33" s="73"/>
      <c r="D33" s="32" t="s">
        <v>40</v>
      </c>
      <c r="E33" s="24" t="s">
        <v>1818</v>
      </c>
      <c r="F33" s="5"/>
      <c r="G33" s="5"/>
      <c r="H33" s="5"/>
      <c r="I33" s="5"/>
      <c r="J33" s="5"/>
      <c r="K33" s="5"/>
    </row>
    <row r="34" spans="2:11" ht="24.6" thickBot="1">
      <c r="B34" s="1435"/>
      <c r="C34" s="73"/>
      <c r="D34" s="32" t="s">
        <v>41</v>
      </c>
      <c r="E34" s="24" t="s">
        <v>1960</v>
      </c>
      <c r="F34" s="5"/>
      <c r="G34" s="5"/>
      <c r="H34" s="5"/>
      <c r="I34" s="5"/>
      <c r="J34" s="5"/>
      <c r="K34" s="5"/>
    </row>
    <row r="35" spans="2:11" ht="29.4" thickBot="1">
      <c r="B35" s="1435"/>
      <c r="C35" s="73"/>
      <c r="D35" s="32" t="s">
        <v>42</v>
      </c>
      <c r="E35" s="504" t="s">
        <v>1813</v>
      </c>
      <c r="F35" s="5"/>
      <c r="G35" s="5"/>
      <c r="H35" s="5"/>
      <c r="I35" s="5"/>
      <c r="J35" s="5"/>
      <c r="K35" s="5"/>
    </row>
    <row r="36" spans="2:11" ht="15" thickBot="1">
      <c r="B36" s="1435"/>
      <c r="C36" s="73"/>
      <c r="D36" s="32" t="s">
        <v>43</v>
      </c>
      <c r="E36" s="133">
        <v>3686626</v>
      </c>
      <c r="F36" s="5"/>
      <c r="G36" s="5"/>
      <c r="H36" s="5"/>
      <c r="I36" s="5"/>
      <c r="J36" s="5"/>
      <c r="K36" s="5"/>
    </row>
    <row r="37" spans="2:11" ht="24.6" thickBot="1">
      <c r="B37" s="1436"/>
      <c r="C37" s="2"/>
      <c r="D37" s="32" t="s">
        <v>44</v>
      </c>
      <c r="E37" s="24" t="s">
        <v>1814</v>
      </c>
      <c r="F37" s="5"/>
      <c r="G37" s="5"/>
      <c r="H37" s="5"/>
      <c r="I37" s="5"/>
      <c r="J37" s="5"/>
      <c r="K37" s="5"/>
    </row>
    <row r="38" spans="2:11" ht="15" thickBot="1">
      <c r="B38" s="1"/>
      <c r="C38" s="64"/>
      <c r="D38" s="5"/>
      <c r="E38" s="5"/>
      <c r="F38" s="5"/>
      <c r="G38" s="5"/>
      <c r="H38" s="5"/>
      <c r="I38" s="5"/>
      <c r="J38" s="5"/>
      <c r="K38" s="5"/>
    </row>
    <row r="39" spans="2:11" ht="15" thickBot="1">
      <c r="B39" s="1444" t="s">
        <v>45</v>
      </c>
      <c r="C39" s="1445"/>
      <c r="D39" s="1445"/>
      <c r="E39" s="1446"/>
      <c r="F39" s="5"/>
      <c r="G39" s="5"/>
      <c r="H39" s="5"/>
      <c r="I39" s="5"/>
      <c r="J39" s="5"/>
      <c r="K39" s="5"/>
    </row>
    <row r="40" spans="2:11" ht="15" thickBot="1">
      <c r="B40" s="1434">
        <v>1</v>
      </c>
      <c r="C40" s="73"/>
      <c r="D40" s="38" t="s">
        <v>38</v>
      </c>
      <c r="E40" s="176" t="s">
        <v>46</v>
      </c>
      <c r="F40" s="5"/>
      <c r="G40" s="5"/>
      <c r="H40" s="5"/>
      <c r="I40" s="5"/>
      <c r="J40" s="5"/>
      <c r="K40" s="5"/>
    </row>
    <row r="41" spans="2:11" ht="15" thickBot="1">
      <c r="B41" s="1435"/>
      <c r="C41" s="73"/>
      <c r="D41" s="32" t="s">
        <v>39</v>
      </c>
      <c r="E41" s="176" t="s">
        <v>159</v>
      </c>
      <c r="F41" s="5"/>
      <c r="G41" s="5"/>
      <c r="H41" s="5"/>
      <c r="I41" s="5"/>
      <c r="J41" s="5"/>
      <c r="K41" s="5"/>
    </row>
    <row r="42" spans="2:11" ht="15" thickBot="1">
      <c r="B42" s="1435"/>
      <c r="C42" s="73"/>
      <c r="D42" s="32" t="s">
        <v>40</v>
      </c>
      <c r="E42" s="193"/>
      <c r="F42" s="5"/>
      <c r="G42" s="5"/>
      <c r="H42" s="5"/>
      <c r="I42" s="5"/>
      <c r="J42" s="5"/>
      <c r="K42" s="5"/>
    </row>
    <row r="43" spans="2:11" ht="15" thickBot="1">
      <c r="B43" s="1435"/>
      <c r="C43" s="73"/>
      <c r="D43" s="32" t="s">
        <v>41</v>
      </c>
      <c r="E43" s="193"/>
      <c r="F43" s="5"/>
      <c r="G43" s="5"/>
      <c r="H43" s="5"/>
      <c r="I43" s="5"/>
      <c r="J43" s="5"/>
      <c r="K43" s="5"/>
    </row>
    <row r="44" spans="2:11" ht="15" thickBot="1">
      <c r="B44" s="1435"/>
      <c r="C44" s="73"/>
      <c r="D44" s="32" t="s">
        <v>42</v>
      </c>
      <c r="E44" s="193"/>
      <c r="F44" s="5"/>
      <c r="G44" s="5"/>
      <c r="H44" s="5"/>
      <c r="I44" s="5"/>
      <c r="J44" s="5"/>
      <c r="K44" s="5"/>
    </row>
    <row r="45" spans="2:11" ht="15" thickBot="1">
      <c r="B45" s="1435"/>
      <c r="C45" s="73"/>
      <c r="D45" s="32" t="s">
        <v>43</v>
      </c>
      <c r="E45" s="193"/>
      <c r="F45" s="5"/>
      <c r="G45" s="5"/>
      <c r="H45" s="5"/>
      <c r="I45" s="5"/>
      <c r="J45" s="5"/>
      <c r="K45" s="5"/>
    </row>
    <row r="46" spans="2:11" ht="15" thickBot="1">
      <c r="B46" s="1436"/>
      <c r="C46" s="2"/>
      <c r="D46" s="32" t="s">
        <v>44</v>
      </c>
      <c r="E46" s="193"/>
      <c r="F46" s="5"/>
      <c r="G46" s="5"/>
      <c r="H46" s="5"/>
      <c r="I46" s="5"/>
      <c r="J46" s="5"/>
      <c r="K46" s="5"/>
    </row>
    <row r="47" spans="2:11" ht="15" thickBot="1">
      <c r="B47" s="1"/>
      <c r="C47" s="64"/>
      <c r="D47" s="5"/>
      <c r="E47" s="5"/>
      <c r="F47" s="5"/>
      <c r="G47" s="5"/>
      <c r="H47" s="5"/>
      <c r="I47" s="5"/>
      <c r="J47" s="5"/>
      <c r="K47" s="5"/>
    </row>
    <row r="48" spans="2:11" ht="15" customHeight="1" thickBot="1">
      <c r="B48" s="97" t="s">
        <v>48</v>
      </c>
      <c r="C48" s="98"/>
      <c r="D48" s="98"/>
      <c r="E48" s="99"/>
      <c r="G48" s="5"/>
      <c r="H48" s="5"/>
      <c r="I48" s="5"/>
      <c r="J48" s="5"/>
      <c r="K48" s="5"/>
    </row>
    <row r="49" spans="2:11" ht="24.6" thickBot="1">
      <c r="B49" s="37" t="s">
        <v>49</v>
      </c>
      <c r="C49" s="32" t="s">
        <v>50</v>
      </c>
      <c r="D49" s="32" t="s">
        <v>51</v>
      </c>
      <c r="E49" s="32" t="s">
        <v>52</v>
      </c>
      <c r="F49" s="5"/>
      <c r="G49" s="5"/>
      <c r="H49" s="5"/>
      <c r="I49" s="5"/>
      <c r="J49" s="5"/>
    </row>
    <row r="50" spans="2:11" ht="60.6" thickBot="1">
      <c r="B50" s="39">
        <v>42401</v>
      </c>
      <c r="C50" s="32">
        <v>0.01</v>
      </c>
      <c r="D50" s="40" t="s">
        <v>346</v>
      </c>
      <c r="E50" s="32"/>
      <c r="F50" s="5"/>
      <c r="G50" s="5"/>
      <c r="H50" s="5"/>
      <c r="I50" s="5"/>
      <c r="J50" s="5"/>
    </row>
    <row r="51" spans="2:11" ht="15" thickBot="1">
      <c r="B51" s="3"/>
      <c r="C51" s="74"/>
      <c r="D51" s="5"/>
      <c r="E51" s="5"/>
      <c r="F51" s="5"/>
      <c r="G51" s="5"/>
      <c r="H51" s="5"/>
      <c r="I51" s="5"/>
      <c r="J51" s="5"/>
      <c r="K51" s="5"/>
    </row>
    <row r="52" spans="2:11" ht="15" thickBot="1">
      <c r="B52" s="4" t="s">
        <v>54</v>
      </c>
      <c r="C52" s="75"/>
      <c r="D52" s="5"/>
      <c r="E52" s="5"/>
      <c r="F52" s="5"/>
      <c r="G52" s="5"/>
      <c r="H52" s="5"/>
      <c r="I52" s="5"/>
      <c r="J52" s="5"/>
      <c r="K52" s="5"/>
    </row>
    <row r="53" spans="2:11">
      <c r="B53" s="1513"/>
      <c r="C53" s="1514"/>
      <c r="D53" s="1514"/>
      <c r="E53" s="1514"/>
      <c r="F53" s="5"/>
      <c r="G53" s="5"/>
      <c r="H53" s="5"/>
      <c r="I53" s="5"/>
      <c r="J53" s="5"/>
      <c r="K53" s="5"/>
    </row>
    <row r="54" spans="2:11">
      <c r="B54" s="1513"/>
      <c r="C54" s="1514"/>
      <c r="D54" s="1514"/>
      <c r="E54" s="1514"/>
      <c r="F54" s="5"/>
      <c r="G54" s="5"/>
      <c r="H54" s="5"/>
      <c r="I54" s="5"/>
      <c r="J54" s="5"/>
      <c r="K54" s="5"/>
    </row>
    <row r="55" spans="2:11" ht="15" thickBot="1">
      <c r="B55" s="5"/>
      <c r="D55" s="5"/>
      <c r="E55" s="5"/>
      <c r="F55" s="5"/>
      <c r="G55" s="5"/>
      <c r="H55" s="5"/>
      <c r="I55" s="5"/>
      <c r="J55" s="5"/>
      <c r="K55" s="5"/>
    </row>
    <row r="56" spans="2:11" ht="24.6" thickBot="1">
      <c r="B56" s="41" t="s">
        <v>55</v>
      </c>
      <c r="C56" s="76"/>
      <c r="D56" s="5"/>
      <c r="E56" s="5"/>
      <c r="F56" s="5"/>
      <c r="G56" s="5"/>
      <c r="H56" s="5"/>
      <c r="I56" s="5"/>
      <c r="J56" s="5"/>
      <c r="K56" s="5"/>
    </row>
    <row r="57" spans="2:11" ht="15" thickBot="1">
      <c r="B57" s="29"/>
      <c r="C57" s="67"/>
      <c r="D57" s="5"/>
      <c r="E57" s="5"/>
      <c r="F57" s="5"/>
      <c r="G57" s="5"/>
      <c r="H57" s="5"/>
      <c r="I57" s="5"/>
      <c r="J57" s="5"/>
      <c r="K57" s="5"/>
    </row>
    <row r="58" spans="2:11" ht="48.6" thickBot="1">
      <c r="B58" s="42" t="s">
        <v>56</v>
      </c>
      <c r="C58" s="77"/>
      <c r="D58" s="34" t="s">
        <v>314</v>
      </c>
      <c r="E58" s="5"/>
      <c r="F58" s="5"/>
      <c r="G58" s="5"/>
      <c r="H58" s="5"/>
      <c r="I58" s="5"/>
      <c r="J58" s="5"/>
      <c r="K58" s="5"/>
    </row>
    <row r="59" spans="2:11">
      <c r="B59" s="1434" t="s">
        <v>58</v>
      </c>
      <c r="C59" s="73"/>
      <c r="D59" s="43" t="s">
        <v>59</v>
      </c>
      <c r="E59" s="5"/>
      <c r="F59" s="5"/>
      <c r="G59" s="5"/>
      <c r="H59" s="5"/>
      <c r="I59" s="5"/>
      <c r="J59" s="5"/>
      <c r="K59" s="5"/>
    </row>
    <row r="60" spans="2:11" ht="48">
      <c r="B60" s="1435"/>
      <c r="C60" s="73"/>
      <c r="D60" s="36" t="s">
        <v>315</v>
      </c>
      <c r="E60" s="5"/>
      <c r="F60" s="5"/>
      <c r="G60" s="5"/>
      <c r="H60" s="5"/>
      <c r="I60" s="5"/>
      <c r="J60" s="5"/>
      <c r="K60" s="5"/>
    </row>
    <row r="61" spans="2:11">
      <c r="B61" s="1435"/>
      <c r="C61" s="73"/>
      <c r="D61" s="43" t="s">
        <v>316</v>
      </c>
      <c r="E61" s="5"/>
      <c r="F61" s="5"/>
      <c r="G61" s="5"/>
      <c r="H61" s="5"/>
      <c r="I61" s="5"/>
      <c r="J61" s="5"/>
      <c r="K61" s="5"/>
    </row>
    <row r="62" spans="2:11">
      <c r="B62" s="1435"/>
      <c r="C62" s="73"/>
      <c r="D62" s="36" t="s">
        <v>317</v>
      </c>
      <c r="E62" s="5"/>
      <c r="F62" s="5"/>
      <c r="G62" s="5"/>
      <c r="H62" s="5"/>
      <c r="I62" s="5"/>
      <c r="J62" s="5"/>
      <c r="K62" s="5"/>
    </row>
    <row r="63" spans="2:11" ht="48">
      <c r="B63" s="1435"/>
      <c r="C63" s="73"/>
      <c r="D63" s="36" t="s">
        <v>318</v>
      </c>
      <c r="E63" s="5"/>
      <c r="F63" s="5"/>
      <c r="G63" s="5"/>
      <c r="H63" s="5"/>
      <c r="I63" s="5"/>
      <c r="J63" s="5"/>
      <c r="K63" s="5"/>
    </row>
    <row r="64" spans="2:11" ht="192">
      <c r="B64" s="1435"/>
      <c r="C64" s="73"/>
      <c r="D64" s="36" t="s">
        <v>319</v>
      </c>
      <c r="E64" s="5"/>
      <c r="F64" s="5"/>
      <c r="G64" s="5"/>
      <c r="H64" s="5"/>
      <c r="I64" s="5"/>
      <c r="J64" s="5"/>
      <c r="K64" s="5"/>
    </row>
    <row r="65" spans="2:11">
      <c r="B65" s="1435"/>
      <c r="C65" s="73"/>
      <c r="D65" s="43" t="s">
        <v>287</v>
      </c>
      <c r="E65" s="5"/>
      <c r="F65" s="5"/>
      <c r="G65" s="5"/>
      <c r="H65" s="5"/>
      <c r="I65" s="5"/>
      <c r="J65" s="5"/>
      <c r="K65" s="5"/>
    </row>
    <row r="66" spans="2:11" ht="15" thickBot="1">
      <c r="B66" s="1436"/>
      <c r="C66" s="2"/>
      <c r="D66" s="32" t="s">
        <v>320</v>
      </c>
      <c r="E66" s="5"/>
      <c r="F66" s="5"/>
      <c r="G66" s="5"/>
      <c r="H66" s="5"/>
      <c r="I66" s="5"/>
      <c r="J66" s="5"/>
      <c r="K66" s="5"/>
    </row>
    <row r="67" spans="2:11">
      <c r="B67" s="1434" t="s">
        <v>71</v>
      </c>
      <c r="C67" s="78"/>
      <c r="D67" s="1434"/>
      <c r="E67" s="5"/>
      <c r="F67" s="5"/>
      <c r="G67" s="5"/>
      <c r="H67" s="5"/>
      <c r="I67" s="5"/>
      <c r="J67" s="5"/>
      <c r="K67" s="5"/>
    </row>
    <row r="68" spans="2:11" ht="15" thickBot="1">
      <c r="B68" s="1436"/>
      <c r="C68" s="79"/>
      <c r="D68" s="1436"/>
      <c r="E68" s="5"/>
      <c r="F68" s="5"/>
      <c r="G68" s="5"/>
      <c r="H68" s="5"/>
      <c r="I68" s="5"/>
      <c r="J68" s="5"/>
      <c r="K68" s="5"/>
    </row>
    <row r="69" spans="2:11" ht="132">
      <c r="B69" s="1434" t="s">
        <v>72</v>
      </c>
      <c r="C69" s="73"/>
      <c r="D69" s="36" t="s">
        <v>321</v>
      </c>
      <c r="E69" s="5"/>
      <c r="F69" s="5"/>
      <c r="G69" s="5"/>
      <c r="H69" s="5"/>
      <c r="I69" s="5"/>
      <c r="J69" s="5"/>
      <c r="K69" s="5"/>
    </row>
    <row r="70" spans="2:11" ht="84">
      <c r="B70" s="1435"/>
      <c r="C70" s="73"/>
      <c r="D70" s="36" t="s">
        <v>322</v>
      </c>
      <c r="E70" s="5"/>
      <c r="F70" s="5"/>
      <c r="G70" s="5"/>
      <c r="H70" s="5"/>
      <c r="I70" s="5"/>
      <c r="J70" s="5"/>
      <c r="K70" s="5"/>
    </row>
    <row r="71" spans="2:11" ht="96">
      <c r="B71" s="1435"/>
      <c r="C71" s="73"/>
      <c r="D71" s="36" t="s">
        <v>323</v>
      </c>
      <c r="E71" s="5"/>
      <c r="F71" s="5"/>
      <c r="G71" s="5"/>
      <c r="H71" s="5"/>
      <c r="I71" s="5"/>
      <c r="J71" s="5"/>
      <c r="K71" s="5"/>
    </row>
    <row r="72" spans="2:11" ht="60">
      <c r="B72" s="1435"/>
      <c r="C72" s="73"/>
      <c r="D72" s="36" t="s">
        <v>324</v>
      </c>
      <c r="E72" s="5"/>
      <c r="F72" s="5"/>
      <c r="G72" s="5"/>
      <c r="H72" s="5"/>
      <c r="I72" s="5"/>
      <c r="J72" s="5"/>
      <c r="K72" s="5"/>
    </row>
    <row r="73" spans="2:11" ht="48">
      <c r="B73" s="1435"/>
      <c r="C73" s="73"/>
      <c r="D73" s="36" t="s">
        <v>325</v>
      </c>
      <c r="E73" s="5"/>
      <c r="F73" s="5"/>
      <c r="G73" s="5"/>
      <c r="H73" s="5"/>
      <c r="I73" s="5"/>
      <c r="J73" s="5"/>
      <c r="K73" s="5"/>
    </row>
    <row r="74" spans="2:11" ht="144">
      <c r="B74" s="1435"/>
      <c r="C74" s="73"/>
      <c r="D74" s="36" t="s">
        <v>326</v>
      </c>
      <c r="E74" s="5"/>
      <c r="F74" s="5"/>
      <c r="G74" s="5"/>
      <c r="H74" s="5"/>
      <c r="I74" s="5"/>
      <c r="J74" s="5"/>
      <c r="K74" s="5"/>
    </row>
    <row r="75" spans="2:11" ht="72.599999999999994" thickBot="1">
      <c r="B75" s="1436"/>
      <c r="C75" s="2"/>
      <c r="D75" s="32" t="s">
        <v>327</v>
      </c>
      <c r="E75" s="5"/>
      <c r="F75" s="5"/>
      <c r="G75" s="5"/>
      <c r="H75" s="5"/>
      <c r="I75" s="5"/>
      <c r="J75" s="5"/>
      <c r="K75" s="5"/>
    </row>
    <row r="76" spans="2:11" ht="24">
      <c r="B76" s="1434" t="s">
        <v>89</v>
      </c>
      <c r="C76" s="73"/>
      <c r="D76" s="43" t="s">
        <v>328</v>
      </c>
      <c r="E76" s="5"/>
      <c r="F76" s="5"/>
      <c r="G76" s="5"/>
      <c r="H76" s="5"/>
      <c r="I76" s="5"/>
      <c r="J76" s="5"/>
      <c r="K76" s="5"/>
    </row>
    <row r="77" spans="2:11">
      <c r="B77" s="1435"/>
      <c r="C77" s="73"/>
      <c r="D77" s="13"/>
      <c r="E77" s="5"/>
      <c r="F77" s="5"/>
      <c r="G77" s="5"/>
      <c r="H77" s="5"/>
      <c r="I77" s="5"/>
      <c r="J77" s="5"/>
      <c r="K77" s="5"/>
    </row>
    <row r="78" spans="2:11">
      <c r="B78" s="1435"/>
      <c r="C78" s="73"/>
      <c r="D78" s="36" t="s">
        <v>90</v>
      </c>
      <c r="E78" s="5"/>
      <c r="F78" s="5"/>
      <c r="G78" s="5"/>
      <c r="H78" s="5"/>
      <c r="I78" s="5"/>
      <c r="J78" s="5"/>
      <c r="K78" s="5"/>
    </row>
    <row r="79" spans="2:11" ht="26.4">
      <c r="B79" s="1435"/>
      <c r="C79" s="73"/>
      <c r="D79" s="36" t="s">
        <v>329</v>
      </c>
      <c r="E79" s="5"/>
      <c r="F79" s="5"/>
      <c r="G79" s="5"/>
      <c r="H79" s="5"/>
      <c r="I79" s="5"/>
      <c r="J79" s="5"/>
      <c r="K79" s="5"/>
    </row>
    <row r="80" spans="2:11" ht="26.4">
      <c r="B80" s="1435"/>
      <c r="C80" s="73"/>
      <c r="D80" s="36" t="s">
        <v>330</v>
      </c>
      <c r="E80" s="5"/>
      <c r="F80" s="5"/>
      <c r="G80" s="5"/>
      <c r="H80" s="5"/>
      <c r="I80" s="5"/>
      <c r="J80" s="5"/>
      <c r="K80" s="5"/>
    </row>
    <row r="81" spans="2:11" ht="26.4">
      <c r="B81" s="1435"/>
      <c r="C81" s="73"/>
      <c r="D81" s="36" t="s">
        <v>331</v>
      </c>
      <c r="E81" s="5"/>
      <c r="F81" s="5"/>
      <c r="G81" s="5"/>
      <c r="H81" s="5"/>
      <c r="I81" s="5"/>
      <c r="J81" s="5"/>
      <c r="K81" s="5"/>
    </row>
    <row r="82" spans="2:11" ht="60">
      <c r="B82" s="1435"/>
      <c r="C82" s="73"/>
      <c r="D82" s="44" t="s">
        <v>234</v>
      </c>
      <c r="E82" s="5"/>
      <c r="F82" s="5"/>
      <c r="G82" s="5"/>
      <c r="H82" s="5"/>
      <c r="I82" s="5"/>
      <c r="J82" s="5"/>
      <c r="K82" s="5"/>
    </row>
    <row r="83" spans="2:11">
      <c r="B83" s="1435"/>
      <c r="C83" s="73"/>
      <c r="D83" s="43" t="s">
        <v>245</v>
      </c>
      <c r="E83" s="5"/>
      <c r="F83" s="5"/>
      <c r="G83" s="5"/>
      <c r="H83" s="5"/>
      <c r="I83" s="5"/>
      <c r="J83" s="5"/>
      <c r="K83" s="5"/>
    </row>
    <row r="84" spans="2:11" ht="24">
      <c r="B84" s="1435"/>
      <c r="C84" s="73"/>
      <c r="D84" s="43" t="s">
        <v>332</v>
      </c>
      <c r="E84" s="5"/>
      <c r="F84" s="5"/>
      <c r="G84" s="5"/>
      <c r="H84" s="5"/>
      <c r="I84" s="5"/>
      <c r="J84" s="5"/>
      <c r="K84" s="5"/>
    </row>
    <row r="85" spans="2:11">
      <c r="B85" s="1435"/>
      <c r="C85" s="73"/>
      <c r="D85" s="13"/>
      <c r="E85" s="5"/>
      <c r="F85" s="5"/>
      <c r="G85" s="5"/>
      <c r="H85" s="5"/>
      <c r="I85" s="5"/>
      <c r="J85" s="5"/>
      <c r="K85" s="5"/>
    </row>
    <row r="86" spans="2:11">
      <c r="B86" s="1435"/>
      <c r="C86" s="73"/>
      <c r="D86" s="36" t="s">
        <v>90</v>
      </c>
      <c r="E86" s="5"/>
      <c r="F86" s="5"/>
      <c r="G86" s="5"/>
      <c r="H86" s="5"/>
      <c r="I86" s="5"/>
      <c r="J86" s="5"/>
      <c r="K86" s="5"/>
    </row>
    <row r="87" spans="2:11" ht="26.4">
      <c r="B87" s="1435"/>
      <c r="C87" s="73"/>
      <c r="D87" s="36" t="s">
        <v>333</v>
      </c>
      <c r="E87" s="5"/>
      <c r="F87" s="5"/>
      <c r="G87" s="5"/>
      <c r="H87" s="5"/>
      <c r="I87" s="5"/>
      <c r="J87" s="5"/>
      <c r="K87" s="5"/>
    </row>
    <row r="88" spans="2:11" ht="51" thickBot="1">
      <c r="B88" s="1436"/>
      <c r="C88" s="2"/>
      <c r="D88" s="32" t="s">
        <v>334</v>
      </c>
      <c r="E88" s="5"/>
      <c r="F88" s="5"/>
      <c r="G88" s="5"/>
      <c r="H88" s="5"/>
      <c r="I88" s="5"/>
      <c r="J88" s="5"/>
      <c r="K88" s="5"/>
    </row>
  </sheetData>
  <mergeCells count="28">
    <mergeCell ref="B10:D10"/>
    <mergeCell ref="F10:S10"/>
    <mergeCell ref="F11:S11"/>
    <mergeCell ref="E12:R12"/>
    <mergeCell ref="E13:R13"/>
    <mergeCell ref="B59:B66"/>
    <mergeCell ref="B67:B68"/>
    <mergeCell ref="D67:D68"/>
    <mergeCell ref="B69:B75"/>
    <mergeCell ref="B76:B88"/>
    <mergeCell ref="B53:E54"/>
    <mergeCell ref="D15:K15"/>
    <mergeCell ref="D20:K20"/>
    <mergeCell ref="D21:K21"/>
    <mergeCell ref="D22:K22"/>
    <mergeCell ref="B15:B19"/>
    <mergeCell ref="B40:B46"/>
    <mergeCell ref="D23:K23"/>
    <mergeCell ref="D27:K27"/>
    <mergeCell ref="D28:K28"/>
    <mergeCell ref="B30:E30"/>
    <mergeCell ref="B31:B37"/>
    <mergeCell ref="B39:E39"/>
    <mergeCell ref="A1:P1"/>
    <mergeCell ref="A2:P2"/>
    <mergeCell ref="A3:P3"/>
    <mergeCell ref="A4:D4"/>
    <mergeCell ref="A5:P5"/>
  </mergeCells>
  <phoneticPr fontId="43" type="noConversion"/>
  <conditionalFormatting sqref="E12:R12">
    <cfRule type="expression" dxfId="95" priority="3">
      <formula>E11="SI SE REPORTA"</formula>
    </cfRule>
  </conditionalFormatting>
  <conditionalFormatting sqref="F10">
    <cfRule type="notContainsBlanks" dxfId="94" priority="6">
      <formula>LEN(TRIM(F10))&gt;0</formula>
    </cfRule>
  </conditionalFormatting>
  <conditionalFormatting sqref="F11:S11">
    <cfRule type="expression" dxfId="93" priority="1">
      <formula>E11="NO SE REPORTA"</formula>
    </cfRule>
    <cfRule type="expression" dxfId="92" priority="2">
      <formula>E10="NO APLICA"</formula>
    </cfRule>
  </conditionalFormatting>
  <dataValidations count="6">
    <dataValidation type="whole" operator="greaterThanOrEqual" allowBlank="1" showInputMessage="1" showErrorMessage="1" errorTitle="ERROR" error="Valor en HECTAREAS (sin decimales)_x000a_" sqref="E17:H18 F25" xr:uid="{00000000-0002-0000-0C00-000001000000}">
      <formula1>0</formula1>
    </dataValidation>
    <dataValidation allowBlank="1" showInputMessage="1" showErrorMessage="1" promptTitle="OJO" prompt="NO TOCAR" sqref="F26:J26" xr:uid="{00000000-0002-0000-0C00-000002000000}"/>
    <dataValidation allowBlank="1" showInputMessage="1" showErrorMessage="1" sqref="E19:H19" xr:uid="{00000000-0002-0000-0C00-000003000000}"/>
    <dataValidation type="list" allowBlank="1" showInputMessage="1" showErrorMessage="1" sqref="E11" xr:uid="{00000000-0002-0000-0C00-000004000000}">
      <formula1>REPORTE</formula1>
    </dataValidation>
    <dataValidation type="list" allowBlank="1" showInputMessage="1" showErrorMessage="1" sqref="E10" xr:uid="{00000000-0002-0000-0C00-000005000000}">
      <formula1>SI</formula1>
    </dataValidation>
    <dataValidation type="whole" operator="greaterThanOrEqual" allowBlank="1" showInputMessage="1" showErrorMessage="1" errorTitle="ERROR" error="Valor en PESOS (sin centavos)" sqref="G25:J25" xr:uid="{00000000-0002-0000-0C00-000000000000}">
      <formula1>0</formula1>
    </dataValidation>
  </dataValidations>
  <hyperlinks>
    <hyperlink ref="B9" location="'ANEXO 3'!A1" display="VOLVER AL INDICE" xr:uid="{00000000-0004-0000-0C00-000000000000}"/>
    <hyperlink ref="E35" r:id="rId1" xr:uid="{00000000-0004-0000-0C00-000001000000}"/>
  </hyperlinks>
  <pageMargins left="0.25" right="0.25" top="0.75" bottom="0.75" header="0.3" footer="0.3"/>
  <pageSetup paperSize="178"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9">
    <tabColor rgb="FF92D050"/>
  </sheetPr>
  <dimension ref="A1:U143"/>
  <sheetViews>
    <sheetView showGridLines="0" topLeftCell="A121" zoomScale="98" zoomScaleNormal="98" workbookViewId="0">
      <selection activeCell="G38" sqref="G38:H38"/>
    </sheetView>
  </sheetViews>
  <sheetFormatPr baseColWidth="10" defaultRowHeight="14.4"/>
  <cols>
    <col min="1" max="1" width="1.88671875" customWidth="1"/>
    <col min="2" max="2" width="12.88671875" customWidth="1"/>
    <col min="3" max="3" width="5" style="66" bestFit="1" customWidth="1"/>
    <col min="4" max="4" width="34.88671875" customWidth="1"/>
    <col min="5" max="5" width="30" customWidth="1"/>
    <col min="6" max="6" width="15.88671875" customWidth="1"/>
    <col min="10" max="10" width="13.4414062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347</v>
      </c>
      <c r="B5" s="1402"/>
      <c r="C5" s="1402"/>
      <c r="D5" s="1402"/>
      <c r="E5" s="1402"/>
      <c r="F5" s="1402"/>
      <c r="G5" s="1402"/>
      <c r="H5" s="1402"/>
      <c r="I5" s="1402"/>
      <c r="J5" s="1402"/>
      <c r="K5" s="1402"/>
      <c r="L5" s="1402"/>
      <c r="M5" s="1402"/>
      <c r="N5" s="1402"/>
      <c r="O5" s="1402"/>
      <c r="P5" s="1403"/>
    </row>
    <row r="6" spans="1:21">
      <c r="B6" s="182"/>
      <c r="C6" s="183"/>
      <c r="D6" s="5"/>
      <c r="E6" s="5"/>
      <c r="F6" s="5"/>
      <c r="G6" s="5"/>
      <c r="H6" s="5"/>
      <c r="I6" s="5"/>
      <c r="J6" s="5"/>
      <c r="K6" s="5"/>
    </row>
    <row r="7" spans="1:21">
      <c r="B7" s="1" t="s">
        <v>1</v>
      </c>
      <c r="C7" s="64"/>
      <c r="D7" s="5"/>
      <c r="E7" s="62"/>
      <c r="F7" s="5" t="s">
        <v>127</v>
      </c>
      <c r="G7" s="5"/>
      <c r="H7" s="5"/>
      <c r="I7" s="5"/>
      <c r="J7" s="5"/>
      <c r="K7" s="5"/>
    </row>
    <row r="8" spans="1:21" ht="15" thickBot="1">
      <c r="B8" s="63"/>
      <c r="C8" s="65"/>
      <c r="D8" s="5"/>
      <c r="E8" s="14"/>
      <c r="F8" s="5" t="s">
        <v>128</v>
      </c>
      <c r="G8" s="5"/>
      <c r="H8" s="5"/>
      <c r="I8" s="5"/>
      <c r="J8" s="5"/>
      <c r="K8" s="5"/>
    </row>
    <row r="9" spans="1:21" ht="15" thickBot="1">
      <c r="B9" s="144" t="s">
        <v>1178</v>
      </c>
      <c r="C9" s="564">
        <v>2023</v>
      </c>
      <c r="D9" s="170">
        <f>IF(E11="NO APLICA","NO APLICA",IF(E12="NO SE REPORTA","SIN INFORMACION",+H84))</f>
        <v>0</v>
      </c>
      <c r="E9" s="167"/>
      <c r="F9" s="5" t="s">
        <v>129</v>
      </c>
      <c r="G9" s="5"/>
      <c r="H9" s="5"/>
      <c r="I9" s="5"/>
      <c r="J9" s="5"/>
      <c r="K9" s="5"/>
    </row>
    <row r="10" spans="1:21">
      <c r="B10" s="298" t="s">
        <v>1179</v>
      </c>
      <c r="C10" s="64"/>
      <c r="D10" s="5"/>
      <c r="E10" s="5"/>
      <c r="F10" s="5"/>
      <c r="G10" s="5"/>
      <c r="H10" s="5"/>
      <c r="I10" s="5"/>
      <c r="J10" s="5"/>
      <c r="K10" s="5"/>
    </row>
    <row r="11" spans="1:21">
      <c r="B11" s="1404" t="s">
        <v>1234</v>
      </c>
      <c r="C11" s="1404"/>
      <c r="D11" s="1404"/>
      <c r="E11" s="301" t="s">
        <v>1231</v>
      </c>
      <c r="F11" s="1411"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1412"/>
      <c r="H11" s="1412"/>
      <c r="I11" s="1412"/>
      <c r="J11" s="1412"/>
      <c r="K11" s="1412"/>
      <c r="L11" s="1412"/>
      <c r="M11" s="1412"/>
      <c r="N11" s="1412"/>
      <c r="O11" s="1412"/>
      <c r="P11" s="1412"/>
      <c r="Q11" s="1412"/>
      <c r="R11" s="1412"/>
      <c r="S11" s="1412"/>
      <c r="T11" s="5"/>
      <c r="U11" s="5"/>
    </row>
    <row r="12" spans="1:21" ht="14.4" customHeight="1">
      <c r="B12" s="300"/>
      <c r="C12" s="67"/>
      <c r="D12" s="144" t="str">
        <f>IF(E11="SI APLICA","¿El indicador no se reporta por limitaciones de información disponible? ","")</f>
        <v xml:space="preserve">¿El indicador no se reporta por limitaciones de información disponible? </v>
      </c>
      <c r="E12" s="302" t="s">
        <v>1233</v>
      </c>
      <c r="F12" s="1405" t="s">
        <v>1824</v>
      </c>
      <c r="G12" s="1406"/>
      <c r="H12" s="1406"/>
      <c r="I12" s="1406"/>
      <c r="J12" s="1406"/>
      <c r="K12" s="1406"/>
      <c r="L12" s="1406"/>
      <c r="M12" s="1406"/>
      <c r="N12" s="1406"/>
      <c r="O12" s="1406"/>
      <c r="P12" s="1406"/>
      <c r="Q12" s="1406"/>
      <c r="R12" s="1406"/>
      <c r="S12" s="1406"/>
    </row>
    <row r="13" spans="1:21" ht="49.95" customHeight="1" thickBot="1">
      <c r="B13" s="298"/>
      <c r="C13" s="67"/>
      <c r="D13" s="144" t="str">
        <f>IF(E12="SI SE REPORTA","¿Qué programas o proyectos del Plan de Acción están asociados al indicador? ","")</f>
        <v xml:space="preserve">¿Qué programas o proyectos del Plan de Acción están asociados al indicador? </v>
      </c>
      <c r="E13" s="1407" t="s">
        <v>2678</v>
      </c>
      <c r="F13" s="1407"/>
      <c r="G13" s="1407"/>
      <c r="H13" s="1407"/>
      <c r="I13" s="1407"/>
      <c r="J13" s="1407"/>
      <c r="K13" s="1407"/>
      <c r="L13" s="1407"/>
      <c r="M13" s="1407"/>
      <c r="N13" s="1407"/>
      <c r="O13" s="1407"/>
      <c r="P13" s="1407"/>
      <c r="Q13" s="1407"/>
      <c r="R13" s="1407"/>
    </row>
    <row r="14" spans="1:21" ht="90.6" customHeight="1" thickBot="1">
      <c r="B14" s="298"/>
      <c r="C14" s="67"/>
      <c r="D14" s="144" t="s">
        <v>1236</v>
      </c>
      <c r="E14" s="1553" t="s">
        <v>2677</v>
      </c>
      <c r="F14" s="1554"/>
      <c r="G14" s="1554"/>
      <c r="H14" s="1554"/>
      <c r="I14" s="1554"/>
      <c r="J14" s="1554"/>
      <c r="K14" s="1554"/>
      <c r="L14" s="1554"/>
      <c r="M14" s="1554"/>
      <c r="N14" s="1554"/>
      <c r="O14" s="1554"/>
      <c r="P14" s="1554"/>
      <c r="Q14" s="1554"/>
      <c r="R14" s="1555"/>
    </row>
    <row r="15" spans="1:21" ht="116.25" customHeight="1" thickBot="1">
      <c r="B15" s="1434" t="s">
        <v>2</v>
      </c>
      <c r="C15" s="68"/>
      <c r="D15" s="860" t="s">
        <v>335</v>
      </c>
      <c r="E15" s="1271" t="s">
        <v>1953</v>
      </c>
      <c r="F15" s="107"/>
      <c r="G15" s="107"/>
      <c r="H15" s="107"/>
      <c r="I15" s="107"/>
      <c r="J15" s="36"/>
      <c r="K15" s="5"/>
    </row>
    <row r="16" spans="1:21">
      <c r="B16" s="1435"/>
      <c r="C16" s="1537" t="s">
        <v>18</v>
      </c>
      <c r="D16" s="1548" t="s">
        <v>149</v>
      </c>
      <c r="E16" s="1560" t="s">
        <v>363</v>
      </c>
      <c r="F16" s="1556" t="s">
        <v>1169</v>
      </c>
      <c r="G16" s="1562" t="s">
        <v>150</v>
      </c>
      <c r="H16" s="5"/>
      <c r="J16" s="17"/>
      <c r="K16" s="5"/>
    </row>
    <row r="17" spans="2:11" ht="24" customHeight="1" thickBot="1">
      <c r="B17" s="1435"/>
      <c r="C17" s="1538"/>
      <c r="D17" s="1549"/>
      <c r="E17" s="1561"/>
      <c r="F17" s="1557"/>
      <c r="G17" s="1561"/>
      <c r="H17" s="5"/>
      <c r="J17" s="17"/>
      <c r="K17" s="5"/>
    </row>
    <row r="18" spans="2:11" ht="24.6" thickBot="1">
      <c r="B18" s="1435"/>
      <c r="C18" s="2" t="s">
        <v>151</v>
      </c>
      <c r="D18" s="32" t="s">
        <v>1656</v>
      </c>
      <c r="E18" s="513">
        <v>5</v>
      </c>
      <c r="F18" s="514">
        <v>0</v>
      </c>
      <c r="G18" s="111">
        <f t="shared" ref="G18:G23" si="0">+E18+F18</f>
        <v>5</v>
      </c>
      <c r="H18" s="5"/>
      <c r="J18" s="17"/>
      <c r="K18" s="5"/>
    </row>
    <row r="19" spans="2:11" ht="24.6" thickBot="1">
      <c r="B19" s="1435"/>
      <c r="C19" s="2" t="s">
        <v>153</v>
      </c>
      <c r="D19" s="32" t="s">
        <v>1657</v>
      </c>
      <c r="E19" s="510">
        <v>7356</v>
      </c>
      <c r="F19" s="515">
        <v>0</v>
      </c>
      <c r="G19" s="111">
        <f t="shared" si="0"/>
        <v>7356</v>
      </c>
      <c r="H19" s="5"/>
      <c r="J19" s="17"/>
      <c r="K19" s="5"/>
    </row>
    <row r="20" spans="2:11" ht="36.6" thickBot="1">
      <c r="B20" s="1435"/>
      <c r="C20" s="2" t="s">
        <v>155</v>
      </c>
      <c r="D20" s="32" t="s">
        <v>364</v>
      </c>
      <c r="E20" s="510">
        <v>0</v>
      </c>
      <c r="F20" s="515">
        <v>0</v>
      </c>
      <c r="G20" s="111">
        <f t="shared" si="0"/>
        <v>0</v>
      </c>
      <c r="H20" s="5"/>
      <c r="J20" s="17"/>
      <c r="K20" s="5"/>
    </row>
    <row r="21" spans="2:11" ht="24.6" thickBot="1">
      <c r="B21" s="1435"/>
      <c r="C21" s="2" t="s">
        <v>257</v>
      </c>
      <c r="D21" s="280" t="s">
        <v>1195</v>
      </c>
      <c r="E21" s="510">
        <v>1300</v>
      </c>
      <c r="F21" s="515">
        <v>0</v>
      </c>
      <c r="G21" s="557">
        <f t="shared" si="0"/>
        <v>1300</v>
      </c>
      <c r="H21" s="5"/>
      <c r="J21" s="17"/>
      <c r="K21" s="5"/>
    </row>
    <row r="22" spans="2:11" ht="36.6" thickBot="1">
      <c r="B22" s="1435"/>
      <c r="C22" s="2" t="s">
        <v>259</v>
      </c>
      <c r="D22" s="32" t="s">
        <v>1658</v>
      </c>
      <c r="E22" s="513">
        <v>1</v>
      </c>
      <c r="F22" s="514">
        <v>0</v>
      </c>
      <c r="G22" s="553">
        <f t="shared" si="0"/>
        <v>1</v>
      </c>
      <c r="H22" s="5"/>
      <c r="J22" s="17"/>
      <c r="K22" s="5"/>
    </row>
    <row r="23" spans="2:11" ht="36.6" thickBot="1">
      <c r="B23" s="1435"/>
      <c r="C23" s="2" t="s">
        <v>261</v>
      </c>
      <c r="D23" s="32" t="s">
        <v>1659</v>
      </c>
      <c r="E23" s="557">
        <f>+E20+E21</f>
        <v>1300</v>
      </c>
      <c r="F23" s="557">
        <f>+F20+F21</f>
        <v>0</v>
      </c>
      <c r="G23" s="557">
        <f t="shared" si="0"/>
        <v>1300</v>
      </c>
      <c r="H23" s="5"/>
      <c r="J23" s="17"/>
      <c r="K23" s="5"/>
    </row>
    <row r="24" spans="2:11" ht="24" customHeight="1">
      <c r="B24" s="1435"/>
      <c r="C24" s="71"/>
      <c r="D24" s="1558" t="s">
        <v>365</v>
      </c>
      <c r="E24" s="1559"/>
      <c r="F24" s="1559"/>
      <c r="G24" s="1559"/>
      <c r="H24" s="1559"/>
      <c r="I24" s="1559"/>
      <c r="J24" s="17"/>
    </row>
    <row r="25" spans="2:11">
      <c r="B25" s="1435"/>
      <c r="C25" s="71"/>
      <c r="D25" s="224" t="s">
        <v>366</v>
      </c>
      <c r="E25" s="3"/>
      <c r="F25" s="3"/>
      <c r="G25" s="3"/>
      <c r="H25" s="3"/>
      <c r="I25" s="3"/>
      <c r="J25" s="17"/>
    </row>
    <row r="26" spans="2:11" ht="15" thickBot="1">
      <c r="B26" s="1435"/>
      <c r="C26" s="71"/>
      <c r="D26" s="1416" t="s">
        <v>367</v>
      </c>
      <c r="E26" s="1417"/>
      <c r="F26" s="1417"/>
      <c r="G26" s="1417"/>
      <c r="H26" s="1417"/>
      <c r="I26" s="1417"/>
      <c r="J26" s="1418"/>
    </row>
    <row r="27" spans="2:11" ht="15" thickBot="1">
      <c r="B27" s="1435"/>
      <c r="C27" s="73"/>
      <c r="D27" s="30" t="s">
        <v>149</v>
      </c>
      <c r="E27" s="30" t="s">
        <v>19</v>
      </c>
      <c r="F27" s="30" t="s">
        <v>20</v>
      </c>
      <c r="G27" s="30" t="s">
        <v>21</v>
      </c>
      <c r="H27" s="30" t="s">
        <v>22</v>
      </c>
      <c r="I27" s="30" t="s">
        <v>150</v>
      </c>
      <c r="J27" s="17"/>
    </row>
    <row r="28" spans="2:11" ht="15" thickBot="1">
      <c r="B28" s="1435"/>
      <c r="C28" s="73"/>
      <c r="D28" s="31" t="s">
        <v>368</v>
      </c>
      <c r="E28" s="162">
        <v>0</v>
      </c>
      <c r="F28" s="162">
        <v>0</v>
      </c>
      <c r="G28" s="162">
        <v>0</v>
      </c>
      <c r="H28" s="162">
        <v>1</v>
      </c>
      <c r="I28" s="113">
        <f>SUM(E28:H28)</f>
        <v>1</v>
      </c>
      <c r="J28" s="17"/>
    </row>
    <row r="29" spans="2:11" ht="15" thickBot="1">
      <c r="B29" s="1435"/>
      <c r="C29" s="73"/>
      <c r="D29" s="31" t="s">
        <v>369</v>
      </c>
      <c r="E29" s="162">
        <v>0</v>
      </c>
      <c r="F29" s="162">
        <v>0</v>
      </c>
      <c r="G29" s="162">
        <v>0</v>
      </c>
      <c r="H29" s="162">
        <v>0</v>
      </c>
      <c r="I29" s="225"/>
      <c r="J29" s="17"/>
    </row>
    <row r="30" spans="2:11" ht="15" thickBot="1">
      <c r="B30" s="1435"/>
      <c r="C30" s="73"/>
      <c r="D30" s="31" t="s">
        <v>370</v>
      </c>
      <c r="E30" s="162">
        <v>0</v>
      </c>
      <c r="F30" s="162">
        <v>0</v>
      </c>
      <c r="G30" s="162">
        <v>0</v>
      </c>
      <c r="H30" s="162">
        <v>0</v>
      </c>
      <c r="I30" s="225"/>
      <c r="J30" s="17"/>
    </row>
    <row r="31" spans="2:11" ht="15" thickBot="1">
      <c r="B31" s="1435"/>
      <c r="C31" s="73"/>
      <c r="D31" s="31" t="s">
        <v>371</v>
      </c>
      <c r="E31" s="162">
        <v>0</v>
      </c>
      <c r="F31" s="162">
        <v>0</v>
      </c>
      <c r="G31" s="162">
        <v>1</v>
      </c>
      <c r="H31" s="162">
        <v>0</v>
      </c>
      <c r="I31" s="225"/>
      <c r="J31" s="17"/>
    </row>
    <row r="32" spans="2:11" ht="15" thickBot="1">
      <c r="B32" s="1435"/>
      <c r="C32" s="73"/>
      <c r="D32" s="31" t="s">
        <v>372</v>
      </c>
      <c r="E32" s="162">
        <v>0</v>
      </c>
      <c r="F32" s="162">
        <v>0</v>
      </c>
      <c r="G32" s="162">
        <v>0</v>
      </c>
      <c r="H32" s="162">
        <v>1</v>
      </c>
      <c r="I32" s="225"/>
      <c r="J32" s="17"/>
    </row>
    <row r="33" spans="2:10" ht="15" thickBot="1">
      <c r="B33" s="1435"/>
      <c r="C33" s="73"/>
      <c r="D33" s="31" t="s">
        <v>1191</v>
      </c>
      <c r="E33" s="222">
        <v>0</v>
      </c>
      <c r="F33" s="222">
        <v>0</v>
      </c>
      <c r="G33" s="222">
        <v>0</v>
      </c>
      <c r="H33" s="222">
        <v>0</v>
      </c>
      <c r="I33" s="225"/>
      <c r="J33" s="17"/>
    </row>
    <row r="34" spans="2:10" ht="15" thickBot="1">
      <c r="B34" s="1435"/>
      <c r="C34" s="73"/>
      <c r="D34" s="31" t="s">
        <v>150</v>
      </c>
      <c r="E34" s="113">
        <f>SUM(E29:E33)</f>
        <v>0</v>
      </c>
      <c r="F34" s="113">
        <f>SUM(F29:F33)</f>
        <v>0</v>
      </c>
      <c r="G34" s="113">
        <f>SUM(G29:G33)</f>
        <v>1</v>
      </c>
      <c r="H34" s="113">
        <f>SUM(H29:H33)</f>
        <v>1</v>
      </c>
      <c r="I34" s="225"/>
      <c r="J34" s="17"/>
    </row>
    <row r="35" spans="2:10">
      <c r="B35" s="1435"/>
      <c r="C35" s="71"/>
      <c r="D35" s="1416" t="s">
        <v>373</v>
      </c>
      <c r="E35" s="1417"/>
      <c r="F35" s="1417"/>
      <c r="G35" s="1417"/>
      <c r="H35" s="1417"/>
      <c r="I35" s="1417"/>
      <c r="J35" s="1418"/>
    </row>
    <row r="36" spans="2:10">
      <c r="B36" s="1435"/>
      <c r="C36" s="71"/>
      <c r="D36" s="1416" t="s">
        <v>374</v>
      </c>
      <c r="E36" s="1417"/>
      <c r="F36" s="1417"/>
      <c r="G36" s="1417"/>
      <c r="H36" s="1417"/>
      <c r="I36" s="1417"/>
      <c r="J36" s="1418"/>
    </row>
    <row r="37" spans="2:10" ht="15" thickBot="1">
      <c r="B37" s="1435"/>
      <c r="C37" s="71"/>
      <c r="D37" s="1428" t="s">
        <v>375</v>
      </c>
      <c r="E37" s="1429"/>
      <c r="F37" s="1429"/>
      <c r="G37" s="1429"/>
      <c r="H37" s="1429"/>
      <c r="I37" s="1429"/>
      <c r="J37" s="1430"/>
    </row>
    <row r="38" spans="2:10" ht="15" thickBot="1">
      <c r="B38" s="1435"/>
      <c r="C38" s="73"/>
      <c r="D38" s="30" t="s">
        <v>149</v>
      </c>
      <c r="E38" s="30" t="s">
        <v>19</v>
      </c>
      <c r="F38" s="30" t="s">
        <v>20</v>
      </c>
      <c r="G38" s="30" t="s">
        <v>21</v>
      </c>
      <c r="H38" s="30" t="s">
        <v>22</v>
      </c>
      <c r="I38" s="30" t="s">
        <v>150</v>
      </c>
      <c r="J38" s="17"/>
    </row>
    <row r="39" spans="2:10" ht="15" thickBot="1">
      <c r="B39" s="1435"/>
      <c r="C39" s="73"/>
      <c r="D39" s="31" t="s">
        <v>368</v>
      </c>
      <c r="E39" s="163">
        <v>0</v>
      </c>
      <c r="F39" s="163">
        <v>0</v>
      </c>
      <c r="G39" s="163">
        <v>0</v>
      </c>
      <c r="H39" s="163">
        <v>1300</v>
      </c>
      <c r="I39" s="113">
        <f>SUM(E39:H39)</f>
        <v>1300</v>
      </c>
      <c r="J39" s="17"/>
    </row>
    <row r="40" spans="2:10" ht="15" thickBot="1">
      <c r="B40" s="1435"/>
      <c r="C40" s="73"/>
      <c r="D40" s="31" t="s">
        <v>369</v>
      </c>
      <c r="E40" s="163">
        <v>0</v>
      </c>
      <c r="F40" s="163">
        <v>0</v>
      </c>
      <c r="G40" s="163">
        <v>0</v>
      </c>
      <c r="H40" s="163">
        <v>0</v>
      </c>
      <c r="I40" s="226"/>
      <c r="J40" s="17"/>
    </row>
    <row r="41" spans="2:10" ht="15" thickBot="1">
      <c r="B41" s="1435"/>
      <c r="C41" s="73"/>
      <c r="D41" s="31" t="s">
        <v>370</v>
      </c>
      <c r="E41" s="163">
        <v>0</v>
      </c>
      <c r="F41" s="163">
        <v>0</v>
      </c>
      <c r="G41" s="163">
        <v>0</v>
      </c>
      <c r="H41" s="163">
        <v>0</v>
      </c>
      <c r="I41" s="226"/>
      <c r="J41" s="17"/>
    </row>
    <row r="42" spans="2:10" ht="15" thickBot="1">
      <c r="B42" s="1435"/>
      <c r="C42" s="73"/>
      <c r="D42" s="31" t="s">
        <v>371</v>
      </c>
      <c r="E42" s="163">
        <v>0</v>
      </c>
      <c r="F42" s="163">
        <v>0</v>
      </c>
      <c r="G42" s="163">
        <v>750</v>
      </c>
      <c r="H42" s="163">
        <v>1300</v>
      </c>
      <c r="I42" s="226"/>
      <c r="J42" s="17"/>
    </row>
    <row r="43" spans="2:10" ht="15" thickBot="1">
      <c r="B43" s="1435"/>
      <c r="C43" s="73"/>
      <c r="D43" s="31" t="s">
        <v>372</v>
      </c>
      <c r="E43" s="163">
        <v>0</v>
      </c>
      <c r="F43" s="163">
        <v>0</v>
      </c>
      <c r="G43" s="163">
        <v>0</v>
      </c>
      <c r="H43" s="163">
        <v>0</v>
      </c>
      <c r="I43" s="226"/>
      <c r="J43" s="17"/>
    </row>
    <row r="44" spans="2:10" ht="15" thickBot="1">
      <c r="B44" s="1435"/>
      <c r="C44" s="73"/>
      <c r="D44" s="31" t="s">
        <v>1191</v>
      </c>
      <c r="E44" s="163">
        <v>0</v>
      </c>
      <c r="F44" s="163">
        <v>0</v>
      </c>
      <c r="G44" s="163">
        <v>0</v>
      </c>
      <c r="H44" s="163">
        <v>0</v>
      </c>
      <c r="I44" s="226"/>
      <c r="J44" s="17"/>
    </row>
    <row r="45" spans="2:10" ht="15" thickBot="1">
      <c r="B45" s="1435"/>
      <c r="C45" s="73"/>
      <c r="D45" s="31" t="s">
        <v>150</v>
      </c>
      <c r="E45" s="113">
        <f>SUM(E40:E44)</f>
        <v>0</v>
      </c>
      <c r="F45" s="113">
        <f>SUM(F40:F44)</f>
        <v>0</v>
      </c>
      <c r="G45" s="113">
        <f>SUM(G40:G44)</f>
        <v>750</v>
      </c>
      <c r="H45" s="113">
        <f>SUM(H40:H44)</f>
        <v>1300</v>
      </c>
      <c r="I45" s="226"/>
      <c r="J45" s="17"/>
    </row>
    <row r="46" spans="2:10">
      <c r="B46" s="1435"/>
      <c r="C46" s="71"/>
      <c r="D46" s="1416" t="s">
        <v>376</v>
      </c>
      <c r="E46" s="1417"/>
      <c r="F46" s="1417"/>
      <c r="G46" s="1417"/>
      <c r="H46" s="1417"/>
      <c r="I46" s="1417"/>
      <c r="J46" s="1418"/>
    </row>
    <row r="47" spans="2:10">
      <c r="B47" s="1435"/>
      <c r="C47" s="71"/>
      <c r="D47" s="1416" t="s">
        <v>377</v>
      </c>
      <c r="E47" s="1417"/>
      <c r="F47" s="1417"/>
      <c r="G47" s="1417"/>
      <c r="H47" s="1417"/>
      <c r="I47" s="1417"/>
      <c r="J47" s="1418"/>
    </row>
    <row r="48" spans="2:10">
      <c r="B48" s="1435"/>
      <c r="C48" s="71"/>
      <c r="D48" s="1428" t="s">
        <v>378</v>
      </c>
      <c r="E48" s="1429"/>
      <c r="F48" s="1429"/>
      <c r="G48" s="1429"/>
      <c r="H48" s="1429"/>
      <c r="I48" s="1429"/>
      <c r="J48" s="1430"/>
    </row>
    <row r="49" spans="2:10" ht="15" thickBot="1">
      <c r="B49" s="1435"/>
      <c r="C49" s="71"/>
      <c r="D49" s="1416" t="s">
        <v>367</v>
      </c>
      <c r="E49" s="1417"/>
      <c r="F49" s="1417"/>
      <c r="G49" s="1417"/>
      <c r="H49" s="1417"/>
      <c r="I49" s="1417"/>
      <c r="J49" s="1418"/>
    </row>
    <row r="50" spans="2:10" ht="15" thickBot="1">
      <c r="B50" s="1435"/>
      <c r="C50" s="73"/>
      <c r="D50" s="30" t="s">
        <v>149</v>
      </c>
      <c r="E50" s="30" t="s">
        <v>19</v>
      </c>
      <c r="F50" s="30" t="s">
        <v>20</v>
      </c>
      <c r="G50" s="30" t="s">
        <v>21</v>
      </c>
      <c r="H50" s="30" t="s">
        <v>22</v>
      </c>
      <c r="I50" s="30" t="s">
        <v>150</v>
      </c>
      <c r="J50" s="17"/>
    </row>
    <row r="51" spans="2:10" ht="15" thickBot="1">
      <c r="B51" s="1435"/>
      <c r="C51" s="73"/>
      <c r="D51" s="31" t="s">
        <v>368</v>
      </c>
      <c r="E51" s="6">
        <v>0</v>
      </c>
      <c r="F51" s="6">
        <v>0</v>
      </c>
      <c r="G51" s="6">
        <v>0</v>
      </c>
      <c r="H51" s="6">
        <v>0</v>
      </c>
      <c r="I51" s="33">
        <f>SUM(E51:H51)</f>
        <v>0</v>
      </c>
      <c r="J51" s="17"/>
    </row>
    <row r="52" spans="2:10" ht="15" thickBot="1">
      <c r="B52" s="1435"/>
      <c r="C52" s="73"/>
      <c r="D52" s="31" t="s">
        <v>369</v>
      </c>
      <c r="E52" s="6">
        <v>0</v>
      </c>
      <c r="F52" s="6">
        <v>0</v>
      </c>
      <c r="G52" s="6">
        <v>0</v>
      </c>
      <c r="H52" s="6">
        <v>0</v>
      </c>
      <c r="I52" s="227"/>
      <c r="J52" s="17"/>
    </row>
    <row r="53" spans="2:10" ht="15" thickBot="1">
      <c r="B53" s="1435"/>
      <c r="C53" s="73"/>
      <c r="D53" s="31" t="s">
        <v>370</v>
      </c>
      <c r="E53" s="6">
        <v>0</v>
      </c>
      <c r="F53" s="6">
        <v>0</v>
      </c>
      <c r="G53" s="6">
        <v>0</v>
      </c>
      <c r="H53" s="6">
        <v>0</v>
      </c>
      <c r="I53" s="227"/>
      <c r="J53" s="17"/>
    </row>
    <row r="54" spans="2:10" ht="15" thickBot="1">
      <c r="B54" s="1435"/>
      <c r="C54" s="73"/>
      <c r="D54" s="31" t="s">
        <v>371</v>
      </c>
      <c r="E54" s="6">
        <v>0</v>
      </c>
      <c r="F54" s="6">
        <v>0</v>
      </c>
      <c r="G54" s="6">
        <v>0</v>
      </c>
      <c r="H54" s="6">
        <v>0</v>
      </c>
      <c r="I54" s="227"/>
      <c r="J54" s="17"/>
    </row>
    <row r="55" spans="2:10" ht="15" thickBot="1">
      <c r="B55" s="1435"/>
      <c r="C55" s="73"/>
      <c r="D55" s="31" t="s">
        <v>372</v>
      </c>
      <c r="E55" s="6">
        <v>0</v>
      </c>
      <c r="F55" s="6">
        <v>0</v>
      </c>
      <c r="G55" s="6">
        <v>0</v>
      </c>
      <c r="H55" s="6">
        <v>0</v>
      </c>
      <c r="I55" s="227"/>
      <c r="J55" s="17"/>
    </row>
    <row r="56" spans="2:10" ht="15" thickBot="1">
      <c r="B56" s="1435"/>
      <c r="C56" s="73"/>
      <c r="D56" s="31" t="s">
        <v>1191</v>
      </c>
      <c r="E56" s="223">
        <v>0</v>
      </c>
      <c r="F56" s="223">
        <v>0</v>
      </c>
      <c r="G56" s="223">
        <v>0</v>
      </c>
      <c r="H56" s="223">
        <v>0</v>
      </c>
      <c r="I56" s="227"/>
      <c r="J56" s="17"/>
    </row>
    <row r="57" spans="2:10" ht="15" thickBot="1">
      <c r="B57" s="1435"/>
      <c r="C57" s="73"/>
      <c r="D57" s="31" t="s">
        <v>150</v>
      </c>
      <c r="E57" s="113">
        <f>SUM(E52:E56)</f>
        <v>0</v>
      </c>
      <c r="F57" s="113">
        <f>SUM(F52:F56)</f>
        <v>0</v>
      </c>
      <c r="G57" s="113">
        <f>SUM(G52:G56)</f>
        <v>0</v>
      </c>
      <c r="H57" s="113">
        <f>SUM(H52:H56)</f>
        <v>0</v>
      </c>
      <c r="I57" s="227"/>
      <c r="J57" s="17"/>
    </row>
    <row r="58" spans="2:10">
      <c r="B58" s="1435"/>
      <c r="C58" s="71"/>
      <c r="D58" s="1416" t="s">
        <v>373</v>
      </c>
      <c r="E58" s="1417"/>
      <c r="F58" s="1417"/>
      <c r="G58" s="1417"/>
      <c r="H58" s="1417"/>
      <c r="I58" s="1417"/>
      <c r="J58" s="1418"/>
    </row>
    <row r="59" spans="2:10">
      <c r="B59" s="1435"/>
      <c r="C59" s="71"/>
      <c r="D59" s="1416" t="s">
        <v>374</v>
      </c>
      <c r="E59" s="1417"/>
      <c r="F59" s="1417"/>
      <c r="G59" s="1417"/>
      <c r="H59" s="1417"/>
      <c r="I59" s="1417"/>
      <c r="J59" s="1418"/>
    </row>
    <row r="60" spans="2:10" ht="15" thickBot="1">
      <c r="B60" s="1435"/>
      <c r="C60" s="71"/>
      <c r="D60" s="1428" t="s">
        <v>375</v>
      </c>
      <c r="E60" s="1429"/>
      <c r="F60" s="1429"/>
      <c r="G60" s="1429"/>
      <c r="H60" s="1429"/>
      <c r="I60" s="1429"/>
      <c r="J60" s="1430"/>
    </row>
    <row r="61" spans="2:10" s="110" customFormat="1" ht="15" thickBot="1">
      <c r="B61" s="1435"/>
      <c r="C61" s="73"/>
      <c r="D61" s="69" t="s">
        <v>149</v>
      </c>
      <c r="E61" s="69" t="s">
        <v>19</v>
      </c>
      <c r="F61" s="69" t="s">
        <v>20</v>
      </c>
      <c r="G61" s="69" t="s">
        <v>21</v>
      </c>
      <c r="H61" s="69" t="s">
        <v>22</v>
      </c>
      <c r="I61" s="69" t="s">
        <v>150</v>
      </c>
      <c r="J61" s="259"/>
    </row>
    <row r="62" spans="2:10" ht="15" thickBot="1">
      <c r="B62" s="1435"/>
      <c r="C62" s="73"/>
      <c r="D62" s="31" t="s">
        <v>368</v>
      </c>
      <c r="E62" s="149">
        <v>0</v>
      </c>
      <c r="F62" s="149">
        <v>0</v>
      </c>
      <c r="G62" s="149">
        <v>0</v>
      </c>
      <c r="H62" s="149">
        <v>0</v>
      </c>
      <c r="I62" s="113">
        <f>SUM(E62:H62)</f>
        <v>0</v>
      </c>
      <c r="J62" s="17"/>
    </row>
    <row r="63" spans="2:10" ht="15" thickBot="1">
      <c r="B63" s="1435"/>
      <c r="C63" s="73"/>
      <c r="D63" s="31" t="s">
        <v>369</v>
      </c>
      <c r="E63" s="149">
        <v>0</v>
      </c>
      <c r="F63" s="149">
        <v>0</v>
      </c>
      <c r="G63" s="149">
        <v>0</v>
      </c>
      <c r="H63" s="149">
        <v>0</v>
      </c>
      <c r="I63" s="227"/>
      <c r="J63" s="17"/>
    </row>
    <row r="64" spans="2:10" ht="15" thickBot="1">
      <c r="B64" s="1435"/>
      <c r="C64" s="73"/>
      <c r="D64" s="31" t="s">
        <v>370</v>
      </c>
      <c r="E64" s="149">
        <v>0</v>
      </c>
      <c r="F64" s="149">
        <v>0</v>
      </c>
      <c r="G64" s="149">
        <v>0</v>
      </c>
      <c r="H64" s="149">
        <v>0</v>
      </c>
      <c r="I64" s="227"/>
      <c r="J64" s="17"/>
    </row>
    <row r="65" spans="2:11" ht="15" thickBot="1">
      <c r="B65" s="1435"/>
      <c r="C65" s="73"/>
      <c r="D65" s="31" t="s">
        <v>371</v>
      </c>
      <c r="E65" s="149">
        <v>0</v>
      </c>
      <c r="F65" s="149">
        <v>0</v>
      </c>
      <c r="G65" s="149">
        <v>0</v>
      </c>
      <c r="H65" s="149">
        <v>0</v>
      </c>
      <c r="I65" s="227"/>
      <c r="J65" s="17"/>
    </row>
    <row r="66" spans="2:11" ht="15" thickBot="1">
      <c r="B66" s="1435"/>
      <c r="C66" s="73"/>
      <c r="D66" s="31" t="s">
        <v>372</v>
      </c>
      <c r="E66" s="149">
        <v>0</v>
      </c>
      <c r="F66" s="149">
        <v>0</v>
      </c>
      <c r="G66" s="149">
        <v>0</v>
      </c>
      <c r="H66" s="149">
        <v>0</v>
      </c>
      <c r="I66" s="227"/>
      <c r="J66" s="17"/>
    </row>
    <row r="67" spans="2:11" ht="15" thickBot="1">
      <c r="B67" s="1435"/>
      <c r="C67" s="73"/>
      <c r="D67" s="31" t="s">
        <v>1190</v>
      </c>
      <c r="E67" s="149">
        <v>0</v>
      </c>
      <c r="F67" s="149">
        <v>0</v>
      </c>
      <c r="G67" s="149">
        <v>0</v>
      </c>
      <c r="H67" s="149">
        <v>0</v>
      </c>
      <c r="I67" s="227"/>
      <c r="J67" s="17"/>
    </row>
    <row r="68" spans="2:11" ht="15" thickBot="1">
      <c r="B68" s="1435"/>
      <c r="C68" s="73"/>
      <c r="D68" s="31" t="s">
        <v>150</v>
      </c>
      <c r="E68" s="113">
        <f>SUM(E63:E67)</f>
        <v>0</v>
      </c>
      <c r="F68" s="113">
        <f>SUM(F63:F67)</f>
        <v>0</v>
      </c>
      <c r="G68" s="113">
        <f>SUM(G63:G67)</f>
        <v>0</v>
      </c>
      <c r="H68" s="113">
        <f>SUM(H63:H67)</f>
        <v>0</v>
      </c>
      <c r="I68" s="227"/>
      <c r="J68" s="17"/>
    </row>
    <row r="69" spans="2:11">
      <c r="B69" s="1435"/>
      <c r="C69" s="71"/>
      <c r="D69" s="1416" t="s">
        <v>376</v>
      </c>
      <c r="E69" s="1417"/>
      <c r="F69" s="1417"/>
      <c r="G69" s="1417"/>
      <c r="H69" s="1417"/>
      <c r="I69" s="1417"/>
      <c r="J69" s="1418"/>
    </row>
    <row r="70" spans="2:11">
      <c r="B70" s="1435"/>
      <c r="C70" s="71"/>
      <c r="D70" s="1416" t="s">
        <v>377</v>
      </c>
      <c r="E70" s="1417"/>
      <c r="F70" s="1417"/>
      <c r="G70" s="1417"/>
      <c r="H70" s="1417"/>
      <c r="I70" s="1417"/>
      <c r="J70" s="1418"/>
    </row>
    <row r="71" spans="2:11" ht="15" thickBot="1">
      <c r="B71" s="1435"/>
      <c r="C71" s="71"/>
      <c r="D71" s="1419" t="s">
        <v>379</v>
      </c>
      <c r="E71" s="1420"/>
      <c r="F71" s="1420"/>
      <c r="G71" s="1420"/>
      <c r="H71" s="1420"/>
      <c r="I71" s="1420"/>
      <c r="J71" s="1421"/>
    </row>
    <row r="72" spans="2:11" ht="33" customHeight="1">
      <c r="B72" s="1435"/>
      <c r="C72" s="73"/>
      <c r="D72" s="1472" t="s">
        <v>380</v>
      </c>
      <c r="E72" s="1464" t="s">
        <v>381</v>
      </c>
      <c r="F72" s="1464" t="s">
        <v>382</v>
      </c>
      <c r="G72" s="1464" t="s">
        <v>383</v>
      </c>
      <c r="H72" s="1464" t="s">
        <v>384</v>
      </c>
      <c r="I72" s="1464" t="s">
        <v>385</v>
      </c>
      <c r="J72" s="516" t="s">
        <v>386</v>
      </c>
      <c r="K72" s="5"/>
    </row>
    <row r="73" spans="2:11" ht="15" thickBot="1">
      <c r="B73" s="1435"/>
      <c r="C73" s="73"/>
      <c r="D73" s="1475"/>
      <c r="E73" s="1466"/>
      <c r="F73" s="1466"/>
      <c r="G73" s="1466"/>
      <c r="H73" s="1466"/>
      <c r="I73" s="1466"/>
      <c r="J73" s="483" t="s">
        <v>387</v>
      </c>
      <c r="K73" s="5"/>
    </row>
    <row r="74" spans="2:11" ht="15" thickBot="1">
      <c r="B74" s="1435"/>
      <c r="C74" s="73"/>
      <c r="D74" s="24"/>
      <c r="E74" s="24"/>
      <c r="F74" s="24"/>
      <c r="G74" s="149"/>
      <c r="H74" s="149"/>
      <c r="I74" s="24"/>
      <c r="J74" s="24"/>
      <c r="K74" s="5"/>
    </row>
    <row r="75" spans="2:11" ht="15" thickBot="1">
      <c r="B75" s="1435"/>
      <c r="C75" s="73"/>
      <c r="D75" s="24"/>
      <c r="E75" s="24"/>
      <c r="F75" s="24"/>
      <c r="G75" s="149"/>
      <c r="H75" s="149"/>
      <c r="I75" s="24"/>
      <c r="J75" s="24"/>
      <c r="K75" s="5"/>
    </row>
    <row r="76" spans="2:11" ht="15" thickBot="1">
      <c r="B76" s="1435"/>
      <c r="C76" s="73"/>
      <c r="D76" s="24"/>
      <c r="E76" s="24"/>
      <c r="F76" s="24"/>
      <c r="G76" s="149"/>
      <c r="H76" s="149"/>
      <c r="I76" s="24"/>
      <c r="J76" s="24"/>
      <c r="K76" s="5"/>
    </row>
    <row r="77" spans="2:11">
      <c r="B77" s="1435"/>
      <c r="C77" s="71"/>
      <c r="D77" s="1425" t="s">
        <v>388</v>
      </c>
      <c r="E77" s="1426"/>
      <c r="F77" s="1426"/>
      <c r="G77" s="1426"/>
      <c r="H77" s="1426"/>
      <c r="I77" s="1426"/>
      <c r="J77" s="1427"/>
      <c r="K77" s="5"/>
    </row>
    <row r="78" spans="2:11" ht="15" thickBot="1">
      <c r="B78" s="1435"/>
      <c r="C78" s="71"/>
      <c r="D78" s="1447" t="s">
        <v>389</v>
      </c>
      <c r="E78" s="1448"/>
      <c r="F78" s="1448"/>
      <c r="G78" s="1448"/>
      <c r="H78" s="1448"/>
      <c r="I78" s="1448"/>
      <c r="J78" s="1449"/>
      <c r="K78" s="5"/>
    </row>
    <row r="79" spans="2:11">
      <c r="B79" s="1435"/>
      <c r="C79" s="71"/>
      <c r="D79" s="188"/>
      <c r="E79" s="107"/>
      <c r="F79" s="107"/>
      <c r="G79" s="107"/>
      <c r="H79" s="107"/>
      <c r="I79" s="107"/>
      <c r="J79" s="36"/>
      <c r="K79" s="5"/>
    </row>
    <row r="80" spans="2:11" ht="15" thickBot="1">
      <c r="B80" s="1435"/>
      <c r="C80" s="71"/>
      <c r="D80" s="188" t="s">
        <v>1192</v>
      </c>
      <c r="E80" s="107"/>
      <c r="F80" s="107"/>
      <c r="G80" s="107"/>
      <c r="H80" s="107"/>
      <c r="I80" s="107"/>
      <c r="J80" s="36"/>
      <c r="K80" s="5"/>
    </row>
    <row r="81" spans="2:11">
      <c r="B81" s="1435"/>
      <c r="C81" s="71"/>
      <c r="D81" s="228" t="s">
        <v>149</v>
      </c>
      <c r="E81" s="229" t="s">
        <v>19</v>
      </c>
      <c r="F81" s="229" t="s">
        <v>20</v>
      </c>
      <c r="G81" s="229" t="s">
        <v>21</v>
      </c>
      <c r="H81" s="229" t="s">
        <v>22</v>
      </c>
      <c r="I81" s="230" t="s">
        <v>150</v>
      </c>
      <c r="J81" s="36"/>
      <c r="K81" s="5"/>
    </row>
    <row r="82" spans="2:11" ht="25.5" customHeight="1">
      <c r="B82" s="1435"/>
      <c r="C82" s="71"/>
      <c r="D82" s="231" t="s">
        <v>1193</v>
      </c>
      <c r="E82" s="232">
        <f>+E62+E39</f>
        <v>0</v>
      </c>
      <c r="F82" s="232">
        <f t="shared" ref="F82:G82" si="1">+F62+F39</f>
        <v>0</v>
      </c>
      <c r="G82" s="232">
        <f t="shared" si="1"/>
        <v>0</v>
      </c>
      <c r="H82" s="232">
        <f>+H62+H39</f>
        <v>1300</v>
      </c>
      <c r="I82" s="233">
        <f>SUM(E82:H82)</f>
        <v>1300</v>
      </c>
      <c r="J82" s="36"/>
      <c r="K82" s="5"/>
    </row>
    <row r="83" spans="2:11" ht="36">
      <c r="B83" s="1435"/>
      <c r="C83" s="71"/>
      <c r="D83" s="234" t="s">
        <v>1194</v>
      </c>
      <c r="E83" s="232">
        <f>+E67+E44</f>
        <v>0</v>
      </c>
      <c r="F83" s="232">
        <f t="shared" ref="F83:H83" si="2">+F67+F44</f>
        <v>0</v>
      </c>
      <c r="G83" s="232">
        <f t="shared" si="2"/>
        <v>0</v>
      </c>
      <c r="H83" s="232">
        <f t="shared" si="2"/>
        <v>0</v>
      </c>
      <c r="I83" s="233">
        <f>SUM(E83:H83)</f>
        <v>0</v>
      </c>
      <c r="J83" s="36"/>
      <c r="K83" s="5"/>
    </row>
    <row r="84" spans="2:11" ht="36.6" thickBot="1">
      <c r="B84" s="1435"/>
      <c r="C84" s="71"/>
      <c r="D84" s="234" t="s">
        <v>347</v>
      </c>
      <c r="E84" s="235" t="str">
        <f>IFERROR(E83/E82,"N.A.")</f>
        <v>N.A.</v>
      </c>
      <c r="F84" s="235" t="str">
        <f>IFERROR(F83/F82,"N.A.")</f>
        <v>N.A.</v>
      </c>
      <c r="G84" s="235" t="str">
        <f>IFERROR(G83/G82,"N.A.")</f>
        <v>N.A.</v>
      </c>
      <c r="H84" s="235">
        <f>IFERROR(H83/H82,"N.A.")</f>
        <v>0</v>
      </c>
      <c r="I84" s="235">
        <f>IFERROR(I83/I82,"N.A.")</f>
        <v>0</v>
      </c>
      <c r="J84" s="36"/>
      <c r="K84" s="5"/>
    </row>
    <row r="85" spans="2:11" ht="24" customHeight="1" thickBot="1">
      <c r="B85" s="1436"/>
      <c r="C85" s="72"/>
      <c r="J85" s="36"/>
      <c r="K85" s="5"/>
    </row>
    <row r="86" spans="2:11" ht="24" customHeight="1" thickBot="1">
      <c r="B86" s="37" t="s">
        <v>33</v>
      </c>
      <c r="C86" s="72"/>
      <c r="D86" s="1437" t="s">
        <v>390</v>
      </c>
      <c r="E86" s="1438"/>
      <c r="F86" s="1438"/>
      <c r="G86" s="1438"/>
      <c r="H86" s="1438"/>
      <c r="I86" s="1438"/>
      <c r="J86" s="1439"/>
      <c r="K86" s="5"/>
    </row>
    <row r="87" spans="2:11" ht="24" customHeight="1">
      <c r="B87" s="1434" t="s">
        <v>35</v>
      </c>
      <c r="C87" s="68"/>
      <c r="D87" s="1425" t="s">
        <v>345</v>
      </c>
      <c r="E87" s="1426"/>
      <c r="F87" s="1426"/>
      <c r="G87" s="1426"/>
      <c r="H87" s="1426"/>
      <c r="I87" s="1426"/>
      <c r="J87" s="1427"/>
      <c r="K87" s="5"/>
    </row>
    <row r="88" spans="2:11" ht="48" customHeight="1">
      <c r="B88" s="1435"/>
      <c r="C88" s="71"/>
      <c r="D88" s="1416" t="s">
        <v>391</v>
      </c>
      <c r="E88" s="1417"/>
      <c r="F88" s="1417"/>
      <c r="G88" s="1417"/>
      <c r="H88" s="1417"/>
      <c r="I88" s="1417"/>
      <c r="J88" s="1418"/>
      <c r="K88" s="5"/>
    </row>
    <row r="89" spans="2:11" ht="60" customHeight="1" thickBot="1">
      <c r="B89" s="1436"/>
      <c r="C89" s="72"/>
      <c r="D89" s="1447" t="s">
        <v>392</v>
      </c>
      <c r="E89" s="1448"/>
      <c r="F89" s="1448"/>
      <c r="G89" s="1448"/>
      <c r="H89" s="1448"/>
      <c r="I89" s="1448"/>
      <c r="J89" s="1449"/>
      <c r="K89" s="5"/>
    </row>
    <row r="90" spans="2:11" ht="15" thickBot="1">
      <c r="B90" s="1"/>
      <c r="C90" s="64"/>
      <c r="D90" s="5"/>
      <c r="E90" s="5"/>
      <c r="F90" s="5"/>
      <c r="G90" s="5"/>
      <c r="H90" s="5"/>
      <c r="I90" s="5"/>
      <c r="J90" s="5"/>
      <c r="K90" s="5"/>
    </row>
    <row r="91" spans="2:11" ht="24" customHeight="1" thickBot="1">
      <c r="B91" s="1444" t="s">
        <v>37</v>
      </c>
      <c r="C91" s="1445"/>
      <c r="D91" s="1445"/>
      <c r="E91" s="1446"/>
      <c r="F91" s="5"/>
      <c r="G91" s="5"/>
      <c r="H91" s="5"/>
      <c r="I91" s="5"/>
      <c r="J91" s="5"/>
      <c r="K91" s="5"/>
    </row>
    <row r="92" spans="2:11" ht="15" thickBot="1">
      <c r="B92" s="1434">
        <v>1</v>
      </c>
      <c r="C92" s="73"/>
      <c r="D92" s="38" t="s">
        <v>38</v>
      </c>
      <c r="E92" s="25" t="s">
        <v>1811</v>
      </c>
      <c r="F92" s="5"/>
      <c r="G92" s="5"/>
      <c r="H92" s="5"/>
      <c r="I92" s="5"/>
      <c r="J92" s="5"/>
      <c r="K92" s="5"/>
    </row>
    <row r="93" spans="2:11" ht="15" thickBot="1">
      <c r="B93" s="1435"/>
      <c r="C93" s="73"/>
      <c r="D93" s="32" t="s">
        <v>39</v>
      </c>
      <c r="E93" s="24" t="s">
        <v>1830</v>
      </c>
      <c r="F93" s="5"/>
      <c r="G93" s="5"/>
      <c r="H93" s="5"/>
      <c r="I93" s="5"/>
      <c r="J93" s="5"/>
      <c r="K93" s="5"/>
    </row>
    <row r="94" spans="2:11" ht="15" thickBot="1">
      <c r="B94" s="1435"/>
      <c r="C94" s="73"/>
      <c r="D94" s="32" t="s">
        <v>40</v>
      </c>
      <c r="E94" s="24" t="s">
        <v>2015</v>
      </c>
      <c r="F94" s="5"/>
      <c r="G94" s="5"/>
      <c r="H94" s="5"/>
      <c r="I94" s="5"/>
      <c r="J94" s="5"/>
      <c r="K94" s="5"/>
    </row>
    <row r="95" spans="2:11" ht="15" thickBot="1">
      <c r="B95" s="1435"/>
      <c r="C95" s="73"/>
      <c r="D95" s="32" t="s">
        <v>41</v>
      </c>
      <c r="E95" s="24" t="s">
        <v>2028</v>
      </c>
      <c r="F95" s="5"/>
      <c r="G95" s="5"/>
      <c r="H95" s="5"/>
      <c r="I95" s="5"/>
      <c r="J95" s="5"/>
      <c r="K95" s="5"/>
    </row>
    <row r="96" spans="2:11" ht="15" thickBot="1">
      <c r="B96" s="1435"/>
      <c r="C96" s="73"/>
      <c r="D96" s="32" t="s">
        <v>42</v>
      </c>
      <c r="E96" s="504" t="s">
        <v>1821</v>
      </c>
      <c r="F96" s="5"/>
      <c r="G96" s="5"/>
      <c r="H96" s="5"/>
      <c r="I96" s="5"/>
      <c r="J96" s="5"/>
      <c r="K96" s="5"/>
    </row>
    <row r="97" spans="2:11" ht="15" thickBot="1">
      <c r="B97" s="1435"/>
      <c r="C97" s="73"/>
      <c r="D97" s="32" t="s">
        <v>43</v>
      </c>
      <c r="E97" s="24" t="s">
        <v>1822</v>
      </c>
      <c r="F97" s="5"/>
      <c r="G97" s="5"/>
      <c r="H97" s="5"/>
      <c r="I97" s="5"/>
      <c r="J97" s="5"/>
      <c r="K97" s="5"/>
    </row>
    <row r="98" spans="2:11" ht="15" thickBot="1">
      <c r="B98" s="1436"/>
      <c r="C98" s="2"/>
      <c r="D98" s="32" t="s">
        <v>44</v>
      </c>
      <c r="E98" s="24" t="s">
        <v>1814</v>
      </c>
      <c r="F98" s="5"/>
      <c r="G98" s="5"/>
      <c r="H98" s="5"/>
      <c r="I98" s="5"/>
      <c r="J98" s="5"/>
      <c r="K98" s="5"/>
    </row>
    <row r="99" spans="2:11" ht="15" thickBot="1">
      <c r="B99" s="1"/>
      <c r="C99" s="64"/>
      <c r="D99" s="5"/>
      <c r="E99" s="5"/>
      <c r="F99" s="5"/>
      <c r="G99" s="5"/>
      <c r="H99" s="5"/>
      <c r="I99" s="5"/>
      <c r="J99" s="5"/>
      <c r="K99" s="5"/>
    </row>
    <row r="100" spans="2:11" ht="15" thickBot="1">
      <c r="B100" s="1444" t="s">
        <v>45</v>
      </c>
      <c r="C100" s="1445"/>
      <c r="D100" s="1445"/>
      <c r="E100" s="1446"/>
      <c r="F100" s="5"/>
      <c r="G100" s="5"/>
      <c r="H100" s="5"/>
      <c r="I100" s="5"/>
      <c r="J100" s="5"/>
      <c r="K100" s="5"/>
    </row>
    <row r="101" spans="2:11" ht="24.6" thickBot="1">
      <c r="B101" s="1434">
        <v>1</v>
      </c>
      <c r="C101" s="73"/>
      <c r="D101" s="38" t="s">
        <v>38</v>
      </c>
      <c r="E101" s="28" t="s">
        <v>46</v>
      </c>
      <c r="F101" s="5"/>
      <c r="G101" s="5"/>
      <c r="H101" s="5"/>
      <c r="I101" s="5"/>
      <c r="J101" s="5"/>
      <c r="K101" s="5"/>
    </row>
    <row r="102" spans="2:11" ht="36.6" thickBot="1">
      <c r="B102" s="1435"/>
      <c r="C102" s="73"/>
      <c r="D102" s="32" t="s">
        <v>39</v>
      </c>
      <c r="E102" s="28" t="s">
        <v>159</v>
      </c>
      <c r="F102" s="5"/>
      <c r="G102" s="5"/>
      <c r="H102" s="5"/>
      <c r="I102" s="5"/>
      <c r="J102" s="5"/>
      <c r="K102" s="5"/>
    </row>
    <row r="103" spans="2:11" ht="15" thickBot="1">
      <c r="B103" s="1435"/>
      <c r="C103" s="73"/>
      <c r="D103" s="32" t="s">
        <v>40</v>
      </c>
      <c r="E103" s="193"/>
      <c r="F103" s="5"/>
      <c r="G103" s="5"/>
      <c r="H103" s="5"/>
      <c r="I103" s="5"/>
      <c r="J103" s="5"/>
      <c r="K103" s="5"/>
    </row>
    <row r="104" spans="2:11" ht="15" thickBot="1">
      <c r="B104" s="1435"/>
      <c r="C104" s="73"/>
      <c r="D104" s="32" t="s">
        <v>41</v>
      </c>
      <c r="E104" s="193"/>
      <c r="F104" s="5"/>
      <c r="G104" s="5"/>
      <c r="H104" s="5"/>
      <c r="I104" s="5"/>
      <c r="J104" s="5"/>
      <c r="K104" s="5"/>
    </row>
    <row r="105" spans="2:11" ht="15" thickBot="1">
      <c r="B105" s="1435"/>
      <c r="C105" s="73"/>
      <c r="D105" s="32" t="s">
        <v>42</v>
      </c>
      <c r="E105" s="193"/>
      <c r="F105" s="5"/>
      <c r="G105" s="5"/>
      <c r="H105" s="5"/>
      <c r="I105" s="5"/>
      <c r="J105" s="5"/>
      <c r="K105" s="5"/>
    </row>
    <row r="106" spans="2:11" ht="15" thickBot="1">
      <c r="B106" s="1435"/>
      <c r="C106" s="73"/>
      <c r="D106" s="32" t="s">
        <v>43</v>
      </c>
      <c r="E106" s="193"/>
      <c r="F106" s="5"/>
      <c r="G106" s="5"/>
      <c r="H106" s="5"/>
      <c r="I106" s="5"/>
      <c r="J106" s="5"/>
      <c r="K106" s="5"/>
    </row>
    <row r="107" spans="2:11" ht="15" thickBot="1">
      <c r="B107" s="1436"/>
      <c r="C107" s="2"/>
      <c r="D107" s="32" t="s">
        <v>44</v>
      </c>
      <c r="E107" s="193"/>
      <c r="F107" s="5"/>
      <c r="G107" s="5"/>
      <c r="H107" s="5"/>
      <c r="I107" s="5"/>
      <c r="J107" s="5"/>
      <c r="K107" s="5"/>
    </row>
    <row r="108" spans="2:11" ht="15" thickBot="1">
      <c r="B108" s="1"/>
      <c r="C108" s="64"/>
      <c r="D108" s="5"/>
      <c r="E108" s="5"/>
      <c r="F108" s="5"/>
      <c r="G108" s="5"/>
      <c r="H108" s="5"/>
      <c r="I108" s="5"/>
      <c r="J108" s="5"/>
      <c r="K108" s="5"/>
    </row>
    <row r="109" spans="2:11" ht="15" customHeight="1" thickBot="1">
      <c r="B109" s="97" t="s">
        <v>48</v>
      </c>
      <c r="C109" s="98"/>
      <c r="D109" s="98"/>
      <c r="E109" s="99"/>
      <c r="G109" s="5"/>
      <c r="H109" s="5"/>
      <c r="I109" s="5"/>
      <c r="J109" s="5"/>
      <c r="K109" s="5"/>
    </row>
    <row r="110" spans="2:11" ht="24.6" thickBot="1">
      <c r="B110" s="37" t="s">
        <v>49</v>
      </c>
      <c r="C110" s="32" t="s">
        <v>50</v>
      </c>
      <c r="D110" s="32" t="s">
        <v>51</v>
      </c>
      <c r="E110" s="32" t="s">
        <v>52</v>
      </c>
      <c r="F110" s="5"/>
      <c r="G110" s="5"/>
      <c r="H110" s="5"/>
      <c r="I110" s="5"/>
      <c r="J110" s="5"/>
    </row>
    <row r="111" spans="2:11" ht="84.6" thickBot="1">
      <c r="B111" s="39">
        <v>42401</v>
      </c>
      <c r="C111" s="32">
        <v>0.01</v>
      </c>
      <c r="D111" s="40" t="s">
        <v>393</v>
      </c>
      <c r="E111" s="32"/>
      <c r="F111" s="5"/>
      <c r="G111" s="5"/>
      <c r="H111" s="5"/>
      <c r="I111" s="5"/>
      <c r="J111" s="5"/>
    </row>
    <row r="112" spans="2:11" ht="15" thickBot="1">
      <c r="B112" s="1"/>
      <c r="C112" s="64"/>
      <c r="D112" s="5"/>
      <c r="E112" s="5"/>
      <c r="F112" s="5"/>
      <c r="G112" s="5"/>
      <c r="H112" s="5"/>
      <c r="I112" s="5"/>
      <c r="J112" s="5"/>
      <c r="K112" s="5"/>
    </row>
    <row r="113" spans="2:11" ht="15" thickBot="1">
      <c r="B113" s="4" t="s">
        <v>54</v>
      </c>
      <c r="C113" s="75"/>
      <c r="D113" s="5"/>
      <c r="E113" s="5"/>
      <c r="F113" s="5"/>
      <c r="G113" s="5"/>
      <c r="H113" s="5"/>
      <c r="I113" s="5"/>
      <c r="J113" s="5"/>
      <c r="K113" s="5"/>
    </row>
    <row r="114" spans="2:11">
      <c r="B114" s="1563" t="s">
        <v>394</v>
      </c>
      <c r="C114" s="1564"/>
      <c r="D114" s="1564"/>
      <c r="E114" s="1564"/>
      <c r="F114" s="1564"/>
      <c r="G114" s="1564"/>
      <c r="H114" s="1564"/>
      <c r="I114" s="1564"/>
      <c r="J114" s="1564"/>
      <c r="K114" s="5"/>
    </row>
    <row r="115" spans="2:11" ht="24" customHeight="1">
      <c r="B115" s="1563"/>
      <c r="C115" s="1564"/>
      <c r="D115" s="1564"/>
      <c r="E115" s="1564"/>
      <c r="F115" s="1564"/>
      <c r="G115" s="1564"/>
      <c r="H115" s="1564"/>
      <c r="I115" s="1564"/>
      <c r="J115" s="1564"/>
      <c r="K115" s="5"/>
    </row>
    <row r="116" spans="2:11">
      <c r="B116" s="1565"/>
      <c r="C116" s="1566"/>
      <c r="D116" s="1566"/>
      <c r="E116" s="1566"/>
      <c r="F116" s="1566"/>
      <c r="G116" s="1566"/>
      <c r="H116" s="1566"/>
      <c r="I116" s="1566"/>
      <c r="J116" s="1566"/>
      <c r="K116" s="5"/>
    </row>
    <row r="117" spans="2:11" ht="15" thickBot="1">
      <c r="B117" s="5"/>
      <c r="D117" s="5"/>
      <c r="E117" s="5"/>
      <c r="F117" s="5"/>
      <c r="G117" s="5"/>
      <c r="H117" s="5"/>
      <c r="I117" s="5"/>
      <c r="J117" s="5"/>
      <c r="K117" s="5"/>
    </row>
    <row r="118" spans="2:11" ht="15" thickBot="1">
      <c r="B118" s="1444" t="s">
        <v>55</v>
      </c>
      <c r="C118" s="1445"/>
      <c r="D118" s="1446"/>
      <c r="E118" s="5"/>
      <c r="F118" s="5"/>
      <c r="G118" s="5"/>
      <c r="H118" s="5"/>
      <c r="I118" s="5"/>
      <c r="J118" s="5"/>
      <c r="K118" s="5"/>
    </row>
    <row r="119" spans="2:11" ht="96.6" thickBot="1">
      <c r="B119" s="37" t="s">
        <v>56</v>
      </c>
      <c r="C119" s="2"/>
      <c r="D119" s="32" t="s">
        <v>348</v>
      </c>
      <c r="E119" s="5"/>
      <c r="F119" s="5"/>
      <c r="G119" s="5"/>
      <c r="H119" s="5"/>
      <c r="I119" s="5"/>
      <c r="J119" s="5"/>
      <c r="K119" s="5"/>
    </row>
    <row r="120" spans="2:11">
      <c r="B120" s="1434" t="s">
        <v>58</v>
      </c>
      <c r="C120" s="73"/>
      <c r="D120" s="43" t="s">
        <v>59</v>
      </c>
      <c r="E120" s="5"/>
      <c r="F120" s="5"/>
      <c r="G120" s="5"/>
      <c r="H120" s="5"/>
      <c r="I120" s="5"/>
      <c r="J120" s="5"/>
      <c r="K120" s="5"/>
    </row>
    <row r="121" spans="2:11" ht="60">
      <c r="B121" s="1435"/>
      <c r="C121" s="73"/>
      <c r="D121" s="36" t="s">
        <v>349</v>
      </c>
      <c r="E121" s="5"/>
      <c r="F121" s="5"/>
      <c r="G121" s="5"/>
      <c r="H121" s="5"/>
      <c r="I121" s="5"/>
      <c r="J121" s="5"/>
      <c r="K121" s="5"/>
    </row>
    <row r="122" spans="2:11" ht="36">
      <c r="B122" s="1435"/>
      <c r="C122" s="73"/>
      <c r="D122" s="36" t="s">
        <v>350</v>
      </c>
      <c r="E122" s="5"/>
      <c r="F122" s="5"/>
      <c r="G122" s="5"/>
      <c r="H122" s="5"/>
      <c r="I122" s="5"/>
      <c r="J122" s="5"/>
      <c r="K122" s="5"/>
    </row>
    <row r="123" spans="2:11">
      <c r="B123" s="1435"/>
      <c r="C123" s="73"/>
      <c r="D123" s="43" t="s">
        <v>62</v>
      </c>
      <c r="E123" s="5"/>
      <c r="F123" s="5"/>
      <c r="G123" s="5"/>
      <c r="H123" s="5"/>
      <c r="I123" s="5"/>
      <c r="J123" s="5"/>
      <c r="K123" s="5"/>
    </row>
    <row r="124" spans="2:11">
      <c r="B124" s="1435"/>
      <c r="C124" s="73"/>
      <c r="D124" s="36" t="s">
        <v>64</v>
      </c>
      <c r="E124" s="5"/>
      <c r="F124" s="5"/>
      <c r="G124" s="5"/>
      <c r="H124" s="5"/>
      <c r="I124" s="5"/>
      <c r="J124" s="5"/>
      <c r="K124" s="5"/>
    </row>
    <row r="125" spans="2:11">
      <c r="B125" s="1435"/>
      <c r="C125" s="73"/>
      <c r="D125" s="36" t="s">
        <v>351</v>
      </c>
      <c r="E125" s="5"/>
      <c r="F125" s="5"/>
      <c r="G125" s="5"/>
      <c r="H125" s="5"/>
      <c r="I125" s="5"/>
      <c r="J125" s="5"/>
      <c r="K125" s="5"/>
    </row>
    <row r="126" spans="2:11">
      <c r="B126" s="1435"/>
      <c r="C126" s="73"/>
      <c r="D126" s="43" t="s">
        <v>287</v>
      </c>
      <c r="E126" s="5"/>
      <c r="F126" s="5"/>
      <c r="G126" s="5"/>
      <c r="H126" s="5"/>
      <c r="I126" s="5"/>
      <c r="J126" s="5"/>
      <c r="K126" s="5"/>
    </row>
    <row r="127" spans="2:11" ht="24">
      <c r="B127" s="1435"/>
      <c r="C127" s="73"/>
      <c r="D127" s="36" t="s">
        <v>352</v>
      </c>
      <c r="E127" s="5"/>
      <c r="F127" s="5"/>
      <c r="G127" s="5"/>
      <c r="H127" s="5"/>
      <c r="I127" s="5"/>
      <c r="J127" s="5"/>
      <c r="K127" s="5"/>
    </row>
    <row r="128" spans="2:11" ht="24">
      <c r="B128" s="1435"/>
      <c r="C128" s="73"/>
      <c r="D128" s="36" t="s">
        <v>353</v>
      </c>
      <c r="E128" s="5"/>
      <c r="F128" s="5"/>
      <c r="G128" s="5"/>
      <c r="H128" s="5"/>
      <c r="I128" s="5"/>
      <c r="J128" s="5"/>
      <c r="K128" s="5"/>
    </row>
    <row r="129" spans="2:11" ht="15" thickBot="1">
      <c r="B129" s="1436"/>
      <c r="C129" s="2"/>
      <c r="D129" s="32" t="s">
        <v>354</v>
      </c>
      <c r="E129" s="5"/>
      <c r="F129" s="5"/>
      <c r="G129" s="5"/>
      <c r="H129" s="5"/>
      <c r="I129" s="5"/>
      <c r="J129" s="5"/>
      <c r="K129" s="5"/>
    </row>
    <row r="130" spans="2:11" ht="24.6" thickBot="1">
      <c r="B130" s="37" t="s">
        <v>71</v>
      </c>
      <c r="C130" s="2"/>
      <c r="D130" s="32"/>
      <c r="E130" s="5"/>
      <c r="F130" s="5"/>
      <c r="G130" s="5"/>
      <c r="H130" s="5"/>
      <c r="I130" s="5"/>
      <c r="J130" s="5"/>
      <c r="K130" s="5"/>
    </row>
    <row r="131" spans="2:11" ht="15" thickBot="1">
      <c r="B131" s="29"/>
      <c r="C131" s="67"/>
      <c r="D131" s="5"/>
      <c r="E131" s="5"/>
      <c r="F131" s="5"/>
      <c r="G131" s="5"/>
      <c r="H131" s="5"/>
      <c r="I131" s="5"/>
      <c r="J131" s="5"/>
      <c r="K131" s="5"/>
    </row>
    <row r="132" spans="2:11" ht="96">
      <c r="B132" s="1434" t="s">
        <v>72</v>
      </c>
      <c r="C132" s="84"/>
      <c r="D132" s="53" t="s">
        <v>355</v>
      </c>
      <c r="E132" s="5"/>
      <c r="F132" s="5"/>
      <c r="G132" s="5"/>
      <c r="H132" s="5"/>
      <c r="I132" s="5"/>
      <c r="J132" s="5"/>
      <c r="K132" s="5"/>
    </row>
    <row r="133" spans="2:11" ht="120">
      <c r="B133" s="1435"/>
      <c r="C133" s="73"/>
      <c r="D133" s="36" t="s">
        <v>356</v>
      </c>
      <c r="E133" s="5"/>
      <c r="F133" s="5"/>
      <c r="G133" s="5"/>
      <c r="H133" s="5"/>
      <c r="I133" s="5"/>
      <c r="J133" s="5"/>
      <c r="K133" s="5"/>
    </row>
    <row r="134" spans="2:11" ht="180">
      <c r="B134" s="1435"/>
      <c r="C134" s="73"/>
      <c r="D134" s="36" t="s">
        <v>357</v>
      </c>
      <c r="E134" s="5"/>
      <c r="F134" s="5"/>
      <c r="G134" s="5"/>
      <c r="H134" s="5"/>
      <c r="I134" s="5"/>
      <c r="J134" s="5"/>
      <c r="K134" s="5"/>
    </row>
    <row r="135" spans="2:11" ht="60">
      <c r="B135" s="1435"/>
      <c r="C135" s="73"/>
      <c r="D135" s="36" t="s">
        <v>358</v>
      </c>
      <c r="E135" s="5"/>
      <c r="F135" s="5"/>
      <c r="G135" s="5"/>
      <c r="H135" s="5"/>
      <c r="I135" s="5"/>
      <c r="J135" s="5"/>
      <c r="K135" s="5"/>
    </row>
    <row r="136" spans="2:11" ht="108.6" thickBot="1">
      <c r="B136" s="1436"/>
      <c r="C136" s="2"/>
      <c r="D136" s="32" t="s">
        <v>359</v>
      </c>
      <c r="E136" s="5"/>
      <c r="F136" s="5"/>
      <c r="G136" s="5"/>
      <c r="H136" s="5"/>
      <c r="I136" s="5"/>
      <c r="J136" s="5"/>
      <c r="K136" s="5"/>
    </row>
    <row r="137" spans="2:11">
      <c r="B137" s="1434" t="s">
        <v>89</v>
      </c>
      <c r="C137" s="73"/>
      <c r="D137" s="43"/>
      <c r="E137" s="5"/>
      <c r="F137" s="5"/>
      <c r="G137" s="5"/>
      <c r="H137" s="5"/>
      <c r="I137" s="5"/>
      <c r="J137" s="5"/>
      <c r="K137" s="5"/>
    </row>
    <row r="138" spans="2:11" ht="36">
      <c r="B138" s="1435"/>
      <c r="C138" s="73"/>
      <c r="D138" s="43" t="s">
        <v>347</v>
      </c>
      <c r="E138" s="5"/>
      <c r="F138" s="5"/>
      <c r="G138" s="5"/>
      <c r="H138" s="5"/>
      <c r="I138" s="5"/>
      <c r="J138" s="5"/>
      <c r="K138" s="5"/>
    </row>
    <row r="139" spans="2:11">
      <c r="B139" s="1435"/>
      <c r="C139" s="73"/>
      <c r="D139" s="13"/>
      <c r="E139" s="5"/>
      <c r="F139" s="5"/>
      <c r="G139" s="5"/>
      <c r="H139" s="5"/>
      <c r="I139" s="5"/>
      <c r="J139" s="5"/>
      <c r="K139" s="5"/>
    </row>
    <row r="140" spans="2:11">
      <c r="B140" s="1435"/>
      <c r="C140" s="73"/>
      <c r="D140" s="36" t="s">
        <v>90</v>
      </c>
      <c r="E140" s="5"/>
      <c r="F140" s="5"/>
      <c r="G140" s="5"/>
      <c r="H140" s="5"/>
      <c r="I140" s="5"/>
      <c r="J140" s="5"/>
      <c r="K140" s="5"/>
    </row>
    <row r="141" spans="2:11" ht="50.4">
      <c r="B141" s="1435"/>
      <c r="C141" s="73"/>
      <c r="D141" s="36" t="s">
        <v>360</v>
      </c>
      <c r="E141" s="5"/>
      <c r="F141" s="5"/>
      <c r="G141" s="5"/>
      <c r="H141" s="5"/>
      <c r="I141" s="5"/>
      <c r="J141" s="5"/>
      <c r="K141" s="5"/>
    </row>
    <row r="142" spans="2:11" ht="50.4">
      <c r="B142" s="1435"/>
      <c r="C142" s="73"/>
      <c r="D142" s="36" t="s">
        <v>361</v>
      </c>
      <c r="E142" s="5"/>
      <c r="F142" s="5"/>
      <c r="G142" s="5"/>
      <c r="H142" s="5"/>
      <c r="I142" s="5"/>
      <c r="J142" s="5"/>
      <c r="K142" s="5"/>
    </row>
    <row r="143" spans="2:11" ht="39" thickBot="1">
      <c r="B143" s="1436"/>
      <c r="C143" s="2"/>
      <c r="D143" s="32" t="s">
        <v>362</v>
      </c>
      <c r="E143" s="5"/>
      <c r="F143" s="5"/>
      <c r="G143" s="5"/>
      <c r="H143" s="5"/>
      <c r="I143" s="5"/>
      <c r="J143" s="5"/>
      <c r="K143" s="5"/>
    </row>
  </sheetData>
  <sheetProtection insertRows="0"/>
  <mergeCells count="54">
    <mergeCell ref="B114:J115"/>
    <mergeCell ref="B116:J116"/>
    <mergeCell ref="B118:D118"/>
    <mergeCell ref="B120:B129"/>
    <mergeCell ref="B132:B136"/>
    <mergeCell ref="B137:B143"/>
    <mergeCell ref="C16:C17"/>
    <mergeCell ref="D16:D17"/>
    <mergeCell ref="B101:B107"/>
    <mergeCell ref="D77:J77"/>
    <mergeCell ref="D78:J78"/>
    <mergeCell ref="D86:J86"/>
    <mergeCell ref="B87:B89"/>
    <mergeCell ref="D87:J87"/>
    <mergeCell ref="D88:J88"/>
    <mergeCell ref="D89:J89"/>
    <mergeCell ref="F72:F73"/>
    <mergeCell ref="G72:G73"/>
    <mergeCell ref="H72:H73"/>
    <mergeCell ref="D47:J47"/>
    <mergeCell ref="D48:J48"/>
    <mergeCell ref="D49:J49"/>
    <mergeCell ref="D37:J37"/>
    <mergeCell ref="D46:J46"/>
    <mergeCell ref="F16:F17"/>
    <mergeCell ref="D24:I24"/>
    <mergeCell ref="E16:E17"/>
    <mergeCell ref="G16:G17"/>
    <mergeCell ref="B91:E91"/>
    <mergeCell ref="B92:B98"/>
    <mergeCell ref="B100:E100"/>
    <mergeCell ref="D58:J58"/>
    <mergeCell ref="D59:J59"/>
    <mergeCell ref="D60:J60"/>
    <mergeCell ref="D69:J69"/>
    <mergeCell ref="D70:J70"/>
    <mergeCell ref="D71:J71"/>
    <mergeCell ref="I72:I73"/>
    <mergeCell ref="D72:D73"/>
    <mergeCell ref="E72:E73"/>
    <mergeCell ref="B15:B85"/>
    <mergeCell ref="D26:J26"/>
    <mergeCell ref="D35:J35"/>
    <mergeCell ref="D36:J36"/>
    <mergeCell ref="B11:D11"/>
    <mergeCell ref="F11:S11"/>
    <mergeCell ref="F12:S12"/>
    <mergeCell ref="E13:R13"/>
    <mergeCell ref="E14:R14"/>
    <mergeCell ref="A1:P1"/>
    <mergeCell ref="A2:P2"/>
    <mergeCell ref="A3:P3"/>
    <mergeCell ref="A4:D4"/>
    <mergeCell ref="A5:P5"/>
  </mergeCells>
  <conditionalFormatting sqref="E13:R13">
    <cfRule type="expression" dxfId="91" priority="3">
      <formula>E12="SI SE REPORTA"</formula>
    </cfRule>
  </conditionalFormatting>
  <conditionalFormatting sqref="F11">
    <cfRule type="notContainsBlanks" dxfId="90" priority="6">
      <formula>LEN(TRIM(F11))&gt;0</formula>
    </cfRule>
  </conditionalFormatting>
  <conditionalFormatting sqref="F12:S12">
    <cfRule type="expression" dxfId="89" priority="1">
      <formula>E12="NO SE REPORTA"</formula>
    </cfRule>
    <cfRule type="expression" dxfId="88" priority="2">
      <formula>E11="NO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F18 E28:H33 E22:F22 E51:H56" xr:uid="{00000000-0002-0000-0D00-000000000000}">
      <formula1>0</formula1>
    </dataValidation>
    <dataValidation type="whole" operator="greaterThanOrEqual" allowBlank="1" showInputMessage="1" showErrorMessage="1" errorTitle="ERROR" error="Valor en HECTAREAS (sin decimales)_x000a_" sqref="E39:H44 E19:F21 G74:H76 E62:H67" xr:uid="{00000000-0002-0000-0D00-000001000000}">
      <formula1>0</formula1>
    </dataValidation>
    <dataValidation allowBlank="1" showInputMessage="1" showErrorMessage="1" promptTitle="ESTADO" prompt="en preparación_x000a_en aprestamiento_x000a_en declaración_x000a_Declarado" sqref="I74:I76" xr:uid="{00000000-0002-0000-0D00-000002000000}"/>
    <dataValidation allowBlank="1" showInputMessage="1" showErrorMessage="1" sqref="I39 E45:H45 I51 E68:H68 I62 E57:H57 E23:F23 I28" xr:uid="{00000000-0002-0000-0D00-000003000000}"/>
    <dataValidation type="list" allowBlank="1" showInputMessage="1" showErrorMessage="1" sqref="E12" xr:uid="{00000000-0002-0000-0D00-000004000000}">
      <formula1>REPORTE</formula1>
    </dataValidation>
    <dataValidation type="list" allowBlank="1" showInputMessage="1" showErrorMessage="1" sqref="E11" xr:uid="{00000000-0002-0000-0D00-000005000000}">
      <formula1>SI</formula1>
    </dataValidation>
  </dataValidations>
  <hyperlinks>
    <hyperlink ref="B10" location="'ANEXO 3'!A1" display="VOLVER AL INDICE" xr:uid="{00000000-0004-0000-0D00-000000000000}"/>
    <hyperlink ref="E96" r:id="rId1" xr:uid="{00000000-0004-0000-0D00-000001000000}"/>
  </hyperlinks>
  <pageMargins left="0.25" right="0.25" top="0.75" bottom="0.75" header="0.3" footer="0.3"/>
  <pageSetup paperSize="178" orientation="landscape" horizontalDpi="1200" verticalDpi="1200" r:id="rId2"/>
  <drawing r:id="rId3"/>
  <legacy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0">
    <tabColor rgb="FF92D050"/>
  </sheetPr>
  <dimension ref="A1:U89"/>
  <sheetViews>
    <sheetView showGridLines="0" topLeftCell="A4" zoomScale="98" zoomScaleNormal="98" workbookViewId="0">
      <selection activeCell="D8" sqref="D8"/>
    </sheetView>
  </sheetViews>
  <sheetFormatPr baseColWidth="10" defaultRowHeight="14.4"/>
  <cols>
    <col min="1" max="1" width="1.88671875" customWidth="1"/>
    <col min="2" max="2" width="12.88671875" customWidth="1"/>
    <col min="3" max="3" width="5" style="66" bestFit="1" customWidth="1"/>
    <col min="4" max="4" width="34.88671875" customWidth="1"/>
    <col min="5" max="5" width="13.55468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395</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4" t="s">
        <v>1178</v>
      </c>
      <c r="C8" s="166">
        <v>2022</v>
      </c>
      <c r="D8" s="170" t="str">
        <f>IF(E10="NO APLICA","NO APLICA",IF(E11="NO SE REPORTA","SIN INFORMACION",+F20))</f>
        <v>NO APLICA</v>
      </c>
      <c r="E8" s="167"/>
      <c r="F8" s="5" t="s">
        <v>129</v>
      </c>
      <c r="G8" s="5"/>
      <c r="H8" s="5"/>
      <c r="I8" s="5"/>
      <c r="J8" s="5"/>
      <c r="K8" s="5"/>
    </row>
    <row r="9" spans="1:21">
      <c r="B9" s="298" t="s">
        <v>1179</v>
      </c>
      <c r="D9" s="5"/>
      <c r="E9" s="5"/>
      <c r="F9" s="5"/>
      <c r="G9" s="5"/>
      <c r="H9" s="5"/>
      <c r="I9" s="5"/>
      <c r="J9" s="5"/>
      <c r="K9" s="5"/>
    </row>
    <row r="10" spans="1:21">
      <c r="B10" s="1404" t="s">
        <v>1234</v>
      </c>
      <c r="C10" s="1404"/>
      <c r="D10" s="1404"/>
      <c r="E10" s="301" t="s">
        <v>1230</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c>
      <c r="E11" s="302" t="s">
        <v>1232</v>
      </c>
      <c r="F11" s="1405" t="s">
        <v>1824</v>
      </c>
      <c r="G11" s="1406"/>
      <c r="H11" s="1406"/>
      <c r="I11" s="1406"/>
      <c r="J11" s="1406"/>
      <c r="K11" s="1406"/>
      <c r="L11" s="1406"/>
      <c r="M11" s="1406"/>
      <c r="N11" s="1406"/>
      <c r="O11" s="1406"/>
      <c r="P11" s="1406"/>
      <c r="Q11" s="1406"/>
      <c r="R11" s="1406"/>
      <c r="S11" s="1406"/>
    </row>
    <row r="12" spans="1:21" ht="23.4" customHeight="1">
      <c r="B12" s="298"/>
      <c r="C12" s="67"/>
      <c r="D12" s="144" t="str">
        <f>IF(E11="SI SE REPORTA","¿Qué programas o proyectos del Plan de Acción están asociados al indicador? ","")</f>
        <v/>
      </c>
      <c r="E12" s="1407"/>
      <c r="F12" s="1407"/>
      <c r="G12" s="1407"/>
      <c r="H12" s="1407"/>
      <c r="I12" s="1407"/>
      <c r="J12" s="1407"/>
      <c r="K12" s="1407"/>
      <c r="L12" s="1407"/>
      <c r="M12" s="1407"/>
      <c r="N12" s="1407"/>
      <c r="O12" s="1407"/>
      <c r="P12" s="1407"/>
      <c r="Q12" s="1407"/>
      <c r="R12" s="1407"/>
    </row>
    <row r="13" spans="1:21" ht="21.9" customHeight="1">
      <c r="B13" s="298"/>
      <c r="C13" s="67"/>
      <c r="D13" s="144" t="s">
        <v>1236</v>
      </c>
      <c r="E13" s="1568" t="s">
        <v>1831</v>
      </c>
      <c r="F13" s="1569"/>
      <c r="G13" s="1569"/>
      <c r="H13" s="1569"/>
      <c r="I13" s="1569"/>
      <c r="J13" s="1569"/>
      <c r="K13" s="1569"/>
      <c r="L13" s="1569"/>
      <c r="M13" s="1569"/>
      <c r="N13" s="1569"/>
      <c r="O13" s="1569"/>
      <c r="P13" s="1569"/>
      <c r="Q13" s="1569"/>
      <c r="R13" s="1570"/>
    </row>
    <row r="14" spans="1:21" ht="6.9" customHeight="1" thickBot="1">
      <c r="B14" s="298"/>
      <c r="D14" s="5"/>
      <c r="E14" s="5"/>
      <c r="F14" s="5"/>
      <c r="G14" s="5"/>
      <c r="H14" s="5"/>
      <c r="I14" s="5"/>
      <c r="J14" s="5"/>
      <c r="K14" s="5"/>
    </row>
    <row r="15" spans="1:21" ht="15" thickTop="1">
      <c r="B15" s="1567" t="s">
        <v>2</v>
      </c>
      <c r="C15" s="68"/>
      <c r="D15" s="1425" t="s">
        <v>335</v>
      </c>
      <c r="E15" s="1426"/>
      <c r="F15" s="1426"/>
      <c r="G15" s="1426"/>
      <c r="H15" s="1426"/>
      <c r="I15" s="1426"/>
      <c r="J15" s="1427"/>
      <c r="K15" s="5"/>
    </row>
    <row r="16" spans="1:21" ht="15" thickBot="1">
      <c r="B16" s="1435"/>
      <c r="C16" s="71"/>
      <c r="D16" s="1419" t="s">
        <v>410</v>
      </c>
      <c r="E16" s="1420"/>
      <c r="F16" s="1420"/>
      <c r="G16" s="1420"/>
      <c r="H16" s="1420"/>
      <c r="I16" s="1420"/>
      <c r="J16" s="1421"/>
      <c r="K16" s="5"/>
    </row>
    <row r="17" spans="2:11" ht="15" thickBot="1">
      <c r="B17" s="1435"/>
      <c r="C17" s="73"/>
      <c r="D17" s="30" t="s">
        <v>411</v>
      </c>
      <c r="E17" s="34" t="s">
        <v>1715</v>
      </c>
      <c r="F17" s="30" t="s">
        <v>19</v>
      </c>
      <c r="G17" s="30" t="s">
        <v>20</v>
      </c>
      <c r="H17" s="30" t="s">
        <v>21</v>
      </c>
      <c r="I17" s="30" t="s">
        <v>22</v>
      </c>
      <c r="J17" s="30" t="s">
        <v>150</v>
      </c>
      <c r="K17" s="5"/>
    </row>
    <row r="18" spans="2:11" ht="24.6" thickBot="1">
      <c r="B18" s="1435"/>
      <c r="C18" s="73"/>
      <c r="D18" s="32" t="s">
        <v>412</v>
      </c>
      <c r="E18" s="310"/>
      <c r="F18" s="162"/>
      <c r="G18" s="162"/>
      <c r="H18" s="162"/>
      <c r="I18" s="162"/>
      <c r="J18" s="33">
        <f>SUM(F18:I18)</f>
        <v>0</v>
      </c>
      <c r="K18" s="15"/>
    </row>
    <row r="19" spans="2:11" ht="36.6" thickBot="1">
      <c r="B19" s="1435"/>
      <c r="C19" s="73"/>
      <c r="D19" s="32" t="s">
        <v>413</v>
      </c>
      <c r="E19" s="162"/>
      <c r="F19" s="162"/>
      <c r="G19" s="162"/>
      <c r="H19" s="162"/>
      <c r="I19" s="162"/>
      <c r="J19" s="33">
        <f>SUM(F19:I19)</f>
        <v>0</v>
      </c>
      <c r="K19" s="15"/>
    </row>
    <row r="20" spans="2:11" ht="36.6" thickBot="1">
      <c r="B20" s="1435"/>
      <c r="C20" s="2"/>
      <c r="D20" s="32" t="s">
        <v>395</v>
      </c>
      <c r="E20" s="148" t="str">
        <f t="shared" ref="E20:J20" si="0">IFERROR(E19/E18,"N.A.")</f>
        <v>N.A.</v>
      </c>
      <c r="F20" s="148" t="str">
        <f t="shared" si="0"/>
        <v>N.A.</v>
      </c>
      <c r="G20" s="148" t="str">
        <f t="shared" si="0"/>
        <v>N.A.</v>
      </c>
      <c r="H20" s="148" t="str">
        <f t="shared" si="0"/>
        <v>N.A.</v>
      </c>
      <c r="I20" s="148" t="str">
        <f t="shared" si="0"/>
        <v>N.A.</v>
      </c>
      <c r="J20" s="148" t="str">
        <f t="shared" si="0"/>
        <v>N.A.</v>
      </c>
      <c r="K20" s="15"/>
    </row>
    <row r="21" spans="2:11" ht="11.1" customHeight="1" thickBot="1">
      <c r="B21" s="174"/>
      <c r="C21" s="68"/>
      <c r="D21" s="1419" t="s">
        <v>1182</v>
      </c>
      <c r="E21" s="1420"/>
      <c r="F21" s="1420"/>
      <c r="G21" s="1420"/>
      <c r="H21" s="1420"/>
      <c r="I21" s="1420"/>
      <c r="J21" s="1421"/>
      <c r="K21" s="5"/>
    </row>
    <row r="22" spans="2:11" ht="24.6" thickBot="1">
      <c r="B22" s="174"/>
      <c r="C22" s="71"/>
      <c r="D22" s="42" t="s">
        <v>1183</v>
      </c>
      <c r="E22" s="185" t="s">
        <v>1184</v>
      </c>
      <c r="F22" s="53" t="s">
        <v>386</v>
      </c>
      <c r="G22" s="242"/>
      <c r="H22" s="243"/>
      <c r="I22" s="243"/>
      <c r="J22" s="244"/>
      <c r="K22" s="5"/>
    </row>
    <row r="23" spans="2:11" s="151" customFormat="1" ht="15" thickBot="1">
      <c r="B23" s="171"/>
      <c r="C23" s="179"/>
      <c r="D23" s="236"/>
      <c r="E23" s="408"/>
      <c r="F23" s="205"/>
      <c r="G23" s="237"/>
      <c r="J23" s="238"/>
      <c r="K23" s="15"/>
    </row>
    <row r="24" spans="2:11" s="151" customFormat="1" ht="15" thickBot="1">
      <c r="B24" s="171"/>
      <c r="C24" s="179"/>
      <c r="D24" s="236"/>
      <c r="E24" s="205"/>
      <c r="F24" s="205"/>
      <c r="G24" s="237"/>
      <c r="J24" s="238"/>
      <c r="K24" s="15"/>
    </row>
    <row r="25" spans="2:11" s="151" customFormat="1" ht="15" thickBot="1">
      <c r="B25" s="171"/>
      <c r="C25" s="179"/>
      <c r="D25" s="236"/>
      <c r="E25" s="205"/>
      <c r="F25" s="205"/>
      <c r="G25" s="237"/>
      <c r="J25" s="238"/>
      <c r="K25" s="15"/>
    </row>
    <row r="26" spans="2:11" s="151" customFormat="1" ht="15" thickBot="1">
      <c r="B26" s="171"/>
      <c r="C26" s="179"/>
      <c r="D26" s="236"/>
      <c r="E26" s="205"/>
      <c r="F26" s="205"/>
      <c r="G26" s="237"/>
      <c r="J26" s="238"/>
      <c r="K26" s="15"/>
    </row>
    <row r="27" spans="2:11" s="151" customFormat="1" ht="15" thickBot="1">
      <c r="B27" s="171"/>
      <c r="C27" s="179"/>
      <c r="D27" s="236"/>
      <c r="E27" s="205"/>
      <c r="F27" s="205"/>
      <c r="G27" s="237"/>
      <c r="J27" s="238"/>
      <c r="K27" s="15"/>
    </row>
    <row r="28" spans="2:11" s="151" customFormat="1" ht="15" thickBot="1">
      <c r="B28" s="171"/>
      <c r="C28" s="179"/>
      <c r="D28" s="236"/>
      <c r="E28" s="205"/>
      <c r="F28" s="205"/>
      <c r="G28" s="237"/>
      <c r="J28" s="238"/>
      <c r="K28" s="15"/>
    </row>
    <row r="29" spans="2:11" s="151" customFormat="1" ht="15" thickBot="1">
      <c r="B29" s="171"/>
      <c r="C29" s="179"/>
      <c r="D29" s="236"/>
      <c r="E29" s="205"/>
      <c r="F29" s="205"/>
      <c r="G29" s="237"/>
      <c r="J29" s="238"/>
      <c r="K29" s="15"/>
    </row>
    <row r="30" spans="2:11" s="151" customFormat="1" ht="15" thickBot="1">
      <c r="B30" s="171"/>
      <c r="C30" s="179"/>
      <c r="D30" s="236"/>
      <c r="E30" s="205"/>
      <c r="F30" s="205"/>
      <c r="G30" s="237"/>
      <c r="J30" s="238"/>
      <c r="K30" s="15"/>
    </row>
    <row r="31" spans="2:11" s="151" customFormat="1" ht="15" thickBot="1">
      <c r="B31" s="171"/>
      <c r="C31" s="179"/>
      <c r="D31" s="236"/>
      <c r="E31" s="205"/>
      <c r="F31" s="205"/>
      <c r="G31" s="237"/>
      <c r="J31" s="238"/>
      <c r="K31" s="15"/>
    </row>
    <row r="32" spans="2:11" s="151" customFormat="1" ht="15" thickBot="1">
      <c r="B32" s="171"/>
      <c r="C32" s="179"/>
      <c r="D32" s="236"/>
      <c r="E32" s="205"/>
      <c r="F32" s="205"/>
      <c r="G32" s="237"/>
      <c r="J32" s="238"/>
      <c r="K32" s="15"/>
    </row>
    <row r="33" spans="2:11" s="151" customFormat="1" ht="15" thickBot="1">
      <c r="B33" s="171"/>
      <c r="C33" s="179"/>
      <c r="D33" s="25"/>
      <c r="E33" s="25"/>
      <c r="F33" s="25"/>
      <c r="G33" s="237"/>
      <c r="J33" s="238"/>
    </row>
    <row r="34" spans="2:11" s="151" customFormat="1" ht="15" thickBot="1">
      <c r="B34" s="171"/>
      <c r="C34" s="179"/>
      <c r="D34" s="25"/>
      <c r="E34" s="25"/>
      <c r="F34" s="25"/>
      <c r="G34" s="237"/>
      <c r="J34" s="238"/>
    </row>
    <row r="35" spans="2:11" s="151" customFormat="1" ht="15" thickBot="1">
      <c r="B35" s="172"/>
      <c r="C35" s="175"/>
      <c r="D35" s="25"/>
      <c r="E35" s="25"/>
      <c r="F35" s="25"/>
      <c r="G35" s="239"/>
      <c r="H35" s="240"/>
      <c r="I35" s="240"/>
      <c r="J35" s="241"/>
    </row>
    <row r="36" spans="2:11" ht="15" thickBot="1">
      <c r="B36" s="37" t="s">
        <v>33</v>
      </c>
      <c r="C36" s="72"/>
      <c r="D36" s="1437" t="s">
        <v>414</v>
      </c>
      <c r="E36" s="1438"/>
      <c r="F36" s="1438"/>
      <c r="G36" s="1438"/>
      <c r="H36" s="1438"/>
      <c r="I36" s="1438"/>
      <c r="J36" s="1439"/>
    </row>
    <row r="37" spans="2:11" ht="24.6" thickBot="1">
      <c r="B37" s="37" t="s">
        <v>35</v>
      </c>
      <c r="C37" s="72"/>
      <c r="D37" s="1437" t="s">
        <v>345</v>
      </c>
      <c r="E37" s="1438"/>
      <c r="F37" s="1438"/>
      <c r="G37" s="1438"/>
      <c r="H37" s="1438"/>
      <c r="I37" s="1438"/>
      <c r="J37" s="1439"/>
    </row>
    <row r="38" spans="2:11" ht="15" thickBot="1">
      <c r="B38" s="107"/>
      <c r="C38" s="80"/>
      <c r="D38" s="107"/>
      <c r="E38" s="107"/>
      <c r="F38" s="107"/>
      <c r="G38" s="107"/>
      <c r="H38" s="107"/>
      <c r="I38" s="107"/>
      <c r="J38" s="107"/>
      <c r="K38" s="5"/>
    </row>
    <row r="39" spans="2:11" ht="24" customHeight="1" thickBot="1">
      <c r="B39" s="1444" t="s">
        <v>37</v>
      </c>
      <c r="C39" s="1445"/>
      <c r="D39" s="1445"/>
      <c r="E39" s="1446"/>
      <c r="F39" s="5"/>
      <c r="G39" s="5"/>
      <c r="H39" s="5"/>
      <c r="I39" s="5"/>
      <c r="J39" s="5"/>
      <c r="K39" s="5"/>
    </row>
    <row r="40" spans="2:11" ht="15" thickBot="1">
      <c r="B40" s="1434">
        <v>1</v>
      </c>
      <c r="C40" s="73"/>
      <c r="D40" s="38" t="s">
        <v>38</v>
      </c>
      <c r="E40" s="25"/>
      <c r="F40" s="5"/>
      <c r="G40" s="5"/>
      <c r="H40" s="5"/>
      <c r="I40" s="5"/>
      <c r="J40" s="5"/>
      <c r="K40" s="5"/>
    </row>
    <row r="41" spans="2:11" ht="15" thickBot="1">
      <c r="B41" s="1435"/>
      <c r="C41" s="73"/>
      <c r="D41" s="32" t="s">
        <v>39</v>
      </c>
      <c r="E41" s="25"/>
      <c r="F41" s="5"/>
      <c r="G41" s="5"/>
      <c r="H41" s="5"/>
      <c r="I41" s="5"/>
      <c r="J41" s="5"/>
      <c r="K41" s="5"/>
    </row>
    <row r="42" spans="2:11" ht="15" thickBot="1">
      <c r="B42" s="1435"/>
      <c r="C42" s="73"/>
      <c r="D42" s="32" t="s">
        <v>40</v>
      </c>
      <c r="E42" s="25"/>
      <c r="F42" s="5"/>
      <c r="G42" s="5"/>
      <c r="H42" s="5"/>
      <c r="I42" s="5"/>
      <c r="J42" s="5"/>
      <c r="K42" s="5"/>
    </row>
    <row r="43" spans="2:11" ht="15" thickBot="1">
      <c r="B43" s="1435"/>
      <c r="C43" s="73"/>
      <c r="D43" s="32" t="s">
        <v>41</v>
      </c>
      <c r="E43" s="25"/>
      <c r="F43" s="5"/>
      <c r="G43" s="5"/>
      <c r="H43" s="5"/>
      <c r="I43" s="5"/>
      <c r="J43" s="5"/>
      <c r="K43" s="5"/>
    </row>
    <row r="44" spans="2:11" ht="15" thickBot="1">
      <c r="B44" s="1435"/>
      <c r="C44" s="73"/>
      <c r="D44" s="32" t="s">
        <v>42</v>
      </c>
      <c r="E44" s="25"/>
      <c r="F44" s="5"/>
      <c r="G44" s="5"/>
      <c r="H44" s="5"/>
      <c r="I44" s="5"/>
      <c r="J44" s="5"/>
      <c r="K44" s="5"/>
    </row>
    <row r="45" spans="2:11" ht="15" thickBot="1">
      <c r="B45" s="1435"/>
      <c r="C45" s="73"/>
      <c r="D45" s="32" t="s">
        <v>43</v>
      </c>
      <c r="E45" s="25"/>
      <c r="F45" s="5"/>
      <c r="G45" s="5"/>
      <c r="H45" s="5"/>
      <c r="I45" s="5"/>
      <c r="J45" s="5"/>
      <c r="K45" s="5"/>
    </row>
    <row r="46" spans="2:11" ht="15" thickBot="1">
      <c r="B46" s="1436"/>
      <c r="C46" s="2"/>
      <c r="D46" s="32" t="s">
        <v>44</v>
      </c>
      <c r="E46" s="25"/>
      <c r="F46" s="5"/>
      <c r="G46" s="5"/>
      <c r="H46" s="5"/>
      <c r="I46" s="5"/>
      <c r="J46" s="5"/>
      <c r="K46" s="5"/>
    </row>
    <row r="47" spans="2:11" ht="15" thickBot="1">
      <c r="B47" s="1"/>
      <c r="C47" s="64"/>
      <c r="D47" s="5"/>
      <c r="E47" s="5"/>
      <c r="F47" s="5"/>
      <c r="G47" s="5"/>
      <c r="H47" s="5"/>
      <c r="I47" s="5"/>
      <c r="J47" s="5"/>
      <c r="K47" s="5"/>
    </row>
    <row r="48" spans="2:11" ht="15" thickBot="1">
      <c r="B48" s="1444" t="s">
        <v>45</v>
      </c>
      <c r="C48" s="1445"/>
      <c r="D48" s="1445"/>
      <c r="E48" s="1446"/>
      <c r="F48" s="5"/>
      <c r="G48" s="5"/>
      <c r="H48" s="5"/>
      <c r="I48" s="5"/>
      <c r="J48" s="5"/>
      <c r="K48" s="5"/>
    </row>
    <row r="49" spans="2:11" ht="15" thickBot="1">
      <c r="B49" s="1434">
        <v>1</v>
      </c>
      <c r="C49" s="73"/>
      <c r="D49" s="38" t="s">
        <v>38</v>
      </c>
      <c r="E49" s="176" t="s">
        <v>46</v>
      </c>
      <c r="F49" s="5"/>
      <c r="G49" s="5"/>
      <c r="H49" s="5"/>
      <c r="I49" s="5"/>
      <c r="J49" s="5"/>
      <c r="K49" s="5"/>
    </row>
    <row r="50" spans="2:11" ht="15" thickBot="1">
      <c r="B50" s="1435"/>
      <c r="C50" s="73"/>
      <c r="D50" s="32" t="s">
        <v>39</v>
      </c>
      <c r="E50" s="176" t="s">
        <v>47</v>
      </c>
      <c r="F50" s="5"/>
      <c r="G50" s="5"/>
      <c r="H50" s="5"/>
      <c r="I50" s="5"/>
      <c r="J50" s="5"/>
      <c r="K50" s="5"/>
    </row>
    <row r="51" spans="2:11" ht="15" thickBot="1">
      <c r="B51" s="1435"/>
      <c r="C51" s="73"/>
      <c r="D51" s="32" t="s">
        <v>40</v>
      </c>
      <c r="E51" s="193"/>
      <c r="F51" s="5"/>
      <c r="G51" s="5"/>
      <c r="H51" s="5"/>
      <c r="I51" s="5"/>
      <c r="J51" s="5"/>
      <c r="K51" s="5"/>
    </row>
    <row r="52" spans="2:11" ht="15" thickBot="1">
      <c r="B52" s="1435"/>
      <c r="C52" s="73"/>
      <c r="D52" s="32" t="s">
        <v>41</v>
      </c>
      <c r="E52" s="193"/>
      <c r="F52" s="5"/>
      <c r="G52" s="5"/>
      <c r="H52" s="5"/>
      <c r="I52" s="5"/>
      <c r="J52" s="5"/>
      <c r="K52" s="5"/>
    </row>
    <row r="53" spans="2:11" ht="15" thickBot="1">
      <c r="B53" s="1435"/>
      <c r="C53" s="73"/>
      <c r="D53" s="32" t="s">
        <v>42</v>
      </c>
      <c r="E53" s="193"/>
      <c r="F53" s="5"/>
      <c r="G53" s="5"/>
      <c r="H53" s="5"/>
      <c r="I53" s="5"/>
      <c r="J53" s="5"/>
      <c r="K53" s="5"/>
    </row>
    <row r="54" spans="2:11" ht="15" thickBot="1">
      <c r="B54" s="1435"/>
      <c r="C54" s="73"/>
      <c r="D54" s="32" t="s">
        <v>43</v>
      </c>
      <c r="E54" s="193"/>
      <c r="F54" s="5"/>
      <c r="G54" s="5"/>
      <c r="H54" s="5"/>
      <c r="I54" s="5"/>
      <c r="J54" s="5"/>
      <c r="K54" s="5"/>
    </row>
    <row r="55" spans="2:11" ht="15" thickBot="1">
      <c r="B55" s="1436"/>
      <c r="C55" s="2"/>
      <c r="D55" s="32" t="s">
        <v>44</v>
      </c>
      <c r="E55" s="193"/>
      <c r="F55" s="5"/>
      <c r="G55" s="5"/>
      <c r="H55" s="5"/>
      <c r="I55" s="5"/>
      <c r="J55" s="5"/>
      <c r="K55" s="5"/>
    </row>
    <row r="56" spans="2:11" ht="15" thickBot="1">
      <c r="B56" s="1"/>
      <c r="C56" s="64"/>
      <c r="D56" s="5"/>
      <c r="E56" s="5"/>
      <c r="F56" s="5"/>
      <c r="G56" s="5"/>
      <c r="H56" s="5"/>
      <c r="I56" s="5"/>
      <c r="J56" s="5"/>
      <c r="K56" s="5"/>
    </row>
    <row r="57" spans="2:11" ht="15" customHeight="1" thickBot="1">
      <c r="B57" s="100" t="s">
        <v>48</v>
      </c>
      <c r="C57" s="101"/>
      <c r="D57" s="101"/>
      <c r="E57" s="102"/>
      <c r="G57" s="5"/>
      <c r="H57" s="5"/>
      <c r="I57" s="5"/>
      <c r="J57" s="5"/>
      <c r="K57" s="5"/>
    </row>
    <row r="58" spans="2:11" ht="24.6" thickBot="1">
      <c r="B58" s="37" t="s">
        <v>49</v>
      </c>
      <c r="C58" s="32" t="s">
        <v>50</v>
      </c>
      <c r="D58" s="32" t="s">
        <v>51</v>
      </c>
      <c r="E58" s="32" t="s">
        <v>52</v>
      </c>
      <c r="F58" s="5"/>
      <c r="G58" s="5"/>
      <c r="H58" s="5"/>
      <c r="I58" s="5"/>
      <c r="J58" s="5"/>
    </row>
    <row r="59" spans="2:11" ht="72.599999999999994" thickBot="1">
      <c r="B59" s="39">
        <v>42401</v>
      </c>
      <c r="C59" s="32">
        <v>1</v>
      </c>
      <c r="D59" s="40" t="s">
        <v>415</v>
      </c>
      <c r="E59" s="32"/>
      <c r="F59" s="5"/>
      <c r="G59" s="5"/>
      <c r="H59" s="5"/>
      <c r="I59" s="5"/>
      <c r="J59" s="5"/>
    </row>
    <row r="60" spans="2:11" ht="15" thickBot="1">
      <c r="B60" s="1"/>
      <c r="C60" s="64"/>
      <c r="D60" s="5"/>
      <c r="E60" s="5"/>
      <c r="F60" s="5"/>
      <c r="G60" s="5"/>
      <c r="H60" s="5"/>
      <c r="I60" s="5"/>
      <c r="J60" s="5"/>
      <c r="K60" s="5"/>
    </row>
    <row r="61" spans="2:11" ht="15" thickBot="1">
      <c r="B61" s="4" t="s">
        <v>416</v>
      </c>
      <c r="C61" s="75"/>
      <c r="D61" s="5"/>
      <c r="E61" s="5"/>
      <c r="F61" s="5"/>
      <c r="G61" s="5"/>
      <c r="H61" s="5"/>
      <c r="I61" s="5"/>
      <c r="J61" s="5"/>
      <c r="K61" s="5"/>
    </row>
    <row r="62" spans="2:11">
      <c r="B62" s="1513"/>
      <c r="C62" s="1514"/>
      <c r="D62" s="1514"/>
      <c r="E62" s="5"/>
      <c r="F62" s="5"/>
      <c r="G62" s="5"/>
      <c r="H62" s="5"/>
      <c r="I62" s="5"/>
      <c r="J62" s="5"/>
      <c r="K62" s="5"/>
    </row>
    <row r="63" spans="2:11">
      <c r="B63" s="1513"/>
      <c r="C63" s="1514"/>
      <c r="D63" s="1514"/>
      <c r="E63" s="5"/>
      <c r="F63" s="5"/>
      <c r="G63" s="5"/>
      <c r="H63" s="5"/>
      <c r="I63" s="5"/>
      <c r="J63" s="5"/>
      <c r="K63" s="5"/>
    </row>
    <row r="64" spans="2:11" ht="15" thickBot="1">
      <c r="B64" s="5"/>
      <c r="D64" s="5"/>
      <c r="E64" s="5"/>
      <c r="F64" s="5"/>
      <c r="G64" s="5"/>
      <c r="H64" s="5"/>
      <c r="I64" s="5"/>
      <c r="J64" s="5"/>
      <c r="K64" s="5"/>
    </row>
    <row r="65" spans="2:11" ht="15" thickBot="1">
      <c r="B65" s="1444" t="s">
        <v>55</v>
      </c>
      <c r="C65" s="1445"/>
      <c r="D65" s="1446"/>
      <c r="E65" s="5"/>
      <c r="F65" s="5"/>
      <c r="G65" s="5"/>
      <c r="H65" s="5"/>
      <c r="I65" s="5"/>
      <c r="J65" s="5"/>
      <c r="K65" s="5"/>
    </row>
    <row r="66" spans="2:11" ht="48.6" thickBot="1">
      <c r="B66" s="37" t="s">
        <v>56</v>
      </c>
      <c r="C66" s="2"/>
      <c r="D66" s="32" t="s">
        <v>396</v>
      </c>
      <c r="E66" s="5"/>
      <c r="F66" s="5"/>
      <c r="G66" s="5"/>
      <c r="H66" s="5"/>
      <c r="I66" s="5"/>
      <c r="J66" s="5"/>
      <c r="K66" s="5"/>
    </row>
    <row r="67" spans="2:11">
      <c r="B67" s="1434" t="s">
        <v>58</v>
      </c>
      <c r="C67" s="73"/>
      <c r="D67" s="43" t="s">
        <v>59</v>
      </c>
      <c r="E67" s="5"/>
      <c r="F67" s="5"/>
      <c r="G67" s="5"/>
      <c r="H67" s="5"/>
      <c r="I67" s="5"/>
      <c r="J67" s="5"/>
      <c r="K67" s="5"/>
    </row>
    <row r="68" spans="2:11" ht="108">
      <c r="B68" s="1435"/>
      <c r="C68" s="73"/>
      <c r="D68" s="36" t="s">
        <v>397</v>
      </c>
      <c r="E68" s="5"/>
      <c r="F68" s="5"/>
      <c r="G68" s="5"/>
      <c r="H68" s="5"/>
      <c r="I68" s="5"/>
      <c r="J68" s="5"/>
      <c r="K68" s="5"/>
    </row>
    <row r="69" spans="2:11">
      <c r="B69" s="1435"/>
      <c r="C69" s="73"/>
      <c r="D69" s="43" t="s">
        <v>62</v>
      </c>
      <c r="E69" s="5"/>
      <c r="F69" s="5"/>
      <c r="G69" s="5"/>
      <c r="H69" s="5"/>
      <c r="I69" s="5"/>
      <c r="J69" s="5"/>
      <c r="K69" s="5"/>
    </row>
    <row r="70" spans="2:11">
      <c r="B70" s="1435"/>
      <c r="C70" s="73"/>
      <c r="D70" s="36" t="s">
        <v>317</v>
      </c>
      <c r="E70" s="5"/>
      <c r="F70" s="5"/>
      <c r="G70" s="5"/>
      <c r="H70" s="5"/>
      <c r="I70" s="5"/>
      <c r="J70" s="5"/>
      <c r="K70" s="5"/>
    </row>
    <row r="71" spans="2:11">
      <c r="B71" s="1435"/>
      <c r="C71" s="73"/>
      <c r="D71" s="36" t="s">
        <v>398</v>
      </c>
      <c r="E71" s="5"/>
      <c r="F71" s="5"/>
      <c r="G71" s="5"/>
      <c r="H71" s="5"/>
      <c r="I71" s="5"/>
      <c r="J71" s="5"/>
      <c r="K71" s="5"/>
    </row>
    <row r="72" spans="2:11">
      <c r="B72" s="1435"/>
      <c r="C72" s="73"/>
      <c r="D72" s="36" t="s">
        <v>164</v>
      </c>
      <c r="E72" s="5"/>
      <c r="F72" s="5"/>
      <c r="G72" s="5"/>
      <c r="H72" s="5"/>
      <c r="I72" s="5"/>
      <c r="J72" s="5"/>
      <c r="K72" s="5"/>
    </row>
    <row r="73" spans="2:11">
      <c r="B73" s="1435"/>
      <c r="C73" s="73"/>
      <c r="D73" s="36" t="s">
        <v>399</v>
      </c>
      <c r="E73" s="5"/>
      <c r="F73" s="5"/>
      <c r="G73" s="5"/>
      <c r="H73" s="5"/>
      <c r="I73" s="5"/>
      <c r="J73" s="5"/>
      <c r="K73" s="5"/>
    </row>
    <row r="74" spans="2:11">
      <c r="B74" s="1435"/>
      <c r="C74" s="73"/>
      <c r="D74" s="36" t="s">
        <v>400</v>
      </c>
      <c r="E74" s="5"/>
      <c r="F74" s="5"/>
      <c r="G74" s="5"/>
      <c r="H74" s="5"/>
      <c r="I74" s="5"/>
      <c r="J74" s="5"/>
      <c r="K74" s="5"/>
    </row>
    <row r="75" spans="2:11">
      <c r="B75" s="1435"/>
      <c r="C75" s="73"/>
      <c r="D75" s="36" t="s">
        <v>401</v>
      </c>
      <c r="E75" s="5"/>
      <c r="F75" s="5"/>
      <c r="G75" s="5"/>
      <c r="H75" s="5"/>
      <c r="I75" s="5"/>
      <c r="J75" s="5"/>
      <c r="K75" s="5"/>
    </row>
    <row r="76" spans="2:11">
      <c r="B76" s="1435"/>
      <c r="C76" s="73"/>
      <c r="D76" s="36" t="s">
        <v>402</v>
      </c>
      <c r="E76" s="5"/>
      <c r="F76" s="5"/>
      <c r="G76" s="5"/>
      <c r="H76" s="5"/>
      <c r="I76" s="5"/>
      <c r="J76" s="5"/>
      <c r="K76" s="5"/>
    </row>
    <row r="77" spans="2:11">
      <c r="B77" s="1435"/>
      <c r="C77" s="73"/>
      <c r="D77" s="43" t="s">
        <v>287</v>
      </c>
      <c r="E77" s="5"/>
      <c r="F77" s="5"/>
      <c r="G77" s="5"/>
      <c r="H77" s="5"/>
      <c r="I77" s="5"/>
      <c r="J77" s="5"/>
      <c r="K77" s="5"/>
    </row>
    <row r="78" spans="2:11" ht="24.6" thickBot="1">
      <c r="B78" s="1436"/>
      <c r="C78" s="2"/>
      <c r="D78" s="32" t="s">
        <v>352</v>
      </c>
      <c r="E78" s="5"/>
      <c r="F78" s="5"/>
      <c r="G78" s="5"/>
      <c r="H78" s="5"/>
      <c r="I78" s="5"/>
      <c r="J78" s="5"/>
      <c r="K78" s="5"/>
    </row>
    <row r="79" spans="2:11" ht="24.6" thickBot="1">
      <c r="B79" s="37" t="s">
        <v>71</v>
      </c>
      <c r="C79" s="2"/>
      <c r="D79" s="32"/>
      <c r="E79" s="5"/>
      <c r="F79" s="5"/>
      <c r="G79" s="5"/>
      <c r="H79" s="5"/>
      <c r="I79" s="5"/>
      <c r="J79" s="5"/>
      <c r="K79" s="5"/>
    </row>
    <row r="80" spans="2:11" ht="120">
      <c r="B80" s="1434" t="s">
        <v>72</v>
      </c>
      <c r="C80" s="73"/>
      <c r="D80" s="36" t="s">
        <v>403</v>
      </c>
      <c r="E80" s="5"/>
      <c r="F80" s="5"/>
      <c r="G80" s="5"/>
      <c r="H80" s="5"/>
      <c r="I80" s="5"/>
      <c r="J80" s="5"/>
      <c r="K80" s="5"/>
    </row>
    <row r="81" spans="2:11" ht="72">
      <c r="B81" s="1435"/>
      <c r="C81" s="73"/>
      <c r="D81" s="36" t="s">
        <v>404</v>
      </c>
      <c r="E81" s="5"/>
      <c r="F81" s="5"/>
      <c r="G81" s="5"/>
      <c r="H81" s="5"/>
      <c r="I81" s="5"/>
      <c r="J81" s="5"/>
      <c r="K81" s="5"/>
    </row>
    <row r="82" spans="2:11" ht="72">
      <c r="B82" s="1435"/>
      <c r="C82" s="73"/>
      <c r="D82" s="36" t="s">
        <v>405</v>
      </c>
      <c r="E82" s="5"/>
      <c r="F82" s="5"/>
      <c r="G82" s="5"/>
      <c r="H82" s="5"/>
      <c r="I82" s="5"/>
      <c r="J82" s="5"/>
      <c r="K82" s="5"/>
    </row>
    <row r="83" spans="2:11" ht="96.6" thickBot="1">
      <c r="B83" s="1436"/>
      <c r="C83" s="2"/>
      <c r="D83" s="32" t="s">
        <v>406</v>
      </c>
      <c r="E83" s="5"/>
      <c r="F83" s="5"/>
      <c r="G83" s="5"/>
      <c r="H83" s="5"/>
      <c r="I83" s="5"/>
      <c r="J83" s="5"/>
      <c r="K83" s="5"/>
    </row>
    <row r="84" spans="2:11" ht="36">
      <c r="B84" s="1434" t="s">
        <v>89</v>
      </c>
      <c r="C84" s="73"/>
      <c r="D84" s="43" t="s">
        <v>395</v>
      </c>
      <c r="E84" s="5"/>
      <c r="F84" s="5"/>
      <c r="G84" s="5"/>
      <c r="H84" s="5"/>
      <c r="I84" s="5"/>
      <c r="J84" s="5"/>
      <c r="K84" s="5"/>
    </row>
    <row r="85" spans="2:11">
      <c r="B85" s="1435"/>
      <c r="C85" s="73"/>
      <c r="D85" s="13"/>
      <c r="E85" s="5"/>
      <c r="F85" s="5"/>
      <c r="G85" s="5"/>
      <c r="H85" s="5"/>
      <c r="I85" s="5"/>
      <c r="J85" s="5"/>
      <c r="K85" s="5"/>
    </row>
    <row r="86" spans="2:11">
      <c r="B86" s="1435"/>
      <c r="C86" s="73"/>
      <c r="D86" s="36" t="s">
        <v>90</v>
      </c>
      <c r="E86" s="5"/>
      <c r="F86" s="5"/>
      <c r="G86" s="5"/>
      <c r="H86" s="5"/>
      <c r="I86" s="5"/>
      <c r="J86" s="5"/>
      <c r="K86" s="5"/>
    </row>
    <row r="87" spans="2:11" ht="50.4">
      <c r="B87" s="1435"/>
      <c r="C87" s="73"/>
      <c r="D87" s="36" t="s">
        <v>407</v>
      </c>
      <c r="E87" s="5"/>
      <c r="F87" s="5"/>
      <c r="G87" s="5"/>
      <c r="H87" s="5"/>
      <c r="I87" s="5"/>
      <c r="J87" s="5"/>
      <c r="K87" s="5"/>
    </row>
    <row r="88" spans="2:11" ht="62.4">
      <c r="B88" s="1435"/>
      <c r="C88" s="73"/>
      <c r="D88" s="36" t="s">
        <v>408</v>
      </c>
      <c r="E88" s="5"/>
      <c r="F88" s="5"/>
      <c r="G88" s="5"/>
      <c r="H88" s="5"/>
      <c r="I88" s="5"/>
      <c r="J88" s="5"/>
      <c r="K88" s="5"/>
    </row>
    <row r="89" spans="2:11" ht="27" thickBot="1">
      <c r="B89" s="1436"/>
      <c r="C89" s="2"/>
      <c r="D89" s="32" t="s">
        <v>409</v>
      </c>
      <c r="E89" s="5"/>
      <c r="F89" s="5"/>
      <c r="G89" s="5"/>
      <c r="H89" s="5"/>
      <c r="I89" s="5"/>
      <c r="J89" s="5"/>
      <c r="K89" s="5"/>
    </row>
  </sheetData>
  <mergeCells count="25">
    <mergeCell ref="B10:D10"/>
    <mergeCell ref="F10:S10"/>
    <mergeCell ref="F11:S11"/>
    <mergeCell ref="E12:R12"/>
    <mergeCell ref="E13:R13"/>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A1:P1"/>
    <mergeCell ref="A2:P2"/>
    <mergeCell ref="A3:P3"/>
    <mergeCell ref="A4:D4"/>
    <mergeCell ref="A5:P5"/>
  </mergeCells>
  <conditionalFormatting sqref="E12:R12">
    <cfRule type="expression" dxfId="87" priority="3">
      <formula>E11="SI SE REPORTA"</formula>
    </cfRule>
  </conditionalFormatting>
  <conditionalFormatting sqref="F10">
    <cfRule type="notContainsBlanks" dxfId="86" priority="6">
      <formula>LEN(TRIM(F10))&gt;0</formula>
    </cfRule>
  </conditionalFormatting>
  <conditionalFormatting sqref="F11:S11">
    <cfRule type="expression" dxfId="85" priority="1">
      <formula>E11="NO SE REPORTA"</formula>
    </cfRule>
    <cfRule type="expression" dxfId="84" priority="2">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I19" xr:uid="{00000000-0002-0000-0E00-000000000000}">
      <formula1>0</formula1>
    </dataValidation>
    <dataValidation allowBlank="1" showInputMessage="1" showErrorMessage="1" promptTitle="OJO" prompt="NO TOCAR" sqref="E20:J20 J18:J19" xr:uid="{00000000-0002-0000-0E00-000001000000}"/>
    <dataValidation type="whole" operator="greaterThanOrEqual" allowBlank="1" showInputMessage="1" showErrorMessage="1" errorTitle="ERROR" error="Valor en HECTAREAS (sin decimales)_x000a_" sqref="G38:H38" xr:uid="{00000000-0002-0000-0E00-000002000000}">
      <formula1>0</formula1>
    </dataValidation>
    <dataValidation allowBlank="1" showInputMessage="1" showErrorMessage="1" promptTitle="ESTADO" prompt="en preparación_x000a_en aprestamiento_x000a_en declaración_x000a_Declarado" sqref="I38" xr:uid="{00000000-0002-0000-0E00-000003000000}"/>
    <dataValidation type="list" allowBlank="1" showInputMessage="1" showErrorMessage="1" sqref="E11" xr:uid="{00000000-0002-0000-0E00-000004000000}">
      <formula1>REPORTE</formula1>
    </dataValidation>
    <dataValidation type="list" allowBlank="1" showInputMessage="1" showErrorMessage="1" sqref="E10" xr:uid="{00000000-0002-0000-0E00-000005000000}">
      <formula1>SI</formula1>
    </dataValidation>
  </dataValidations>
  <hyperlinks>
    <hyperlink ref="B9" location="'ANEXO 3'!A1" display="VOLVER AL INDICE" xr:uid="{00000000-0004-0000-0E00-000000000000}"/>
  </hyperlinks>
  <pageMargins left="0.25" right="0.25" top="0.75" bottom="0.75" header="0.3" footer="0.3"/>
  <pageSetup paperSize="178"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1">
    <tabColor rgb="FF92D050"/>
  </sheetPr>
  <dimension ref="A1:U184"/>
  <sheetViews>
    <sheetView showGridLines="0" topLeftCell="A19" zoomScale="98" zoomScaleNormal="98" workbookViewId="0">
      <selection activeCell="F10" sqref="F10:S10"/>
    </sheetView>
  </sheetViews>
  <sheetFormatPr baseColWidth="10" defaultRowHeight="14.4"/>
  <cols>
    <col min="1" max="1" width="1.88671875" customWidth="1"/>
    <col min="2" max="2" width="12.88671875" customWidth="1"/>
    <col min="3" max="3" width="5" style="66" bestFit="1" customWidth="1"/>
    <col min="4" max="4" width="42.109375" customWidth="1"/>
    <col min="5" max="5" width="23.109375" customWidth="1"/>
    <col min="6" max="6" width="13" customWidth="1"/>
    <col min="7" max="7" width="12.33203125" customWidth="1"/>
    <col min="8" max="8" width="13" customWidth="1"/>
    <col min="11" max="11" width="17.109375" customWidth="1"/>
    <col min="12" max="12" width="23" customWidth="1"/>
    <col min="13" max="13" width="11" customWidth="1"/>
    <col min="14" max="14" width="10.33203125" customWidth="1"/>
    <col min="15" max="16" width="8.886718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417</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c r="L6" s="5"/>
    </row>
    <row r="7" spans="1:21" ht="15" thickBot="1">
      <c r="B7" s="63"/>
      <c r="C7" s="65"/>
      <c r="D7" s="5"/>
      <c r="E7" s="14"/>
      <c r="F7" s="5" t="s">
        <v>128</v>
      </c>
      <c r="G7" s="5"/>
      <c r="H7" s="5"/>
      <c r="I7" s="5"/>
      <c r="J7" s="5"/>
      <c r="K7" s="5" t="s">
        <v>1199</v>
      </c>
    </row>
    <row r="8" spans="1:21" ht="15" thickBot="1">
      <c r="B8" s="144" t="s">
        <v>1178</v>
      </c>
      <c r="C8" s="564">
        <v>2023</v>
      </c>
      <c r="D8" s="170" t="str">
        <f>IF(E10="NO APLICA","NO APLICA",IF(E11="NO SE REPORTA","SIN INFORMACION",+P34))</f>
        <v>SIN INFORMACION</v>
      </c>
      <c r="E8" s="167"/>
      <c r="F8" s="5" t="s">
        <v>129</v>
      </c>
      <c r="G8" s="5"/>
      <c r="H8" s="5"/>
      <c r="I8" s="5"/>
      <c r="J8" s="5"/>
      <c r="K8" s="5"/>
      <c r="L8" s="5"/>
    </row>
    <row r="9" spans="1:21">
      <c r="B9" s="298" t="s">
        <v>1179</v>
      </c>
      <c r="C9" s="67"/>
      <c r="D9" s="5"/>
      <c r="E9" s="5"/>
      <c r="F9" s="5"/>
      <c r="G9" s="5"/>
      <c r="H9" s="5"/>
      <c r="I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1232</v>
      </c>
      <c r="F11" s="1405" t="s">
        <v>1824</v>
      </c>
      <c r="G11" s="1406"/>
      <c r="H11" s="1406"/>
      <c r="I11" s="1406"/>
      <c r="J11" s="1406"/>
      <c r="K11" s="1406"/>
      <c r="L11" s="1406"/>
      <c r="M11" s="1406"/>
      <c r="N11" s="1406"/>
      <c r="O11" s="1406"/>
      <c r="P11" s="1406"/>
      <c r="Q11" s="1406"/>
      <c r="R11" s="1406"/>
      <c r="S11" s="1406"/>
    </row>
    <row r="12" spans="1:21" ht="10.5" customHeight="1">
      <c r="B12" s="298"/>
      <c r="C12" s="67"/>
      <c r="D12" s="144" t="str">
        <f>IF(E11="SI SE REPORTA","¿Qué programas o proyectos del Plan de Acción están asociados al indicador? ","")</f>
        <v/>
      </c>
      <c r="E12" s="1407"/>
      <c r="F12" s="1407"/>
      <c r="G12" s="1407"/>
      <c r="H12" s="1407"/>
      <c r="I12" s="1407"/>
      <c r="J12" s="1407"/>
      <c r="K12" s="1407"/>
      <c r="L12" s="1407"/>
      <c r="M12" s="1407"/>
      <c r="N12" s="1407"/>
      <c r="O12" s="1407"/>
      <c r="P12" s="1407"/>
      <c r="Q12" s="1407"/>
      <c r="R12" s="1407"/>
    </row>
    <row r="13" spans="1:21" ht="35.25" customHeight="1">
      <c r="B13" s="298"/>
      <c r="C13" s="67"/>
      <c r="D13" s="144" t="s">
        <v>1236</v>
      </c>
      <c r="E13" s="1408" t="s">
        <v>2675</v>
      </c>
      <c r="F13" s="1409"/>
      <c r="G13" s="1409"/>
      <c r="H13" s="1409"/>
      <c r="I13" s="1409"/>
      <c r="J13" s="1409"/>
      <c r="K13" s="1409"/>
      <c r="L13" s="1409"/>
      <c r="M13" s="1409"/>
      <c r="N13" s="1409"/>
      <c r="O13" s="1409"/>
      <c r="P13" s="1409"/>
      <c r="Q13" s="1409"/>
      <c r="R13" s="1410"/>
    </row>
    <row r="14" spans="1:21" ht="6.9" customHeight="1" thickBot="1">
      <c r="B14" s="298"/>
      <c r="C14" s="67"/>
      <c r="D14" s="5"/>
      <c r="E14" s="5"/>
      <c r="F14" s="5"/>
      <c r="G14" s="5"/>
      <c r="H14" s="5"/>
      <c r="I14" s="5"/>
    </row>
    <row r="15" spans="1:21" ht="25.5" customHeight="1" thickBot="1">
      <c r="B15" s="1434" t="s">
        <v>2</v>
      </c>
      <c r="C15" s="68"/>
      <c r="D15" s="1425" t="s">
        <v>335</v>
      </c>
      <c r="E15" s="1426"/>
      <c r="F15" s="1426"/>
      <c r="G15" s="1426"/>
      <c r="H15" s="1426"/>
      <c r="I15" s="1427"/>
      <c r="K15" s="250" t="s">
        <v>411</v>
      </c>
      <c r="L15" s="250" t="s">
        <v>1212</v>
      </c>
      <c r="M15" s="250" t="s">
        <v>1055</v>
      </c>
      <c r="N15" s="257" t="s">
        <v>104</v>
      </c>
      <c r="O15" s="169"/>
    </row>
    <row r="16" spans="1:21" ht="28.5" customHeight="1" thickBot="1">
      <c r="B16" s="1435"/>
      <c r="C16" s="77" t="s">
        <v>18</v>
      </c>
      <c r="D16" s="34" t="s">
        <v>149</v>
      </c>
      <c r="E16" s="69" t="s">
        <v>150</v>
      </c>
      <c r="F16" s="5"/>
      <c r="G16" s="5"/>
      <c r="I16" s="17"/>
      <c r="K16" s="250" t="s">
        <v>1204</v>
      </c>
      <c r="L16" s="257" t="s">
        <v>1213</v>
      </c>
      <c r="M16" s="251">
        <v>0.05</v>
      </c>
      <c r="N16" s="251">
        <v>0.05</v>
      </c>
      <c r="O16" s="169"/>
    </row>
    <row r="17" spans="2:18" ht="43.5" customHeight="1" thickBot="1">
      <c r="B17" s="1435"/>
      <c r="C17" s="2" t="s">
        <v>151</v>
      </c>
      <c r="D17" s="32" t="s">
        <v>1923</v>
      </c>
      <c r="E17" s="163">
        <v>223571</v>
      </c>
      <c r="F17" s="586"/>
      <c r="G17" s="5"/>
      <c r="I17" s="17"/>
      <c r="K17" s="250" t="s">
        <v>1201</v>
      </c>
      <c r="L17" s="257" t="s">
        <v>1215</v>
      </c>
      <c r="M17" s="251">
        <v>0.15</v>
      </c>
      <c r="N17" s="251">
        <f>+M17+N16</f>
        <v>0.2</v>
      </c>
      <c r="O17" s="169"/>
    </row>
    <row r="18" spans="2:18" ht="42" customHeight="1" thickBot="1">
      <c r="B18" s="1435"/>
      <c r="C18" s="2" t="s">
        <v>153</v>
      </c>
      <c r="D18" s="32" t="s">
        <v>429</v>
      </c>
      <c r="E18" s="163"/>
      <c r="F18" s="517"/>
      <c r="G18" s="5"/>
      <c r="I18" s="17"/>
      <c r="K18" s="250" t="s">
        <v>1202</v>
      </c>
      <c r="L18" s="257" t="s">
        <v>1216</v>
      </c>
      <c r="M18" s="251">
        <v>0.15</v>
      </c>
      <c r="N18" s="251">
        <f>+M18+N17</f>
        <v>0.35</v>
      </c>
      <c r="O18" s="169"/>
    </row>
    <row r="19" spans="2:18" ht="46.5" customHeight="1" thickBot="1">
      <c r="B19" s="1435"/>
      <c r="C19" s="2" t="s">
        <v>155</v>
      </c>
      <c r="D19" s="32" t="s">
        <v>430</v>
      </c>
      <c r="E19" s="163"/>
      <c r="F19" s="517"/>
      <c r="G19" s="5"/>
      <c r="I19" s="17"/>
      <c r="K19" s="250" t="s">
        <v>1203</v>
      </c>
      <c r="L19" s="257" t="s">
        <v>1217</v>
      </c>
      <c r="M19" s="251">
        <v>0.2</v>
      </c>
      <c r="N19" s="251">
        <f>+M19+N18</f>
        <v>0.55000000000000004</v>
      </c>
      <c r="O19" s="169"/>
    </row>
    <row r="20" spans="2:18" ht="34.65" customHeight="1" thickBot="1">
      <c r="B20" s="1435"/>
      <c r="C20" s="2" t="s">
        <v>257</v>
      </c>
      <c r="D20" s="32" t="s">
        <v>431</v>
      </c>
      <c r="E20" s="111">
        <f>+E18+E19</f>
        <v>0</v>
      </c>
      <c r="F20" s="5"/>
      <c r="G20" s="5"/>
      <c r="I20" s="17"/>
      <c r="K20" s="250" t="s">
        <v>1200</v>
      </c>
      <c r="L20" s="257" t="s">
        <v>1218</v>
      </c>
      <c r="M20" s="251">
        <v>0.2</v>
      </c>
      <c r="N20" s="251">
        <f>+M20+N19</f>
        <v>0.75</v>
      </c>
      <c r="O20" s="169"/>
    </row>
    <row r="21" spans="2:18" ht="34.65" customHeight="1" thickBot="1">
      <c r="B21" s="1435"/>
      <c r="C21" s="2" t="s">
        <v>259</v>
      </c>
      <c r="D21" s="32" t="s">
        <v>1660</v>
      </c>
      <c r="E21" s="163"/>
      <c r="F21" s="517"/>
      <c r="G21" s="5"/>
      <c r="I21" s="17"/>
      <c r="K21" s="250" t="s">
        <v>1220</v>
      </c>
      <c r="L21" s="257" t="s">
        <v>1219</v>
      </c>
      <c r="M21" s="251">
        <v>0.25</v>
      </c>
      <c r="N21" s="251">
        <f>+M21+N20</f>
        <v>1</v>
      </c>
      <c r="R21" t="s">
        <v>1214</v>
      </c>
    </row>
    <row r="22" spans="2:18" ht="15" customHeight="1">
      <c r="B22" s="1435"/>
      <c r="C22" s="71"/>
      <c r="D22" s="1416"/>
      <c r="E22" s="1417"/>
      <c r="F22" s="1417"/>
      <c r="G22" s="1417"/>
      <c r="H22" s="1417"/>
      <c r="I22" s="1418"/>
      <c r="K22" s="250" t="s">
        <v>150</v>
      </c>
      <c r="L22" s="250"/>
      <c r="M22" s="251">
        <f>SUM(M16:M21)</f>
        <v>1</v>
      </c>
    </row>
    <row r="23" spans="2:18" ht="15" thickBot="1">
      <c r="B23" s="1435"/>
      <c r="C23" s="71"/>
      <c r="D23" s="1447" t="s">
        <v>432</v>
      </c>
      <c r="E23" s="1448"/>
      <c r="F23" s="1448"/>
      <c r="G23" s="1448"/>
      <c r="H23" s="1448"/>
      <c r="I23" s="1449"/>
      <c r="J23" s="5"/>
      <c r="K23" s="5"/>
      <c r="L23" s="5"/>
    </row>
    <row r="24" spans="2:18" ht="15" customHeight="1" thickBot="1">
      <c r="B24" s="1435"/>
      <c r="C24" s="73"/>
      <c r="D24" s="30" t="s">
        <v>149</v>
      </c>
      <c r="E24" s="30" t="s">
        <v>19</v>
      </c>
      <c r="F24" s="30" t="s">
        <v>20</v>
      </c>
      <c r="G24" s="30" t="s">
        <v>21</v>
      </c>
      <c r="H24" s="30" t="s">
        <v>22</v>
      </c>
      <c r="I24" s="30" t="s">
        <v>150</v>
      </c>
      <c r="J24" s="5"/>
      <c r="K24" s="1577" t="s">
        <v>411</v>
      </c>
      <c r="L24" s="1577" t="s">
        <v>1205</v>
      </c>
      <c r="M24" s="1577" t="s">
        <v>19</v>
      </c>
      <c r="N24" s="1577" t="s">
        <v>20</v>
      </c>
      <c r="O24" s="1577" t="s">
        <v>21</v>
      </c>
      <c r="P24" s="1577" t="s">
        <v>22</v>
      </c>
    </row>
    <row r="25" spans="2:18" ht="15" customHeight="1" thickBot="1">
      <c r="B25" s="1435"/>
      <c r="C25" s="73"/>
      <c r="D25" s="31" t="s">
        <v>433</v>
      </c>
      <c r="E25" s="163"/>
      <c r="F25" s="163"/>
      <c r="G25" s="163"/>
      <c r="H25" s="163"/>
      <c r="I25" s="247">
        <f>Formulas!$I$15</f>
        <v>0</v>
      </c>
      <c r="J25" s="5"/>
      <c r="K25" s="1577"/>
      <c r="L25" s="1577"/>
      <c r="M25" s="1577"/>
      <c r="N25" s="1577"/>
      <c r="O25" s="1577"/>
      <c r="P25" s="1577"/>
    </row>
    <row r="26" spans="2:18" ht="15" customHeight="1" thickBot="1">
      <c r="B26" s="1435"/>
      <c r="C26" s="73"/>
      <c r="D26" s="31" t="s">
        <v>369</v>
      </c>
      <c r="E26" s="163"/>
      <c r="F26" s="163"/>
      <c r="G26" s="163"/>
      <c r="H26" s="163"/>
      <c r="I26" s="245"/>
      <c r="J26" s="5"/>
      <c r="K26" s="250" t="str">
        <f>+D26</f>
        <v>Sin iniciar</v>
      </c>
      <c r="L26" s="249"/>
      <c r="M26" s="246">
        <f>+$L26*E26</f>
        <v>0</v>
      </c>
      <c r="N26" s="246"/>
      <c r="O26" s="246"/>
      <c r="P26" s="246"/>
    </row>
    <row r="27" spans="2:18" ht="15" customHeight="1" thickBot="1">
      <c r="B27" s="1435"/>
      <c r="C27" s="73"/>
      <c r="D27" s="31" t="s">
        <v>434</v>
      </c>
      <c r="E27" s="163"/>
      <c r="F27" s="163"/>
      <c r="G27" s="163"/>
      <c r="H27" s="163"/>
      <c r="I27" s="245"/>
      <c r="J27" s="5"/>
      <c r="K27" s="250" t="str">
        <f>+D27</f>
        <v>En formulación</v>
      </c>
      <c r="L27" s="249"/>
      <c r="M27" s="246">
        <f>+$L27*E27</f>
        <v>0</v>
      </c>
      <c r="N27" s="246"/>
      <c r="O27" s="246"/>
      <c r="P27" s="246"/>
    </row>
    <row r="28" spans="2:18" ht="15" customHeight="1" thickBot="1">
      <c r="B28" s="1435"/>
      <c r="C28" s="73"/>
      <c r="D28" s="31" t="s">
        <v>435</v>
      </c>
      <c r="E28" s="163"/>
      <c r="F28" s="163"/>
      <c r="G28" s="163"/>
      <c r="H28" s="163"/>
      <c r="I28" s="245"/>
      <c r="J28" s="5"/>
      <c r="K28" s="250" t="str">
        <f>+D28</f>
        <v>En actualización</v>
      </c>
      <c r="L28" s="249"/>
      <c r="M28" s="246">
        <f>+$L28*E28</f>
        <v>0</v>
      </c>
      <c r="N28" s="246"/>
      <c r="O28" s="246"/>
      <c r="P28" s="246"/>
    </row>
    <row r="29" spans="2:18" ht="15" thickBot="1">
      <c r="B29" s="1435"/>
      <c r="C29" s="73"/>
      <c r="D29" s="31" t="s">
        <v>436</v>
      </c>
      <c r="E29" s="163"/>
      <c r="F29" s="163"/>
      <c r="G29" s="163"/>
      <c r="H29" s="163"/>
      <c r="I29" s="245"/>
      <c r="J29" s="5"/>
      <c r="K29" s="250" t="str">
        <f>+D29</f>
        <v>Plan forestal adoptado</v>
      </c>
      <c r="L29" s="249"/>
      <c r="M29" s="246">
        <f>+$L29*E29</f>
        <v>0</v>
      </c>
      <c r="N29" s="246"/>
      <c r="O29" s="246"/>
      <c r="P29" s="246"/>
    </row>
    <row r="30" spans="2:18" ht="15" customHeight="1" thickBot="1">
      <c r="B30" s="1435"/>
      <c r="C30" s="73"/>
      <c r="D30" s="31" t="s">
        <v>150</v>
      </c>
      <c r="E30" s="115">
        <f>Formulas!D15</f>
        <v>0</v>
      </c>
      <c r="F30" s="115">
        <f>Formulas!E15</f>
        <v>0</v>
      </c>
      <c r="G30" s="115">
        <f>Formulas!F15</f>
        <v>0</v>
      </c>
      <c r="H30" s="115">
        <f>Formulas!G15</f>
        <v>0</v>
      </c>
      <c r="I30" s="245"/>
      <c r="J30" s="5"/>
      <c r="K30" s="250"/>
      <c r="L30" s="250" t="s">
        <v>1196</v>
      </c>
      <c r="M30" s="246">
        <f>SUM(M26:M29)</f>
        <v>0</v>
      </c>
      <c r="N30" s="246"/>
      <c r="O30" s="246"/>
      <c r="P30" s="246"/>
    </row>
    <row r="31" spans="2:18" ht="14.4" customHeight="1">
      <c r="B31" s="1435"/>
      <c r="C31" s="71"/>
      <c r="D31" s="1425" t="s">
        <v>437</v>
      </c>
      <c r="E31" s="1426"/>
      <c r="F31" s="1426"/>
      <c r="G31" s="1426"/>
      <c r="H31" s="1426"/>
      <c r="I31" s="1427"/>
      <c r="J31" s="5"/>
      <c r="K31" s="250"/>
      <c r="L31" s="250" t="s">
        <v>1197</v>
      </c>
      <c r="M31" s="248" t="e">
        <f>+M30/$I$25</f>
        <v>#DIV/0!</v>
      </c>
      <c r="N31" s="248"/>
      <c r="O31" s="248"/>
      <c r="P31" s="248"/>
    </row>
    <row r="32" spans="2:18" ht="24" customHeight="1">
      <c r="B32" s="1435"/>
      <c r="C32" s="71"/>
      <c r="D32" s="1416" t="s">
        <v>438</v>
      </c>
      <c r="E32" s="1417"/>
      <c r="F32" s="1417"/>
      <c r="G32" s="1417"/>
      <c r="H32" s="1417"/>
      <c r="I32" s="1418"/>
      <c r="J32" s="5"/>
      <c r="K32" s="250"/>
      <c r="L32" s="250" t="s">
        <v>1206</v>
      </c>
      <c r="M32" s="248" t="e">
        <f>+M45</f>
        <v>#DIV/0!</v>
      </c>
      <c r="N32" s="248"/>
      <c r="O32" s="248"/>
      <c r="P32" s="248"/>
    </row>
    <row r="33" spans="2:16" ht="15" customHeight="1" thickBot="1">
      <c r="B33" s="1435"/>
      <c r="C33" s="71"/>
      <c r="D33" s="1428" t="s">
        <v>439</v>
      </c>
      <c r="E33" s="1429"/>
      <c r="F33" s="1429"/>
      <c r="G33" s="1429"/>
      <c r="H33" s="1429"/>
      <c r="I33" s="1430"/>
      <c r="J33" s="5"/>
      <c r="K33" s="250"/>
      <c r="L33" s="250" t="s">
        <v>1210</v>
      </c>
      <c r="M33" s="246">
        <f>+M46</f>
        <v>0</v>
      </c>
      <c r="N33" s="246"/>
      <c r="O33" s="246"/>
      <c r="P33" s="246"/>
    </row>
    <row r="34" spans="2:16" ht="36.6" thickBot="1">
      <c r="B34" s="1435"/>
      <c r="C34" s="73"/>
      <c r="D34" s="34" t="s">
        <v>440</v>
      </c>
      <c r="E34" s="34" t="s">
        <v>441</v>
      </c>
      <c r="F34" s="34" t="s">
        <v>442</v>
      </c>
      <c r="G34" s="34" t="s">
        <v>443</v>
      </c>
      <c r="H34" s="34" t="s">
        <v>444</v>
      </c>
      <c r="I34" s="17"/>
      <c r="J34" s="5"/>
      <c r="K34" s="250"/>
      <c r="L34" s="250" t="s">
        <v>417</v>
      </c>
      <c r="M34" s="248" t="e">
        <f>+M30/M33</f>
        <v>#DIV/0!</v>
      </c>
      <c r="N34" s="248"/>
      <c r="O34" s="248"/>
      <c r="P34" s="248"/>
    </row>
    <row r="35" spans="2:16" ht="15" customHeight="1" thickBot="1">
      <c r="B35" s="1435"/>
      <c r="C35" s="73"/>
      <c r="D35" s="25"/>
      <c r="E35" s="25"/>
      <c r="F35" s="163"/>
      <c r="G35" s="25"/>
      <c r="H35" s="25"/>
      <c r="I35" s="17"/>
      <c r="J35" s="5"/>
      <c r="K35" s="5"/>
      <c r="L35" s="5"/>
      <c r="M35" s="5"/>
      <c r="N35" s="5"/>
      <c r="O35" s="5"/>
      <c r="P35" s="5"/>
    </row>
    <row r="36" spans="2:16" ht="15" customHeight="1" thickBot="1">
      <c r="B36" s="1435"/>
      <c r="C36" s="73"/>
      <c r="D36" s="25"/>
      <c r="E36" s="25"/>
      <c r="F36" s="163"/>
      <c r="G36" s="25"/>
      <c r="H36" s="25"/>
      <c r="I36" s="17"/>
      <c r="J36" s="5"/>
      <c r="K36" s="5"/>
      <c r="L36" s="5"/>
    </row>
    <row r="37" spans="2:16" ht="15" customHeight="1" thickBot="1">
      <c r="B37" s="1435"/>
      <c r="C37" s="73"/>
      <c r="D37" s="25"/>
      <c r="E37" s="25"/>
      <c r="F37" s="163"/>
      <c r="G37" s="25"/>
      <c r="H37" s="25"/>
      <c r="I37" s="17"/>
      <c r="J37" s="5"/>
      <c r="K37" s="5"/>
      <c r="L37" t="s">
        <v>1207</v>
      </c>
    </row>
    <row r="38" spans="2:16" ht="15" customHeight="1" thickBot="1">
      <c r="B38" s="1435"/>
      <c r="C38" s="73"/>
      <c r="D38" s="25"/>
      <c r="E38" s="25"/>
      <c r="F38" s="163"/>
      <c r="G38" s="25"/>
      <c r="H38" s="25"/>
      <c r="I38" s="17"/>
      <c r="J38" s="5"/>
      <c r="K38" s="5"/>
      <c r="L38" s="5"/>
    </row>
    <row r="39" spans="2:16" ht="15" customHeight="1" thickBot="1">
      <c r="B39" s="1435"/>
      <c r="C39" s="73"/>
      <c r="D39" s="25"/>
      <c r="E39" s="25"/>
      <c r="F39" s="163"/>
      <c r="G39" s="25"/>
      <c r="H39" s="25"/>
      <c r="I39" s="17"/>
      <c r="J39" s="5"/>
      <c r="K39" s="1577" t="s">
        <v>1198</v>
      </c>
      <c r="L39" s="1577" t="s">
        <v>1208</v>
      </c>
      <c r="M39" s="1577" t="s">
        <v>1209</v>
      </c>
    </row>
    <row r="40" spans="2:16" ht="15" customHeight="1" thickBot="1">
      <c r="B40" s="1435"/>
      <c r="C40" s="73"/>
      <c r="D40" s="25"/>
      <c r="E40" s="25"/>
      <c r="F40" s="163"/>
      <c r="G40" s="25"/>
      <c r="H40" s="25"/>
      <c r="I40" s="17"/>
      <c r="J40" s="5"/>
      <c r="K40" s="1577"/>
      <c r="L40" s="1577"/>
      <c r="M40" s="1577"/>
    </row>
    <row r="41" spans="2:16" ht="15" thickBot="1">
      <c r="B41" s="1435"/>
      <c r="C41" s="73"/>
      <c r="D41" s="25"/>
      <c r="E41" s="25"/>
      <c r="F41" s="163"/>
      <c r="G41" s="25"/>
      <c r="H41" s="25"/>
      <c r="I41" s="17"/>
      <c r="J41" s="5"/>
      <c r="K41" s="250" t="str">
        <f>+K26</f>
        <v>Sin iniciar</v>
      </c>
      <c r="L41" s="279"/>
      <c r="M41" s="248">
        <v>0</v>
      </c>
    </row>
    <row r="42" spans="2:16" ht="15" thickBot="1">
      <c r="B42" s="1435"/>
      <c r="C42" s="73"/>
      <c r="D42" s="25"/>
      <c r="E42" s="25"/>
      <c r="F42" s="163"/>
      <c r="G42" s="25"/>
      <c r="H42" s="25"/>
      <c r="I42" s="17"/>
      <c r="J42" s="5"/>
      <c r="K42" s="250" t="str">
        <f>+K27</f>
        <v>En formulación</v>
      </c>
      <c r="L42" s="279"/>
      <c r="M42" s="252"/>
    </row>
    <row r="43" spans="2:16" ht="24" customHeight="1" thickBot="1">
      <c r="B43" s="1436"/>
      <c r="C43" s="72"/>
      <c r="D43" s="1447" t="s">
        <v>445</v>
      </c>
      <c r="E43" s="1448"/>
      <c r="F43" s="1448"/>
      <c r="G43" s="1448"/>
      <c r="H43" s="1448"/>
      <c r="I43" s="1449"/>
      <c r="J43" s="5"/>
      <c r="K43" s="250" t="str">
        <f>+K28</f>
        <v>En actualización</v>
      </c>
      <c r="L43" s="279"/>
      <c r="M43" s="252"/>
    </row>
    <row r="44" spans="2:16" ht="24" customHeight="1" thickBot="1">
      <c r="B44" s="37" t="s">
        <v>33</v>
      </c>
      <c r="C44" s="72"/>
      <c r="D44" s="1437" t="s">
        <v>446</v>
      </c>
      <c r="E44" s="1438"/>
      <c r="F44" s="1438"/>
      <c r="G44" s="1438"/>
      <c r="H44" s="1438"/>
      <c r="I44" s="1439"/>
      <c r="J44" s="5"/>
      <c r="K44" s="250" t="str">
        <f>+K29</f>
        <v>Plan forestal adoptado</v>
      </c>
      <c r="L44" s="279"/>
      <c r="M44" s="252"/>
    </row>
    <row r="45" spans="2:16" ht="24.6" thickBot="1">
      <c r="B45" s="37" t="s">
        <v>35</v>
      </c>
      <c r="C45" s="72"/>
      <c r="D45" s="1437" t="s">
        <v>345</v>
      </c>
      <c r="E45" s="1438"/>
      <c r="F45" s="1438"/>
      <c r="G45" s="1438"/>
      <c r="H45" s="1438"/>
      <c r="I45" s="1439"/>
      <c r="J45" s="5"/>
      <c r="K45" s="250" t="s">
        <v>150</v>
      </c>
      <c r="L45" s="246">
        <f>SUM(L41:L44)</f>
        <v>0</v>
      </c>
      <c r="M45" s="248" t="e">
        <f>+M46/L45</f>
        <v>#DIV/0!</v>
      </c>
    </row>
    <row r="46" spans="2:16" ht="15" customHeight="1" thickBot="1">
      <c r="B46" s="1"/>
      <c r="C46" s="64"/>
      <c r="D46" s="5"/>
      <c r="E46" s="5"/>
      <c r="F46" s="5"/>
      <c r="G46" s="5"/>
      <c r="H46" s="5"/>
      <c r="I46" s="5"/>
      <c r="J46" s="5"/>
      <c r="K46" s="250"/>
      <c r="L46" s="250" t="s">
        <v>1211</v>
      </c>
      <c r="M46" s="246">
        <f>+L41*M41+L42*M42+L43*M43+L44*M44</f>
        <v>0</v>
      </c>
    </row>
    <row r="47" spans="2:16" ht="24" customHeight="1" thickBot="1">
      <c r="B47" s="1444" t="s">
        <v>37</v>
      </c>
      <c r="C47" s="1445"/>
      <c r="D47" s="1445"/>
      <c r="E47" s="1446"/>
      <c r="F47" s="5"/>
      <c r="G47" s="5"/>
      <c r="H47" s="5"/>
      <c r="I47" s="5"/>
      <c r="J47" s="5"/>
      <c r="K47" s="5"/>
      <c r="L47" s="5"/>
      <c r="M47" s="5"/>
      <c r="N47" s="5"/>
    </row>
    <row r="48" spans="2:16" ht="15" customHeight="1" thickBot="1">
      <c r="B48" s="1434">
        <v>1</v>
      </c>
      <c r="C48" s="73"/>
      <c r="D48" s="38" t="s">
        <v>38</v>
      </c>
      <c r="E48" s="25" t="s">
        <v>1811</v>
      </c>
      <c r="F48" s="5"/>
      <c r="G48" s="5"/>
      <c r="H48" s="5"/>
      <c r="I48" s="5"/>
      <c r="J48" s="5"/>
      <c r="K48" s="5"/>
      <c r="L48" s="5"/>
      <c r="M48" s="5"/>
      <c r="N48" s="5"/>
    </row>
    <row r="49" spans="2:14" ht="15" customHeight="1" thickBot="1">
      <c r="B49" s="1435"/>
      <c r="C49" s="73"/>
      <c r="D49" s="32" t="s">
        <v>39</v>
      </c>
      <c r="E49" s="24" t="s">
        <v>2031</v>
      </c>
      <c r="F49" s="5"/>
      <c r="G49" s="5"/>
      <c r="H49" s="5"/>
      <c r="I49" s="5"/>
      <c r="J49" s="5"/>
      <c r="K49" s="5"/>
      <c r="L49" s="5"/>
      <c r="M49" s="5"/>
      <c r="N49" s="5"/>
    </row>
    <row r="50" spans="2:14" ht="15" customHeight="1" thickBot="1">
      <c r="B50" s="1435"/>
      <c r="C50" s="73"/>
      <c r="D50" s="32" t="s">
        <v>40</v>
      </c>
      <c r="E50" s="24" t="s">
        <v>1818</v>
      </c>
      <c r="F50" s="5"/>
      <c r="G50" s="5"/>
      <c r="H50" s="5"/>
      <c r="I50" s="5"/>
      <c r="J50" s="5"/>
      <c r="K50" s="5"/>
      <c r="L50" s="5"/>
      <c r="M50" s="5"/>
      <c r="N50" s="5"/>
    </row>
    <row r="51" spans="2:14" ht="15" customHeight="1" thickBot="1">
      <c r="B51" s="1435"/>
      <c r="C51" s="73"/>
      <c r="D51" s="32" t="s">
        <v>41</v>
      </c>
      <c r="E51" s="25" t="s">
        <v>2030</v>
      </c>
      <c r="F51" s="5"/>
      <c r="G51" s="5"/>
      <c r="H51" s="5"/>
      <c r="I51" s="5"/>
      <c r="J51" s="5"/>
      <c r="K51" s="5"/>
      <c r="L51" s="5"/>
      <c r="M51" s="5"/>
      <c r="N51" s="5"/>
    </row>
    <row r="52" spans="2:14" ht="15" customHeight="1" thickBot="1">
      <c r="B52" s="1435"/>
      <c r="C52" s="73"/>
      <c r="D52" s="32" t="s">
        <v>42</v>
      </c>
      <c r="E52" s="504" t="s">
        <v>1813</v>
      </c>
      <c r="F52" s="5"/>
      <c r="G52" s="5"/>
      <c r="H52" s="5"/>
      <c r="I52" s="5"/>
      <c r="J52" s="5"/>
      <c r="K52" s="5"/>
      <c r="L52" s="5"/>
    </row>
    <row r="53" spans="2:14" ht="15" customHeight="1" thickBot="1">
      <c r="B53" s="1435"/>
      <c r="C53" s="73"/>
      <c r="D53" s="32" t="s">
        <v>43</v>
      </c>
      <c r="E53" s="133">
        <v>3686626</v>
      </c>
      <c r="F53" s="5"/>
      <c r="G53" s="5"/>
      <c r="H53" s="5"/>
      <c r="I53" s="5"/>
      <c r="J53" s="5"/>
      <c r="K53" s="5"/>
      <c r="L53" s="5"/>
    </row>
    <row r="54" spans="2:14" ht="15" customHeight="1" thickBot="1">
      <c r="B54" s="1436"/>
      <c r="C54" s="2"/>
      <c r="D54" s="32" t="s">
        <v>44</v>
      </c>
      <c r="E54" s="24" t="s">
        <v>1814</v>
      </c>
      <c r="F54" s="5"/>
      <c r="G54" s="5"/>
      <c r="H54" s="5"/>
      <c r="I54" s="5"/>
      <c r="J54" s="5"/>
      <c r="K54" s="5"/>
      <c r="L54" s="5"/>
    </row>
    <row r="55" spans="2:14" ht="15" customHeight="1" thickBot="1">
      <c r="B55" s="1"/>
      <c r="C55" s="64"/>
      <c r="D55" s="5"/>
      <c r="E55" s="5"/>
      <c r="F55" s="5"/>
      <c r="G55" s="5"/>
      <c r="H55" s="5"/>
      <c r="I55" s="5"/>
      <c r="J55" s="5"/>
      <c r="K55" s="5"/>
      <c r="L55" s="5"/>
    </row>
    <row r="56" spans="2:14" ht="15" customHeight="1" thickBot="1">
      <c r="B56" s="1444" t="s">
        <v>45</v>
      </c>
      <c r="C56" s="1445"/>
      <c r="D56" s="1445"/>
      <c r="E56" s="1446"/>
      <c r="F56" s="5"/>
      <c r="G56" s="5"/>
      <c r="H56" s="5"/>
      <c r="I56" s="5"/>
      <c r="J56" s="5"/>
      <c r="K56" s="5"/>
      <c r="L56" s="5"/>
    </row>
    <row r="57" spans="2:14" ht="15" customHeight="1" thickBot="1">
      <c r="B57" s="1434">
        <v>1</v>
      </c>
      <c r="C57" s="73"/>
      <c r="D57" s="38" t="s">
        <v>38</v>
      </c>
      <c r="E57" s="28" t="s">
        <v>46</v>
      </c>
      <c r="F57" s="5"/>
      <c r="G57" s="5"/>
      <c r="H57" s="5"/>
      <c r="I57" s="5"/>
      <c r="J57" s="5"/>
      <c r="K57" s="5"/>
      <c r="L57" s="5"/>
    </row>
    <row r="58" spans="2:14" ht="48" customHeight="1" thickBot="1">
      <c r="B58" s="1435"/>
      <c r="C58" s="73"/>
      <c r="D58" s="32" t="s">
        <v>39</v>
      </c>
      <c r="E58" s="28" t="s">
        <v>159</v>
      </c>
      <c r="F58" s="5"/>
      <c r="G58" s="5"/>
      <c r="H58" s="5"/>
      <c r="I58" s="5"/>
      <c r="J58" s="5"/>
      <c r="K58" s="5"/>
      <c r="L58" s="5"/>
    </row>
    <row r="59" spans="2:14" ht="15" customHeight="1" thickBot="1">
      <c r="B59" s="1435"/>
      <c r="C59" s="73"/>
      <c r="D59" s="32" t="s">
        <v>40</v>
      </c>
      <c r="E59" s="193"/>
      <c r="F59" s="5"/>
      <c r="G59" s="5"/>
      <c r="H59" s="5"/>
      <c r="I59" s="5"/>
      <c r="J59" s="5"/>
      <c r="K59" s="5"/>
      <c r="L59" s="5"/>
    </row>
    <row r="60" spans="2:14" ht="15" customHeight="1" thickBot="1">
      <c r="B60" s="1435"/>
      <c r="C60" s="73"/>
      <c r="D60" s="32" t="s">
        <v>41</v>
      </c>
      <c r="E60" s="193"/>
      <c r="F60" s="5"/>
      <c r="G60" s="5"/>
      <c r="H60" s="5"/>
      <c r="I60" s="5"/>
      <c r="J60" s="5"/>
      <c r="K60" s="5"/>
      <c r="L60" s="5"/>
    </row>
    <row r="61" spans="2:14" ht="15" thickBot="1">
      <c r="B61" s="1435"/>
      <c r="C61" s="73"/>
      <c r="D61" s="32" t="s">
        <v>42</v>
      </c>
      <c r="E61" s="193"/>
      <c r="F61" s="5"/>
      <c r="G61" s="5"/>
      <c r="H61" s="5"/>
      <c r="I61" s="5"/>
      <c r="J61" s="5"/>
      <c r="K61" s="5"/>
      <c r="L61" s="5"/>
    </row>
    <row r="62" spans="2:14" ht="15" thickBot="1">
      <c r="B62" s="1435"/>
      <c r="C62" s="73"/>
      <c r="D62" s="32" t="s">
        <v>43</v>
      </c>
      <c r="E62" s="193"/>
      <c r="F62" s="5"/>
      <c r="G62" s="5"/>
      <c r="H62" s="5"/>
      <c r="I62" s="5"/>
      <c r="J62" s="5"/>
      <c r="K62" s="5"/>
      <c r="L62" s="5"/>
    </row>
    <row r="63" spans="2:14" ht="15" customHeight="1" thickBot="1">
      <c r="B63" s="1436"/>
      <c r="C63" s="2"/>
      <c r="D63" s="32" t="s">
        <v>44</v>
      </c>
      <c r="E63" s="193"/>
      <c r="F63" s="5"/>
      <c r="G63" s="5"/>
      <c r="H63" s="5"/>
      <c r="I63" s="5"/>
      <c r="J63" s="5"/>
      <c r="K63" s="5"/>
      <c r="L63" s="5"/>
    </row>
    <row r="64" spans="2:14" ht="15" customHeight="1" thickBot="1">
      <c r="B64" s="107"/>
      <c r="C64" s="80"/>
      <c r="D64" s="107"/>
      <c r="E64" s="5"/>
      <c r="F64" s="5"/>
      <c r="G64" s="5"/>
      <c r="H64" s="5"/>
      <c r="I64" s="5"/>
      <c r="J64" s="5"/>
      <c r="K64" s="5"/>
      <c r="L64" s="5"/>
    </row>
    <row r="65" spans="2:12" ht="15" customHeight="1">
      <c r="B65" s="106" t="s">
        <v>416</v>
      </c>
      <c r="C65" s="75"/>
      <c r="D65" s="5"/>
      <c r="E65" s="5"/>
      <c r="F65" s="5"/>
      <c r="G65" s="5"/>
      <c r="H65" s="5"/>
      <c r="I65" s="5"/>
      <c r="J65" s="5"/>
      <c r="K65" s="5"/>
      <c r="L65" s="5"/>
    </row>
    <row r="66" spans="2:12">
      <c r="B66" s="1571"/>
      <c r="C66" s="1572"/>
      <c r="D66" s="1573"/>
      <c r="E66" s="5"/>
      <c r="F66" s="5"/>
      <c r="G66" s="5"/>
      <c r="H66" s="5"/>
      <c r="I66" s="5"/>
      <c r="J66" s="5"/>
      <c r="K66" s="5"/>
      <c r="L66" s="5"/>
    </row>
    <row r="67" spans="2:12">
      <c r="B67" s="1574"/>
      <c r="C67" s="1575"/>
      <c r="D67" s="1576"/>
      <c r="E67" s="5"/>
      <c r="F67" s="5"/>
      <c r="G67" s="5"/>
      <c r="H67" s="5"/>
      <c r="I67" s="5"/>
      <c r="J67" s="5"/>
      <c r="K67" s="5"/>
      <c r="L67" s="5"/>
    </row>
    <row r="68" spans="2:12" ht="15" thickBot="1">
      <c r="B68" s="107"/>
      <c r="C68" s="80"/>
      <c r="D68" s="107"/>
      <c r="E68" s="5"/>
      <c r="F68" s="5"/>
      <c r="G68" s="5"/>
      <c r="H68" s="5"/>
      <c r="I68" s="5"/>
      <c r="J68" s="5"/>
      <c r="K68" s="5"/>
      <c r="L68" s="5"/>
    </row>
    <row r="69" spans="2:12" ht="15" thickBot="1">
      <c r="B69" s="1444" t="s">
        <v>48</v>
      </c>
      <c r="C69" s="1445"/>
      <c r="D69" s="1445"/>
      <c r="E69" s="1445"/>
      <c r="F69" s="1446"/>
      <c r="G69" s="5"/>
      <c r="H69" s="5"/>
      <c r="I69" s="5"/>
      <c r="J69" s="5"/>
      <c r="K69" s="5"/>
      <c r="L69" s="5"/>
    </row>
    <row r="70" spans="2:12" ht="24.6" thickBot="1">
      <c r="B70" s="37" t="s">
        <v>49</v>
      </c>
      <c r="C70" s="32" t="s">
        <v>50</v>
      </c>
      <c r="D70" s="32" t="s">
        <v>51</v>
      </c>
      <c r="E70" s="32" t="s">
        <v>52</v>
      </c>
      <c r="F70" s="5"/>
      <c r="G70" s="5"/>
      <c r="H70" s="5"/>
      <c r="I70" s="5"/>
      <c r="J70" s="5"/>
      <c r="K70" s="5"/>
      <c r="L70" s="5"/>
    </row>
    <row r="71" spans="2:12" ht="60.6" thickBot="1">
      <c r="B71" s="39">
        <v>42401</v>
      </c>
      <c r="C71" s="32">
        <v>0.01</v>
      </c>
      <c r="D71" s="40" t="s">
        <v>447</v>
      </c>
      <c r="E71" s="32"/>
      <c r="F71" s="5"/>
      <c r="G71" s="5"/>
      <c r="H71" s="5"/>
      <c r="I71" s="5"/>
      <c r="J71" s="5"/>
      <c r="K71" s="5"/>
    </row>
    <row r="72" spans="2:12">
      <c r="B72" s="1"/>
      <c r="C72" s="64"/>
      <c r="D72" s="5"/>
      <c r="E72" s="5"/>
      <c r="F72" s="5"/>
      <c r="G72" s="5"/>
      <c r="H72" s="5"/>
      <c r="I72" s="5"/>
      <c r="J72" s="5"/>
      <c r="K72" s="5"/>
    </row>
    <row r="73" spans="2:12" ht="15" thickBot="1">
      <c r="B73" s="5"/>
      <c r="D73" s="5"/>
      <c r="E73" s="5"/>
      <c r="F73" s="5"/>
      <c r="G73" s="5"/>
      <c r="H73" s="5"/>
      <c r="I73" s="5"/>
      <c r="J73" s="5"/>
      <c r="K73" s="5"/>
      <c r="L73" s="5"/>
    </row>
    <row r="74" spans="2:12" ht="15" thickBot="1">
      <c r="B74" s="1444" t="s">
        <v>55</v>
      </c>
      <c r="C74" s="1445"/>
      <c r="D74" s="1446"/>
      <c r="E74" s="5"/>
      <c r="F74" s="5"/>
      <c r="G74" s="5"/>
      <c r="H74" s="5"/>
      <c r="I74" s="5"/>
      <c r="J74" s="5"/>
      <c r="K74" s="5"/>
      <c r="L74" s="5"/>
    </row>
    <row r="75" spans="2:12" ht="36.6" thickBot="1">
      <c r="B75" s="37" t="s">
        <v>56</v>
      </c>
      <c r="C75" s="2"/>
      <c r="D75" s="32" t="s">
        <v>418</v>
      </c>
      <c r="E75" s="5"/>
      <c r="F75" s="5"/>
      <c r="G75" s="5"/>
      <c r="H75" s="5"/>
      <c r="I75" s="5"/>
      <c r="J75" s="5"/>
      <c r="K75" s="5"/>
      <c r="L75" s="5"/>
    </row>
    <row r="76" spans="2:12">
      <c r="B76" s="1434" t="s">
        <v>58</v>
      </c>
      <c r="C76" s="73"/>
      <c r="D76" s="43" t="s">
        <v>59</v>
      </c>
      <c r="E76" s="5"/>
      <c r="F76" s="5"/>
      <c r="G76" s="5"/>
      <c r="H76" s="5"/>
      <c r="I76" s="5"/>
      <c r="J76" s="5"/>
      <c r="K76" s="5"/>
      <c r="L76" s="5"/>
    </row>
    <row r="77" spans="2:12" ht="96">
      <c r="B77" s="1435"/>
      <c r="C77" s="73"/>
      <c r="D77" s="36" t="s">
        <v>419</v>
      </c>
      <c r="E77" s="5"/>
      <c r="F77" s="5"/>
      <c r="G77" s="5"/>
      <c r="H77" s="5"/>
      <c r="I77" s="5"/>
      <c r="J77" s="5"/>
      <c r="K77" s="5"/>
      <c r="L77" s="5"/>
    </row>
    <row r="78" spans="2:12">
      <c r="B78" s="1435"/>
      <c r="C78" s="73"/>
      <c r="D78" s="43" t="s">
        <v>62</v>
      </c>
      <c r="E78" s="5"/>
      <c r="F78" s="5"/>
      <c r="G78" s="5"/>
      <c r="H78" s="5"/>
      <c r="I78" s="5"/>
      <c r="J78" s="5"/>
      <c r="K78" s="5"/>
      <c r="L78" s="5"/>
    </row>
    <row r="79" spans="2:12">
      <c r="B79" s="1435"/>
      <c r="C79" s="73"/>
      <c r="D79" s="51" t="s">
        <v>420</v>
      </c>
      <c r="E79" s="5"/>
      <c r="F79" s="5"/>
      <c r="G79" s="5"/>
      <c r="H79" s="5"/>
      <c r="I79" s="5"/>
      <c r="J79" s="5"/>
      <c r="K79" s="5"/>
      <c r="L79" s="5"/>
    </row>
    <row r="80" spans="2:12">
      <c r="B80" s="1435"/>
      <c r="C80" s="73"/>
      <c r="D80" s="51" t="s">
        <v>421</v>
      </c>
      <c r="E80" s="5"/>
      <c r="F80" s="5"/>
      <c r="G80" s="5"/>
      <c r="H80" s="5"/>
      <c r="I80" s="5"/>
      <c r="J80" s="5"/>
      <c r="K80" s="5"/>
      <c r="L80" s="5"/>
    </row>
    <row r="81" spans="2:12">
      <c r="B81" s="1435"/>
      <c r="C81" s="73"/>
      <c r="D81" s="51" t="s">
        <v>422</v>
      </c>
      <c r="E81" s="5"/>
      <c r="F81" s="5"/>
      <c r="G81" s="5"/>
      <c r="H81" s="5"/>
      <c r="I81" s="5"/>
      <c r="J81" s="5"/>
      <c r="K81" s="5"/>
      <c r="L81" s="5"/>
    </row>
    <row r="82" spans="2:12">
      <c r="B82" s="1435"/>
      <c r="C82" s="73"/>
      <c r="D82" s="51" t="s">
        <v>423</v>
      </c>
      <c r="E82" s="5"/>
      <c r="F82" s="5"/>
      <c r="G82" s="5"/>
      <c r="H82" s="5"/>
      <c r="I82" s="5"/>
      <c r="J82" s="5"/>
      <c r="K82" s="5"/>
      <c r="L82" s="5"/>
    </row>
    <row r="83" spans="2:12">
      <c r="B83" s="1435"/>
      <c r="C83" s="73"/>
      <c r="D83" s="43" t="s">
        <v>287</v>
      </c>
      <c r="E83" s="5"/>
      <c r="F83" s="5"/>
      <c r="G83" s="5"/>
      <c r="H83" s="5"/>
      <c r="I83" s="5"/>
      <c r="J83" s="5"/>
      <c r="K83" s="5"/>
      <c r="L83" s="5"/>
    </row>
    <row r="84" spans="2:12" ht="24.6" thickBot="1">
      <c r="B84" s="1436"/>
      <c r="C84" s="2"/>
      <c r="D84" s="32" t="s">
        <v>352</v>
      </c>
      <c r="E84" s="5"/>
      <c r="F84" s="5"/>
      <c r="G84" s="5"/>
      <c r="H84" s="5"/>
      <c r="I84" s="5"/>
      <c r="J84" s="5"/>
      <c r="K84" s="5"/>
      <c r="L84" s="5"/>
    </row>
    <row r="85" spans="2:12">
      <c r="B85" s="1434" t="s">
        <v>71</v>
      </c>
      <c r="C85" s="78"/>
      <c r="D85" s="1434"/>
      <c r="E85" s="5"/>
      <c r="F85" s="5"/>
      <c r="G85" s="5"/>
      <c r="H85" s="5"/>
      <c r="I85" s="5"/>
      <c r="J85" s="5"/>
      <c r="K85" s="5"/>
      <c r="L85" s="5"/>
    </row>
    <row r="86" spans="2:12" ht="15" thickBot="1">
      <c r="B86" s="1436"/>
      <c r="C86" s="79"/>
      <c r="D86" s="1436"/>
      <c r="E86" s="5"/>
      <c r="F86" s="5"/>
      <c r="G86" s="5"/>
      <c r="H86" s="5"/>
      <c r="I86" s="5"/>
      <c r="J86" s="5"/>
      <c r="K86" s="5"/>
      <c r="L86" s="5"/>
    </row>
    <row r="87" spans="2:12" ht="96">
      <c r="B87" s="1434" t="s">
        <v>72</v>
      </c>
      <c r="C87" s="73"/>
      <c r="D87" s="36" t="s">
        <v>424</v>
      </c>
      <c r="E87" s="5"/>
      <c r="F87" s="5"/>
      <c r="G87" s="5"/>
      <c r="H87" s="5"/>
      <c r="I87" s="5"/>
      <c r="J87" s="5"/>
      <c r="K87" s="5"/>
      <c r="L87" s="5"/>
    </row>
    <row r="88" spans="2:12" ht="84.6" thickBot="1">
      <c r="B88" s="1436"/>
      <c r="C88" s="2"/>
      <c r="D88" s="32" t="s">
        <v>425</v>
      </c>
      <c r="E88" s="5"/>
      <c r="F88" s="5"/>
      <c r="G88" s="5"/>
      <c r="H88" s="5"/>
      <c r="I88" s="5"/>
      <c r="J88" s="5"/>
      <c r="K88" s="5"/>
      <c r="L88" s="5"/>
    </row>
    <row r="89" spans="2:12" ht="24">
      <c r="B89" s="1434" t="s">
        <v>89</v>
      </c>
      <c r="C89" s="73"/>
      <c r="D89" s="43" t="s">
        <v>417</v>
      </c>
      <c r="E89" s="5"/>
      <c r="F89" s="5"/>
      <c r="G89" s="5"/>
      <c r="H89" s="5"/>
      <c r="I89" s="5"/>
      <c r="J89" s="5"/>
      <c r="K89" s="5"/>
      <c r="L89" s="5"/>
    </row>
    <row r="90" spans="2:12">
      <c r="B90" s="1435"/>
      <c r="C90" s="73"/>
      <c r="D90" s="13"/>
      <c r="E90" s="5"/>
      <c r="F90" s="5"/>
      <c r="G90" s="5"/>
      <c r="H90" s="5"/>
      <c r="I90" s="5"/>
      <c r="J90" s="5"/>
      <c r="K90" s="5"/>
      <c r="L90" s="5"/>
    </row>
    <row r="91" spans="2:12">
      <c r="B91" s="1435"/>
      <c r="C91" s="73"/>
      <c r="D91" s="36" t="s">
        <v>90</v>
      </c>
      <c r="E91" s="5"/>
      <c r="F91" s="5"/>
      <c r="G91" s="5"/>
      <c r="H91" s="5"/>
      <c r="I91" s="5"/>
      <c r="J91" s="5"/>
      <c r="K91" s="5"/>
      <c r="L91" s="5"/>
    </row>
    <row r="92" spans="2:12" ht="26.4">
      <c r="B92" s="1435"/>
      <c r="C92" s="73"/>
      <c r="D92" s="36" t="s">
        <v>426</v>
      </c>
      <c r="E92" s="5"/>
      <c r="F92" s="5"/>
      <c r="G92" s="5"/>
      <c r="H92" s="5"/>
      <c r="I92" s="5"/>
      <c r="J92" s="5"/>
      <c r="K92" s="5"/>
      <c r="L92" s="5"/>
    </row>
    <row r="93" spans="2:12" ht="26.4">
      <c r="B93" s="1435"/>
      <c r="C93" s="73"/>
      <c r="D93" s="36" t="s">
        <v>427</v>
      </c>
      <c r="E93" s="5"/>
      <c r="F93" s="5"/>
      <c r="G93" s="5"/>
      <c r="H93" s="5"/>
      <c r="I93" s="5"/>
      <c r="J93" s="5"/>
      <c r="K93" s="5"/>
      <c r="L93" s="5"/>
    </row>
    <row r="94" spans="2:12" ht="27" thickBot="1">
      <c r="B94" s="1436"/>
      <c r="C94" s="2"/>
      <c r="D94" s="32" t="s">
        <v>428</v>
      </c>
      <c r="E94" s="5"/>
      <c r="F94" s="5"/>
      <c r="G94" s="5"/>
      <c r="H94" s="5"/>
      <c r="I94" s="5"/>
      <c r="J94" s="5"/>
      <c r="K94" s="5"/>
      <c r="L94" s="5"/>
    </row>
    <row r="95" spans="2:12">
      <c r="B95" s="5"/>
      <c r="D95" s="5"/>
      <c r="E95" s="5"/>
      <c r="F95" s="5"/>
      <c r="G95" s="5"/>
      <c r="H95" s="5"/>
      <c r="I95" s="5"/>
      <c r="J95" s="5"/>
      <c r="K95" s="5"/>
      <c r="L95" s="5"/>
    </row>
    <row r="96" spans="2:12">
      <c r="B96" s="5"/>
      <c r="D96" s="5"/>
      <c r="E96" s="5"/>
      <c r="F96" s="5"/>
      <c r="G96" s="5"/>
      <c r="H96" s="5"/>
      <c r="I96" s="5"/>
      <c r="J96" s="5"/>
      <c r="K96" s="5"/>
      <c r="L96" s="5"/>
    </row>
    <row r="97" spans="2:12">
      <c r="B97" s="5"/>
      <c r="D97" s="5"/>
      <c r="E97" s="5"/>
      <c r="F97" s="5"/>
      <c r="G97" s="5"/>
      <c r="H97" s="5"/>
      <c r="I97" s="5"/>
      <c r="J97" s="5"/>
      <c r="K97" s="5"/>
      <c r="L97" s="5"/>
    </row>
    <row r="98" spans="2:12">
      <c r="B98" s="5"/>
      <c r="D98" s="5"/>
      <c r="E98" s="5"/>
      <c r="F98" s="5"/>
      <c r="G98" s="5"/>
      <c r="H98" s="5"/>
      <c r="I98" s="5"/>
      <c r="J98" s="5"/>
      <c r="K98" s="5"/>
      <c r="L98" s="5"/>
    </row>
    <row r="99" spans="2:12">
      <c r="B99" s="5"/>
      <c r="D99" s="5"/>
      <c r="E99" s="5"/>
      <c r="F99" s="5"/>
      <c r="G99" s="5"/>
      <c r="H99" s="5"/>
      <c r="I99" s="5"/>
      <c r="J99" s="5"/>
      <c r="K99" s="5"/>
      <c r="L99" s="5"/>
    </row>
    <row r="100" spans="2:12">
      <c r="B100" s="5"/>
      <c r="D100" s="5"/>
      <c r="E100" s="5"/>
      <c r="F100" s="5"/>
      <c r="G100" s="5"/>
      <c r="H100" s="5"/>
      <c r="I100" s="5"/>
      <c r="J100" s="5"/>
      <c r="K100" s="5"/>
      <c r="L100" s="5"/>
    </row>
    <row r="101" spans="2:12">
      <c r="B101" s="5"/>
      <c r="D101" s="5"/>
      <c r="E101" s="5"/>
      <c r="F101" s="5"/>
      <c r="G101" s="5"/>
      <c r="H101" s="5"/>
      <c r="I101" s="5"/>
      <c r="J101" s="5"/>
      <c r="K101" s="5"/>
      <c r="L101" s="5"/>
    </row>
    <row r="102" spans="2:12">
      <c r="B102" s="5"/>
      <c r="D102" s="5"/>
      <c r="E102" s="5"/>
      <c r="F102" s="5"/>
      <c r="G102" s="5"/>
      <c r="H102" s="5"/>
      <c r="I102" s="5"/>
      <c r="J102" s="5"/>
      <c r="K102" s="5"/>
      <c r="L102" s="5"/>
    </row>
    <row r="103" spans="2:12">
      <c r="B103" s="5"/>
      <c r="D103" s="5"/>
      <c r="E103" s="5"/>
      <c r="F103" s="5"/>
      <c r="G103" s="5"/>
      <c r="H103" s="5"/>
      <c r="I103" s="5"/>
      <c r="J103" s="5"/>
      <c r="K103" s="5"/>
      <c r="L103" s="5"/>
    </row>
    <row r="104" spans="2:12">
      <c r="B104" s="5"/>
      <c r="D104" s="5"/>
      <c r="E104" s="5"/>
      <c r="F104" s="5"/>
      <c r="G104" s="5"/>
      <c r="H104" s="5"/>
      <c r="I104" s="5"/>
      <c r="J104" s="5"/>
      <c r="K104" s="5"/>
      <c r="L104" s="5"/>
    </row>
    <row r="105" spans="2:12">
      <c r="B105" s="5"/>
      <c r="D105" s="5"/>
      <c r="E105" s="5"/>
      <c r="F105" s="5"/>
      <c r="G105" s="5"/>
      <c r="H105" s="5"/>
      <c r="I105" s="5"/>
      <c r="J105" s="5"/>
      <c r="K105" s="5"/>
      <c r="L105" s="5"/>
    </row>
    <row r="106" spans="2:12">
      <c r="B106" s="5"/>
      <c r="D106" s="5"/>
      <c r="E106" s="5"/>
      <c r="F106" s="5"/>
      <c r="G106" s="5"/>
      <c r="H106" s="5"/>
      <c r="I106" s="5"/>
      <c r="J106" s="5"/>
      <c r="K106" s="5"/>
      <c r="L106" s="5"/>
    </row>
    <row r="107" spans="2:12">
      <c r="B107" s="5"/>
      <c r="D107" s="5"/>
      <c r="E107" s="5"/>
      <c r="F107" s="5"/>
      <c r="G107" s="5"/>
      <c r="H107" s="5"/>
      <c r="I107" s="5"/>
      <c r="J107" s="5"/>
      <c r="K107" s="5"/>
      <c r="L107" s="5"/>
    </row>
    <row r="108" spans="2:12">
      <c r="B108" s="5"/>
      <c r="D108" s="5"/>
      <c r="E108" s="5"/>
      <c r="F108" s="5"/>
      <c r="G108" s="5"/>
      <c r="H108" s="5"/>
      <c r="I108" s="5"/>
      <c r="J108" s="5"/>
      <c r="K108" s="5"/>
      <c r="L108" s="5"/>
    </row>
    <row r="109" spans="2:12">
      <c r="B109" s="5"/>
      <c r="D109" s="5"/>
      <c r="E109" s="5"/>
      <c r="F109" s="5"/>
      <c r="G109" s="5"/>
      <c r="H109" s="5"/>
      <c r="I109" s="5"/>
      <c r="J109" s="5"/>
      <c r="K109" s="5"/>
      <c r="L109" s="5"/>
    </row>
    <row r="110" spans="2:12">
      <c r="B110" s="5"/>
      <c r="D110" s="5"/>
      <c r="E110" s="5"/>
      <c r="F110" s="5"/>
      <c r="G110" s="5"/>
      <c r="H110" s="5"/>
      <c r="I110" s="5"/>
      <c r="J110" s="5"/>
      <c r="K110" s="5"/>
      <c r="L110" s="5"/>
    </row>
    <row r="111" spans="2:12">
      <c r="B111" s="5"/>
      <c r="D111" s="5"/>
      <c r="E111" s="5"/>
      <c r="F111" s="5"/>
      <c r="G111" s="5"/>
      <c r="H111" s="5"/>
      <c r="I111" s="5"/>
      <c r="J111" s="5"/>
      <c r="K111" s="5"/>
      <c r="L111" s="5"/>
    </row>
    <row r="112" spans="2:12">
      <c r="B112" s="5"/>
      <c r="D112" s="5"/>
      <c r="E112" s="5"/>
      <c r="F112" s="5"/>
      <c r="G112" s="5"/>
      <c r="H112" s="5"/>
      <c r="I112" s="5"/>
      <c r="J112" s="5"/>
      <c r="K112" s="5"/>
      <c r="L112" s="5"/>
    </row>
    <row r="113" spans="2:12">
      <c r="B113" s="5"/>
      <c r="D113" s="5"/>
      <c r="E113" s="5"/>
      <c r="F113" s="5"/>
      <c r="G113" s="5"/>
      <c r="H113" s="5"/>
      <c r="I113" s="5"/>
      <c r="J113" s="5"/>
      <c r="K113" s="5"/>
      <c r="L113" s="5"/>
    </row>
    <row r="114" spans="2:12">
      <c r="B114" s="5"/>
      <c r="D114" s="5"/>
      <c r="E114" s="5"/>
      <c r="F114" s="5"/>
      <c r="G114" s="5"/>
      <c r="H114" s="5"/>
      <c r="I114" s="5"/>
      <c r="J114" s="5"/>
      <c r="K114" s="5"/>
      <c r="L114" s="5"/>
    </row>
    <row r="115" spans="2:12">
      <c r="B115" s="5"/>
      <c r="D115" s="5"/>
      <c r="E115" s="5"/>
      <c r="F115" s="5"/>
      <c r="G115" s="5"/>
      <c r="H115" s="5"/>
      <c r="I115" s="5"/>
      <c r="J115" s="5"/>
      <c r="K115" s="5"/>
      <c r="L115" s="5"/>
    </row>
    <row r="116" spans="2:12">
      <c r="B116" s="5"/>
      <c r="D116" s="5"/>
      <c r="E116" s="5"/>
      <c r="F116" s="5"/>
      <c r="G116" s="5"/>
      <c r="H116" s="5"/>
      <c r="I116" s="5"/>
      <c r="J116" s="5"/>
      <c r="K116" s="5"/>
      <c r="L116" s="5"/>
    </row>
    <row r="117" spans="2:12">
      <c r="B117" s="5"/>
      <c r="D117" s="5"/>
      <c r="E117" s="5"/>
      <c r="F117" s="5"/>
      <c r="G117" s="5"/>
      <c r="H117" s="5"/>
      <c r="I117" s="5"/>
      <c r="J117" s="5"/>
      <c r="K117" s="5"/>
      <c r="L117" s="5"/>
    </row>
    <row r="118" spans="2:12">
      <c r="B118" s="5"/>
      <c r="D118" s="5"/>
      <c r="E118" s="5"/>
      <c r="F118" s="5"/>
      <c r="G118" s="5"/>
      <c r="H118" s="5"/>
      <c r="I118" s="5"/>
      <c r="J118" s="5"/>
      <c r="K118" s="5"/>
      <c r="L118" s="5"/>
    </row>
    <row r="119" spans="2:12">
      <c r="B119" s="5"/>
      <c r="D119" s="5"/>
      <c r="E119" s="5"/>
      <c r="F119" s="5"/>
      <c r="G119" s="5"/>
      <c r="H119" s="5"/>
      <c r="I119" s="5"/>
      <c r="J119" s="5"/>
      <c r="K119" s="5"/>
      <c r="L119" s="5"/>
    </row>
    <row r="120" spans="2:12">
      <c r="B120" s="5"/>
      <c r="D120" s="5"/>
      <c r="E120" s="5"/>
      <c r="F120" s="5"/>
      <c r="G120" s="5"/>
      <c r="H120" s="5"/>
      <c r="I120" s="5"/>
      <c r="J120" s="5"/>
      <c r="K120" s="5"/>
      <c r="L120" s="5"/>
    </row>
    <row r="121" spans="2:12">
      <c r="B121" s="5"/>
      <c r="D121" s="5"/>
      <c r="E121" s="5"/>
      <c r="F121" s="5"/>
      <c r="G121" s="5"/>
      <c r="H121" s="5"/>
      <c r="I121" s="5"/>
      <c r="J121" s="5"/>
      <c r="K121" s="5"/>
      <c r="L121" s="5"/>
    </row>
    <row r="122" spans="2:12">
      <c r="B122" s="5"/>
      <c r="D122" s="5"/>
      <c r="E122" s="5"/>
      <c r="F122" s="5"/>
      <c r="G122" s="5"/>
      <c r="H122" s="5"/>
      <c r="I122" s="5"/>
      <c r="J122" s="5"/>
      <c r="K122" s="5"/>
      <c r="L122" s="5"/>
    </row>
    <row r="123" spans="2:12">
      <c r="B123" s="5"/>
      <c r="D123" s="5"/>
      <c r="E123" s="5"/>
      <c r="F123" s="5"/>
      <c r="G123" s="5"/>
      <c r="H123" s="5"/>
      <c r="I123" s="5"/>
      <c r="J123" s="5"/>
      <c r="K123" s="5"/>
      <c r="L123" s="5"/>
    </row>
    <row r="124" spans="2:12">
      <c r="B124" s="5"/>
      <c r="D124" s="5"/>
      <c r="E124" s="5"/>
      <c r="F124" s="5"/>
      <c r="G124" s="5"/>
      <c r="H124" s="5"/>
      <c r="I124" s="5"/>
      <c r="J124" s="5"/>
      <c r="K124" s="5"/>
      <c r="L124" s="5"/>
    </row>
    <row r="125" spans="2:12">
      <c r="B125" s="5"/>
      <c r="D125" s="5"/>
      <c r="E125" s="5"/>
      <c r="F125" s="5"/>
      <c r="G125" s="5"/>
      <c r="H125" s="5"/>
      <c r="I125" s="5"/>
      <c r="J125" s="5"/>
      <c r="K125" s="5"/>
      <c r="L125" s="5"/>
    </row>
    <row r="126" spans="2:12">
      <c r="B126" s="5"/>
      <c r="D126" s="5"/>
      <c r="E126" s="5"/>
      <c r="F126" s="5"/>
      <c r="G126" s="5"/>
      <c r="H126" s="5"/>
      <c r="I126" s="5"/>
      <c r="J126" s="5"/>
      <c r="K126" s="5"/>
      <c r="L126" s="5"/>
    </row>
    <row r="127" spans="2:12">
      <c r="B127" s="5"/>
      <c r="D127" s="5"/>
      <c r="E127" s="5"/>
      <c r="F127" s="5"/>
      <c r="G127" s="5"/>
      <c r="H127" s="5"/>
      <c r="I127" s="5"/>
      <c r="J127" s="5"/>
      <c r="K127" s="5"/>
      <c r="L127" s="5"/>
    </row>
    <row r="128" spans="2:12">
      <c r="B128" s="5"/>
      <c r="D128" s="5"/>
      <c r="E128" s="5"/>
      <c r="F128" s="5"/>
      <c r="G128" s="5"/>
      <c r="H128" s="5"/>
      <c r="I128" s="5"/>
      <c r="J128" s="5"/>
      <c r="K128" s="5"/>
      <c r="L128" s="5"/>
    </row>
    <row r="129" spans="2:12">
      <c r="B129" s="5"/>
      <c r="D129" s="5"/>
      <c r="E129" s="5"/>
      <c r="F129" s="5"/>
      <c r="G129" s="5"/>
      <c r="H129" s="5"/>
      <c r="I129" s="5"/>
      <c r="J129" s="5"/>
      <c r="K129" s="5"/>
      <c r="L129" s="5"/>
    </row>
    <row r="130" spans="2:12">
      <c r="B130" s="5"/>
      <c r="D130" s="5"/>
      <c r="E130" s="5"/>
      <c r="F130" s="5"/>
      <c r="G130" s="5"/>
      <c r="H130" s="5"/>
      <c r="I130" s="5"/>
      <c r="J130" s="5"/>
      <c r="K130" s="5"/>
      <c r="L130" s="5"/>
    </row>
    <row r="131" spans="2:12">
      <c r="B131" s="5"/>
      <c r="D131" s="5"/>
      <c r="E131" s="5"/>
      <c r="F131" s="5"/>
      <c r="G131" s="5"/>
      <c r="H131" s="5"/>
      <c r="I131" s="5"/>
      <c r="J131" s="5"/>
      <c r="K131" s="5"/>
      <c r="L131" s="5"/>
    </row>
    <row r="132" spans="2:12">
      <c r="B132" s="5"/>
      <c r="D132" s="5"/>
      <c r="E132" s="5"/>
      <c r="F132" s="5"/>
      <c r="G132" s="5"/>
      <c r="H132" s="5"/>
      <c r="I132" s="5"/>
      <c r="J132" s="5"/>
      <c r="K132" s="5"/>
      <c r="L132" s="5"/>
    </row>
    <row r="133" spans="2:12">
      <c r="B133" s="5"/>
      <c r="D133" s="5"/>
      <c r="E133" s="5"/>
      <c r="F133" s="5"/>
      <c r="G133" s="5"/>
      <c r="H133" s="5"/>
      <c r="I133" s="5"/>
      <c r="J133" s="5"/>
      <c r="K133" s="5"/>
      <c r="L133" s="5"/>
    </row>
    <row r="134" spans="2:12">
      <c r="B134" s="5"/>
      <c r="D134" s="5"/>
      <c r="E134" s="5"/>
      <c r="F134" s="5"/>
      <c r="G134" s="5"/>
      <c r="H134" s="5"/>
      <c r="I134" s="5"/>
      <c r="J134" s="5"/>
      <c r="K134" s="5"/>
      <c r="L134" s="5"/>
    </row>
    <row r="135" spans="2:12">
      <c r="B135" s="5"/>
      <c r="D135" s="5"/>
      <c r="E135" s="5"/>
      <c r="F135" s="5"/>
      <c r="G135" s="5"/>
      <c r="H135" s="5"/>
      <c r="I135" s="5"/>
      <c r="J135" s="5"/>
      <c r="K135" s="5"/>
      <c r="L135" s="5"/>
    </row>
    <row r="136" spans="2:12">
      <c r="B136" s="5"/>
      <c r="D136" s="5"/>
      <c r="E136" s="5"/>
      <c r="F136" s="5"/>
      <c r="G136" s="5"/>
      <c r="H136" s="5"/>
      <c r="I136" s="5"/>
      <c r="J136" s="5"/>
      <c r="K136" s="5"/>
      <c r="L136" s="5"/>
    </row>
    <row r="137" spans="2:12">
      <c r="B137" s="5"/>
      <c r="D137" s="5"/>
      <c r="E137" s="5"/>
      <c r="F137" s="5"/>
      <c r="G137" s="5"/>
      <c r="H137" s="5"/>
      <c r="I137" s="5"/>
      <c r="J137" s="5"/>
      <c r="K137" s="5"/>
      <c r="L137" s="5"/>
    </row>
    <row r="138" spans="2:12">
      <c r="B138" s="5"/>
      <c r="D138" s="5"/>
      <c r="E138" s="5"/>
      <c r="F138" s="5"/>
      <c r="G138" s="5"/>
      <c r="H138" s="5"/>
      <c r="I138" s="5"/>
      <c r="J138" s="5"/>
      <c r="K138" s="5"/>
      <c r="L138" s="5"/>
    </row>
    <row r="139" spans="2:12">
      <c r="B139" s="5"/>
      <c r="D139" s="5"/>
      <c r="E139" s="5"/>
      <c r="F139" s="5"/>
      <c r="G139" s="5"/>
      <c r="H139" s="5"/>
      <c r="I139" s="5"/>
      <c r="J139" s="5"/>
      <c r="K139" s="5"/>
      <c r="L139" s="5"/>
    </row>
    <row r="140" spans="2:12">
      <c r="B140" s="5"/>
      <c r="D140" s="5"/>
      <c r="E140" s="5"/>
      <c r="F140" s="5"/>
      <c r="G140" s="5"/>
      <c r="H140" s="5"/>
      <c r="I140" s="5"/>
      <c r="J140" s="5"/>
      <c r="K140" s="5"/>
      <c r="L140" s="5"/>
    </row>
    <row r="141" spans="2:12">
      <c r="B141" s="5"/>
      <c r="D141" s="5"/>
      <c r="E141" s="5"/>
      <c r="F141" s="5"/>
      <c r="G141" s="5"/>
      <c r="H141" s="5"/>
      <c r="I141" s="5"/>
      <c r="J141" s="5"/>
      <c r="K141" s="5"/>
      <c r="L141" s="5"/>
    </row>
    <row r="142" spans="2:12">
      <c r="B142" s="5"/>
      <c r="D142" s="5"/>
      <c r="E142" s="5"/>
      <c r="F142" s="5"/>
      <c r="G142" s="5"/>
      <c r="H142" s="5"/>
      <c r="I142" s="5"/>
      <c r="J142" s="5"/>
      <c r="K142" s="5"/>
      <c r="L142" s="5"/>
    </row>
    <row r="143" spans="2:12">
      <c r="B143" s="5"/>
      <c r="D143" s="5"/>
      <c r="E143" s="5"/>
      <c r="F143" s="5"/>
      <c r="G143" s="5"/>
      <c r="H143" s="5"/>
      <c r="I143" s="5"/>
      <c r="J143" s="5"/>
      <c r="K143" s="5"/>
      <c r="L143" s="5"/>
    </row>
    <row r="144" spans="2:12">
      <c r="B144" s="5"/>
      <c r="D144" s="5"/>
      <c r="E144" s="5"/>
      <c r="F144" s="5"/>
      <c r="G144" s="5"/>
      <c r="H144" s="5"/>
      <c r="I144" s="5"/>
      <c r="J144" s="5"/>
      <c r="K144" s="5"/>
      <c r="L144" s="5"/>
    </row>
    <row r="145" spans="2:12">
      <c r="B145" s="5"/>
      <c r="D145" s="5"/>
      <c r="E145" s="5"/>
      <c r="F145" s="5"/>
      <c r="G145" s="5"/>
      <c r="H145" s="5"/>
      <c r="I145" s="5"/>
      <c r="J145" s="5"/>
      <c r="K145" s="5"/>
      <c r="L145" s="5"/>
    </row>
    <row r="146" spans="2:12">
      <c r="B146" s="5"/>
      <c r="D146" s="5"/>
      <c r="E146" s="5"/>
      <c r="F146" s="5"/>
      <c r="G146" s="5"/>
      <c r="H146" s="5"/>
      <c r="I146" s="5"/>
      <c r="J146" s="5"/>
      <c r="K146" s="5"/>
      <c r="L146" s="5"/>
    </row>
    <row r="147" spans="2:12">
      <c r="B147" s="5"/>
      <c r="D147" s="5"/>
      <c r="E147" s="5"/>
      <c r="F147" s="5"/>
      <c r="G147" s="5"/>
      <c r="H147" s="5"/>
      <c r="I147" s="5"/>
      <c r="J147" s="5"/>
      <c r="K147" s="5"/>
      <c r="L147" s="5"/>
    </row>
    <row r="148" spans="2:12">
      <c r="B148" s="5"/>
      <c r="D148" s="5"/>
      <c r="E148" s="5"/>
      <c r="F148" s="5"/>
      <c r="G148" s="5"/>
      <c r="H148" s="5"/>
      <c r="I148" s="5"/>
      <c r="J148" s="5"/>
      <c r="K148" s="5"/>
      <c r="L148" s="5"/>
    </row>
    <row r="149" spans="2:12">
      <c r="B149" s="5"/>
      <c r="D149" s="5"/>
      <c r="E149" s="5"/>
      <c r="F149" s="5"/>
      <c r="G149" s="5"/>
      <c r="H149" s="5"/>
      <c r="I149" s="5"/>
      <c r="J149" s="5"/>
      <c r="K149" s="5"/>
      <c r="L149" s="5"/>
    </row>
    <row r="150" spans="2:12">
      <c r="B150" s="5"/>
      <c r="D150" s="5"/>
      <c r="E150" s="5"/>
      <c r="F150" s="5"/>
      <c r="G150" s="5"/>
      <c r="H150" s="5"/>
      <c r="I150" s="5"/>
      <c r="J150" s="5"/>
      <c r="K150" s="5"/>
      <c r="L150" s="5"/>
    </row>
    <row r="151" spans="2:12">
      <c r="B151" s="5"/>
      <c r="D151" s="5"/>
      <c r="E151" s="5"/>
      <c r="F151" s="5"/>
      <c r="G151" s="5"/>
      <c r="H151" s="5"/>
      <c r="I151" s="5"/>
      <c r="J151" s="5"/>
      <c r="K151" s="5"/>
      <c r="L151" s="5"/>
    </row>
    <row r="152" spans="2:12">
      <c r="B152" s="5"/>
      <c r="D152" s="5"/>
      <c r="E152" s="5"/>
      <c r="F152" s="5"/>
      <c r="G152" s="5"/>
      <c r="H152" s="5"/>
      <c r="I152" s="5"/>
      <c r="J152" s="5"/>
      <c r="K152" s="5"/>
      <c r="L152" s="5"/>
    </row>
    <row r="153" spans="2:12">
      <c r="B153" s="5"/>
      <c r="D153" s="5"/>
      <c r="E153" s="5"/>
      <c r="F153" s="5"/>
      <c r="G153" s="5"/>
      <c r="H153" s="5"/>
      <c r="I153" s="5"/>
      <c r="J153" s="5"/>
      <c r="K153" s="5"/>
      <c r="L153" s="5"/>
    </row>
    <row r="154" spans="2:12">
      <c r="B154" s="5"/>
      <c r="D154" s="5"/>
      <c r="E154" s="5"/>
      <c r="F154" s="5"/>
      <c r="G154" s="5"/>
      <c r="H154" s="5"/>
      <c r="I154" s="5"/>
      <c r="J154" s="5"/>
      <c r="K154" s="5"/>
      <c r="L154" s="5"/>
    </row>
    <row r="155" spans="2:12">
      <c r="B155" s="5"/>
      <c r="D155" s="5"/>
      <c r="E155" s="5"/>
      <c r="F155" s="5"/>
      <c r="G155" s="5"/>
      <c r="H155" s="5"/>
      <c r="I155" s="5"/>
      <c r="J155" s="5"/>
      <c r="K155" s="5"/>
      <c r="L155" s="5"/>
    </row>
    <row r="156" spans="2:12">
      <c r="B156" s="5"/>
      <c r="D156" s="5"/>
      <c r="E156" s="5"/>
      <c r="F156" s="5"/>
      <c r="G156" s="5"/>
      <c r="H156" s="5"/>
      <c r="I156" s="5"/>
      <c r="J156" s="5"/>
      <c r="K156" s="5"/>
      <c r="L156" s="5"/>
    </row>
    <row r="157" spans="2:12">
      <c r="B157" s="5"/>
      <c r="D157" s="5"/>
      <c r="E157" s="5"/>
      <c r="F157" s="5"/>
      <c r="G157" s="5"/>
      <c r="H157" s="5"/>
      <c r="I157" s="5"/>
      <c r="J157" s="5"/>
      <c r="K157" s="5"/>
      <c r="L157" s="5"/>
    </row>
    <row r="158" spans="2:12">
      <c r="B158" s="5"/>
      <c r="D158" s="5"/>
      <c r="E158" s="5"/>
      <c r="F158" s="5"/>
      <c r="G158" s="5"/>
      <c r="H158" s="5"/>
      <c r="I158" s="5"/>
      <c r="J158" s="5"/>
      <c r="K158" s="5"/>
      <c r="L158" s="5"/>
    </row>
    <row r="159" spans="2:12">
      <c r="B159" s="5"/>
      <c r="D159" s="5"/>
      <c r="E159" s="5"/>
      <c r="F159" s="5"/>
      <c r="G159" s="5"/>
      <c r="H159" s="5"/>
      <c r="I159" s="5"/>
      <c r="J159" s="5"/>
      <c r="K159" s="5"/>
      <c r="L159" s="5"/>
    </row>
    <row r="160" spans="2:12">
      <c r="B160" s="5"/>
      <c r="D160" s="5"/>
      <c r="E160" s="5"/>
      <c r="F160" s="5"/>
      <c r="G160" s="5"/>
      <c r="H160" s="5"/>
      <c r="I160" s="5"/>
      <c r="J160" s="5"/>
      <c r="K160" s="5"/>
      <c r="L160" s="5"/>
    </row>
    <row r="161" spans="2:12">
      <c r="B161" s="5"/>
      <c r="D161" s="5"/>
      <c r="E161" s="5"/>
      <c r="F161" s="5"/>
      <c r="G161" s="5"/>
      <c r="H161" s="5"/>
      <c r="I161" s="5"/>
      <c r="J161" s="5"/>
      <c r="K161" s="5"/>
      <c r="L161" s="5"/>
    </row>
    <row r="162" spans="2:12">
      <c r="B162" s="5"/>
      <c r="D162" s="5"/>
      <c r="E162" s="5"/>
      <c r="F162" s="5"/>
      <c r="G162" s="5"/>
      <c r="H162" s="5"/>
      <c r="I162" s="5"/>
      <c r="J162" s="5"/>
      <c r="K162" s="5"/>
      <c r="L162" s="5"/>
    </row>
    <row r="163" spans="2:12">
      <c r="B163" s="5"/>
      <c r="D163" s="5"/>
      <c r="E163" s="5"/>
      <c r="F163" s="5"/>
      <c r="G163" s="5"/>
      <c r="H163" s="5"/>
      <c r="I163" s="5"/>
      <c r="J163" s="5"/>
      <c r="K163" s="5"/>
      <c r="L163" s="5"/>
    </row>
    <row r="164" spans="2:12">
      <c r="B164" s="5"/>
      <c r="D164" s="5"/>
      <c r="E164" s="5"/>
      <c r="F164" s="5"/>
      <c r="G164" s="5"/>
      <c r="H164" s="5"/>
      <c r="I164" s="5"/>
      <c r="J164" s="5"/>
      <c r="K164" s="5"/>
      <c r="L164" s="5"/>
    </row>
    <row r="165" spans="2:12">
      <c r="B165" s="5"/>
      <c r="D165" s="5"/>
      <c r="E165" s="5"/>
      <c r="F165" s="5"/>
      <c r="G165" s="5"/>
      <c r="H165" s="5"/>
      <c r="I165" s="5"/>
      <c r="J165" s="5"/>
      <c r="K165" s="5"/>
      <c r="L165" s="5"/>
    </row>
    <row r="166" spans="2:12">
      <c r="B166" s="5"/>
      <c r="D166" s="5"/>
      <c r="E166" s="5"/>
      <c r="F166" s="5"/>
      <c r="G166" s="5"/>
      <c r="H166" s="5"/>
      <c r="I166" s="5"/>
      <c r="J166" s="5"/>
      <c r="K166" s="5"/>
      <c r="L166" s="5"/>
    </row>
    <row r="167" spans="2:12">
      <c r="B167" s="5"/>
      <c r="D167" s="5"/>
      <c r="E167" s="5"/>
      <c r="F167" s="5"/>
      <c r="G167" s="5"/>
      <c r="H167" s="5"/>
      <c r="I167" s="5"/>
      <c r="J167" s="5"/>
      <c r="K167" s="5"/>
      <c r="L167" s="5"/>
    </row>
    <row r="168" spans="2:12">
      <c r="B168" s="5"/>
      <c r="D168" s="5"/>
      <c r="E168" s="5"/>
      <c r="F168" s="5"/>
      <c r="G168" s="5"/>
      <c r="H168" s="5"/>
      <c r="I168" s="5"/>
      <c r="J168" s="5"/>
      <c r="K168" s="5"/>
      <c r="L168" s="5"/>
    </row>
    <row r="169" spans="2:12">
      <c r="B169" s="5"/>
      <c r="D169" s="5"/>
      <c r="E169" s="5"/>
      <c r="F169" s="5"/>
      <c r="G169" s="5"/>
      <c r="H169" s="5"/>
      <c r="I169" s="5"/>
      <c r="J169" s="5"/>
      <c r="K169" s="5"/>
      <c r="L169" s="5"/>
    </row>
    <row r="170" spans="2:12">
      <c r="B170" s="5"/>
      <c r="D170" s="5"/>
      <c r="E170" s="5"/>
      <c r="F170" s="5"/>
      <c r="G170" s="5"/>
      <c r="H170" s="5"/>
      <c r="I170" s="5"/>
      <c r="J170" s="5"/>
      <c r="K170" s="5"/>
      <c r="L170" s="5"/>
    </row>
    <row r="171" spans="2:12">
      <c r="B171" s="5"/>
      <c r="D171" s="5"/>
      <c r="E171" s="5"/>
      <c r="F171" s="5"/>
      <c r="G171" s="5"/>
      <c r="H171" s="5"/>
      <c r="I171" s="5"/>
      <c r="J171" s="5"/>
      <c r="K171" s="5"/>
      <c r="L171" s="5"/>
    </row>
    <row r="172" spans="2:12">
      <c r="B172" s="5"/>
      <c r="D172" s="5"/>
      <c r="E172" s="5"/>
      <c r="F172" s="5"/>
      <c r="G172" s="5"/>
      <c r="H172" s="5"/>
      <c r="I172" s="5"/>
      <c r="J172" s="5"/>
      <c r="K172" s="5"/>
      <c r="L172" s="5"/>
    </row>
    <row r="173" spans="2:12">
      <c r="B173" s="5"/>
      <c r="D173" s="5"/>
      <c r="E173" s="5"/>
      <c r="F173" s="5"/>
      <c r="G173" s="5"/>
      <c r="H173" s="5"/>
      <c r="I173" s="5"/>
      <c r="J173" s="5"/>
      <c r="K173" s="5"/>
      <c r="L173" s="5"/>
    </row>
    <row r="174" spans="2:12">
      <c r="B174" s="5"/>
      <c r="D174" s="5"/>
      <c r="E174" s="5"/>
      <c r="F174" s="5"/>
      <c r="G174" s="5"/>
      <c r="H174" s="5"/>
      <c r="I174" s="5"/>
      <c r="J174" s="5"/>
      <c r="K174" s="5"/>
      <c r="L174" s="5"/>
    </row>
    <row r="175" spans="2:12">
      <c r="B175" s="5"/>
      <c r="D175" s="5"/>
      <c r="E175" s="5"/>
      <c r="F175" s="5"/>
      <c r="G175" s="5"/>
      <c r="H175" s="5"/>
      <c r="I175" s="5"/>
      <c r="J175" s="5"/>
      <c r="K175" s="5"/>
      <c r="L175" s="5"/>
    </row>
    <row r="176" spans="2:12">
      <c r="B176" s="5"/>
      <c r="D176" s="5"/>
      <c r="E176" s="5"/>
      <c r="F176" s="5"/>
      <c r="G176" s="5"/>
      <c r="H176" s="5"/>
      <c r="I176" s="5"/>
      <c r="J176" s="5"/>
      <c r="K176" s="5"/>
      <c r="L176" s="5"/>
    </row>
    <row r="177" spans="2:12">
      <c r="B177" s="5"/>
      <c r="D177" s="5"/>
      <c r="E177" s="5"/>
      <c r="F177" s="5"/>
      <c r="G177" s="5"/>
      <c r="H177" s="5"/>
      <c r="I177" s="5"/>
      <c r="J177" s="5"/>
      <c r="K177" s="5"/>
      <c r="L177" s="5"/>
    </row>
    <row r="178" spans="2:12">
      <c r="B178" s="5"/>
      <c r="D178" s="5"/>
      <c r="E178" s="5"/>
      <c r="F178" s="5"/>
      <c r="G178" s="5"/>
      <c r="H178" s="5"/>
      <c r="I178" s="5"/>
      <c r="J178" s="5"/>
      <c r="K178" s="5"/>
      <c r="L178" s="5"/>
    </row>
    <row r="179" spans="2:12">
      <c r="B179" s="5"/>
      <c r="D179" s="5"/>
      <c r="E179" s="5"/>
      <c r="F179" s="5"/>
      <c r="G179" s="5"/>
      <c r="H179" s="5"/>
      <c r="I179" s="5"/>
      <c r="J179" s="5"/>
      <c r="K179" s="5"/>
      <c r="L179" s="5"/>
    </row>
    <row r="180" spans="2:12">
      <c r="B180" s="5"/>
      <c r="D180" s="5"/>
      <c r="E180" s="5"/>
      <c r="F180" s="5"/>
      <c r="G180" s="5"/>
      <c r="H180" s="5"/>
      <c r="I180" s="5"/>
      <c r="J180" s="5"/>
      <c r="K180" s="5"/>
      <c r="L180" s="5"/>
    </row>
    <row r="181" spans="2:12">
      <c r="B181" s="5"/>
      <c r="D181" s="5"/>
      <c r="E181" s="5"/>
      <c r="F181" s="5"/>
      <c r="G181" s="5"/>
      <c r="H181" s="5"/>
      <c r="I181" s="5"/>
      <c r="J181" s="5"/>
      <c r="K181" s="5"/>
      <c r="L181" s="5"/>
    </row>
    <row r="182" spans="2:12">
      <c r="B182" s="5"/>
      <c r="D182" s="5"/>
      <c r="E182" s="5"/>
      <c r="F182" s="5"/>
      <c r="G182" s="5"/>
      <c r="H182" s="5"/>
      <c r="I182" s="5"/>
      <c r="J182" s="5"/>
      <c r="K182" s="5"/>
      <c r="L182" s="5"/>
    </row>
    <row r="183" spans="2:12">
      <c r="B183" s="5"/>
      <c r="D183" s="5"/>
      <c r="E183" s="5"/>
      <c r="F183" s="5"/>
      <c r="G183" s="5"/>
      <c r="H183" s="5"/>
      <c r="I183" s="5"/>
      <c r="J183" s="5"/>
      <c r="K183" s="5"/>
      <c r="L183" s="5"/>
    </row>
    <row r="184" spans="2:12">
      <c r="K184" s="5"/>
      <c r="L184" s="5"/>
    </row>
  </sheetData>
  <mergeCells count="41">
    <mergeCell ref="B10:D10"/>
    <mergeCell ref="F10:S10"/>
    <mergeCell ref="F11:S11"/>
    <mergeCell ref="E12:R12"/>
    <mergeCell ref="E13:R13"/>
    <mergeCell ref="N24:N25"/>
    <mergeCell ref="O24:O25"/>
    <mergeCell ref="P24:P25"/>
    <mergeCell ref="K24:K25"/>
    <mergeCell ref="K39:K40"/>
    <mergeCell ref="L39:L40"/>
    <mergeCell ref="M39:M40"/>
    <mergeCell ref="L24:L25"/>
    <mergeCell ref="M24:M25"/>
    <mergeCell ref="B89:B94"/>
    <mergeCell ref="B74:D74"/>
    <mergeCell ref="B76:B84"/>
    <mergeCell ref="B85:B86"/>
    <mergeCell ref="D85:D86"/>
    <mergeCell ref="B87:B88"/>
    <mergeCell ref="B15:B43"/>
    <mergeCell ref="D15:I15"/>
    <mergeCell ref="D22:I22"/>
    <mergeCell ref="D23:I23"/>
    <mergeCell ref="D31:I31"/>
    <mergeCell ref="D32:I32"/>
    <mergeCell ref="D33:I33"/>
    <mergeCell ref="D43:I43"/>
    <mergeCell ref="B69:F69"/>
    <mergeCell ref="D44:I44"/>
    <mergeCell ref="D45:I45"/>
    <mergeCell ref="B47:E47"/>
    <mergeCell ref="B48:B54"/>
    <mergeCell ref="B56:E56"/>
    <mergeCell ref="B57:B63"/>
    <mergeCell ref="B66:D67"/>
    <mergeCell ref="A1:P1"/>
    <mergeCell ref="A2:P2"/>
    <mergeCell ref="A3:P3"/>
    <mergeCell ref="A4:D4"/>
    <mergeCell ref="A5:P5"/>
  </mergeCells>
  <conditionalFormatting sqref="E12:R12">
    <cfRule type="expression" dxfId="83" priority="3">
      <formula>E11="SI SE REPORTA"</formula>
    </cfRule>
  </conditionalFormatting>
  <conditionalFormatting sqref="F10">
    <cfRule type="notContainsBlanks" dxfId="82" priority="6">
      <formula>LEN(TRIM(F10))&gt;0</formula>
    </cfRule>
  </conditionalFormatting>
  <conditionalFormatting sqref="F11:S11">
    <cfRule type="expression" dxfId="81" priority="1">
      <formula>E11="NO SE REPORTA"</formula>
    </cfRule>
    <cfRule type="expression" dxfId="80" priority="2">
      <formula>E10="NO APLICA"</formula>
    </cfRule>
  </conditionalFormatting>
  <conditionalFormatting sqref="I20">
    <cfRule type="containsErrors" dxfId="79" priority="8">
      <formula>ISERROR(I20)</formula>
    </cfRule>
  </conditionalFormatting>
  <conditionalFormatting sqref="I25">
    <cfRule type="containsText" dxfId="78" priority="7" operator="containsText" text="debe">
      <formula>NOT(ISERROR(SEARCH("debe",I25)))</formula>
    </cfRule>
  </conditionalFormatting>
  <dataValidations disablePrompts="1" count="6">
    <dataValidation type="whole" operator="greaterThanOrEqual" allowBlank="1" showInputMessage="1" showErrorMessage="1" errorTitle="ERROR" error="Valor en HECTAREAS (sin decimales)" sqref="L41:L45 E21 E25:H29 F35:F42 I26:I30 E17:E19" xr:uid="{00000000-0002-0000-0F00-000000000000}">
      <formula1>0</formula1>
    </dataValidation>
    <dataValidation allowBlank="1" showInputMessage="1" showErrorMessage="1" promptTitle="ESTADO" prompt="en formulación_x000a_en actualización_x000a_en adopción_x000a_adoptado" sqref="G35:G42" xr:uid="{00000000-0002-0000-0F00-000001000000}"/>
    <dataValidation type="whole" errorStyle="warning" operator="equal" allowBlank="1" showInputMessage="1" showErrorMessage="1" error="LA SUMA DEBE SER IGUAL A LA META CUATRIENAL" promptTitle="OJO" prompt="LA SUMA DEBE SER IGUAL A LA META CUATRIENAL" sqref="I25" xr:uid="{00000000-0002-0000-0F00-000002000000}">
      <formula1>E20</formula1>
    </dataValidation>
    <dataValidation type="decimal" allowBlank="1" showInputMessage="1" showErrorMessage="1" errorTitle="ERROR" error="Escriba un valor entre 0% y 100%" sqref="L26:L29" xr:uid="{00000000-0002-0000-0F00-000003000000}">
      <formula1>0</formula1>
      <formula2>1</formula2>
    </dataValidation>
    <dataValidation type="list" allowBlank="1" showInputMessage="1" showErrorMessage="1" sqref="E11" xr:uid="{00000000-0002-0000-0F00-000004000000}">
      <formula1>REPORTE</formula1>
    </dataValidation>
    <dataValidation type="list" allowBlank="1" showInputMessage="1" showErrorMessage="1" sqref="E10" xr:uid="{00000000-0002-0000-0F00-000005000000}">
      <formula1>SI</formula1>
    </dataValidation>
  </dataValidations>
  <hyperlinks>
    <hyperlink ref="B9" location="'ANEXO 3'!A1" display="VOLVER AL INDICE" xr:uid="{00000000-0004-0000-0F00-000000000000}"/>
    <hyperlink ref="E52" r:id="rId1" xr:uid="{00000000-0004-0000-0F00-000001000000}"/>
  </hyperlinks>
  <pageMargins left="0.25" right="0.25" top="0.75" bottom="0.75" header="0.3" footer="0.3"/>
  <pageSetup paperSize="178" orientation="landscape" horizontalDpi="1200" verticalDpi="1200" r:id="rId2"/>
  <drawing r:id="rId3"/>
  <legacy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2">
    <tabColor rgb="FF92D050"/>
  </sheetPr>
  <dimension ref="A1:U178"/>
  <sheetViews>
    <sheetView showGridLines="0" topLeftCell="A24" zoomScale="77" zoomScaleNormal="77" workbookViewId="0">
      <selection activeCell="H28" sqref="H28"/>
    </sheetView>
  </sheetViews>
  <sheetFormatPr baseColWidth="10" defaultRowHeight="14.4"/>
  <cols>
    <col min="1" max="1" width="1.88671875" customWidth="1"/>
    <col min="2" max="2" width="12.88671875" customWidth="1"/>
    <col min="3" max="3" width="10" style="66" customWidth="1"/>
    <col min="4" max="4" width="44" customWidth="1"/>
    <col min="5" max="5" width="17.6640625" customWidth="1"/>
    <col min="6" max="6" width="15.88671875" customWidth="1"/>
    <col min="8" max="8" width="15.88671875" bestFit="1" customWidth="1"/>
    <col min="9" max="9" width="17.33203125" customWidth="1"/>
    <col min="10" max="10" width="14.6640625" bestFit="1" customWidth="1"/>
    <col min="11" max="11" width="13" bestFit="1" customWidth="1"/>
    <col min="12" max="12" width="77.55468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448</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3" t="s">
        <v>1178</v>
      </c>
      <c r="C8" s="753">
        <v>2023</v>
      </c>
      <c r="D8" s="170">
        <f>IF(E10="NO APLICA","NO APLICA",IF(E11="NO SE REPORTA","SIN INFORMACION",+G20))</f>
        <v>1</v>
      </c>
      <c r="E8" s="167"/>
      <c r="F8" s="5" t="s">
        <v>129</v>
      </c>
      <c r="G8" s="5"/>
      <c r="H8" s="5"/>
      <c r="I8" s="5"/>
      <c r="J8" s="5"/>
      <c r="K8" s="5"/>
    </row>
    <row r="9" spans="1:21">
      <c r="B9" s="298" t="s">
        <v>1179</v>
      </c>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42.75" customHeight="1">
      <c r="B12" s="298"/>
      <c r="C12" s="67"/>
      <c r="D12" s="144" t="str">
        <f>IF(E11="SI SE REPORTA","¿Qué programas o proyectos del Plan de Acción están asociados al indicador? ","")</f>
        <v xml:space="preserve">¿Qué programas o proyectos del Plan de Acción están asociados al indicador? </v>
      </c>
      <c r="E12" s="1407" t="s">
        <v>1913</v>
      </c>
      <c r="F12" s="1407"/>
      <c r="G12" s="1407"/>
      <c r="H12" s="1407"/>
      <c r="I12" s="1407"/>
      <c r="J12" s="1407"/>
      <c r="K12" s="1407"/>
      <c r="L12" s="1407"/>
      <c r="M12" s="1407"/>
      <c r="N12" s="1407"/>
      <c r="O12" s="1407"/>
      <c r="P12" s="1407"/>
      <c r="Q12" s="1407"/>
      <c r="R12" s="1407"/>
    </row>
    <row r="13" spans="1:21" ht="21.9" customHeight="1">
      <c r="B13" s="298"/>
      <c r="C13" s="67"/>
      <c r="D13" s="144" t="s">
        <v>1236</v>
      </c>
      <c r="E13" s="1408"/>
      <c r="F13" s="1409"/>
      <c r="G13" s="1409"/>
      <c r="H13" s="1409"/>
      <c r="I13" s="1409"/>
      <c r="J13" s="1409"/>
      <c r="K13" s="1409"/>
      <c r="L13" s="1409"/>
      <c r="M13" s="1409"/>
      <c r="N13" s="1409"/>
      <c r="O13" s="1409"/>
      <c r="P13" s="1409"/>
      <c r="Q13" s="1409"/>
      <c r="R13" s="1410"/>
    </row>
    <row r="14" spans="1:21" ht="6.9" customHeight="1" thickBot="1">
      <c r="B14" s="298"/>
      <c r="D14" s="5"/>
      <c r="E14" s="5"/>
      <c r="F14" s="5"/>
      <c r="G14" s="5"/>
      <c r="H14" s="5"/>
      <c r="I14" s="5"/>
      <c r="J14" s="5"/>
      <c r="K14" s="5"/>
    </row>
    <row r="15" spans="1:21" ht="15.6" customHeight="1" thickTop="1" thickBot="1">
      <c r="B15" s="1584" t="s">
        <v>2</v>
      </c>
      <c r="C15" s="68"/>
      <c r="D15" s="1425" t="s">
        <v>335</v>
      </c>
      <c r="E15" s="1426"/>
      <c r="F15" s="1426"/>
      <c r="G15" s="1426"/>
      <c r="H15" s="1426"/>
      <c r="I15" s="1426"/>
      <c r="J15" s="1426"/>
      <c r="K15" s="1426"/>
      <c r="L15" s="1596"/>
    </row>
    <row r="16" spans="1:21" ht="24.6" thickBot="1">
      <c r="B16" s="1585"/>
      <c r="C16" s="73"/>
      <c r="D16" s="34" t="s">
        <v>462</v>
      </c>
      <c r="E16" s="34" t="s">
        <v>463</v>
      </c>
      <c r="F16" s="34" t="s">
        <v>464</v>
      </c>
      <c r="G16" s="34" t="s">
        <v>465</v>
      </c>
      <c r="H16" s="5"/>
      <c r="I16" s="5"/>
      <c r="J16" s="5"/>
      <c r="K16" s="5"/>
      <c r="L16" s="10"/>
    </row>
    <row r="17" spans="2:12" ht="24.6" thickBot="1">
      <c r="B17" s="1585"/>
      <c r="C17" s="73"/>
      <c r="D17" s="32" t="s">
        <v>466</v>
      </c>
      <c r="E17" s="438">
        <v>5</v>
      </c>
      <c r="F17" s="438">
        <v>0</v>
      </c>
      <c r="G17" s="519">
        <f>+E17+F17</f>
        <v>5</v>
      </c>
      <c r="H17" s="5"/>
      <c r="I17" s="5"/>
      <c r="J17" s="5"/>
      <c r="K17" s="5"/>
      <c r="L17" s="10"/>
    </row>
    <row r="18" spans="2:12" ht="31.5" customHeight="1" thickBot="1">
      <c r="B18" s="1585"/>
      <c r="C18" s="73"/>
      <c r="D18" s="32" t="s">
        <v>467</v>
      </c>
      <c r="E18" s="438">
        <v>5</v>
      </c>
      <c r="F18" s="438"/>
      <c r="G18" s="519">
        <f>+E18+F18</f>
        <v>5</v>
      </c>
      <c r="H18" s="5"/>
      <c r="I18" s="5"/>
      <c r="J18" s="5"/>
      <c r="K18" s="5"/>
      <c r="L18" s="10"/>
    </row>
    <row r="19" spans="2:12" ht="30.75" customHeight="1" thickBot="1">
      <c r="B19" s="1585"/>
      <c r="C19" s="73"/>
      <c r="D19" s="32" t="s">
        <v>468</v>
      </c>
      <c r="E19" s="438">
        <v>5</v>
      </c>
      <c r="F19" s="438"/>
      <c r="G19" s="519">
        <f>+E19+F19</f>
        <v>5</v>
      </c>
      <c r="H19" s="517"/>
      <c r="I19" s="5"/>
      <c r="J19" s="5"/>
      <c r="K19" s="5"/>
      <c r="L19" s="10"/>
    </row>
    <row r="20" spans="2:12" ht="30" customHeight="1" thickBot="1">
      <c r="B20" s="1585"/>
      <c r="C20" s="73"/>
      <c r="D20" s="32" t="s">
        <v>448</v>
      </c>
      <c r="E20" s="148">
        <f>IFERROR(E19/E18,"N.A.")</f>
        <v>1</v>
      </c>
      <c r="F20" s="148" t="str">
        <f>IFERROR(F19/F18,"N.A.")</f>
        <v>N.A.</v>
      </c>
      <c r="G20" s="114">
        <f>IFERROR(G19/G18,0)</f>
        <v>1</v>
      </c>
      <c r="H20" s="5"/>
      <c r="I20" s="5"/>
      <c r="J20" s="5"/>
      <c r="K20" s="5"/>
      <c r="L20" s="10"/>
    </row>
    <row r="21" spans="2:12">
      <c r="B21" s="1585"/>
      <c r="C21" s="71"/>
      <c r="D21" s="1416"/>
      <c r="E21" s="1417"/>
      <c r="F21" s="1417"/>
      <c r="G21" s="1417"/>
      <c r="H21" s="1417"/>
      <c r="I21" s="1417"/>
      <c r="J21" s="1417"/>
      <c r="K21" s="1417"/>
      <c r="L21" s="1579"/>
    </row>
    <row r="22" spans="2:12">
      <c r="B22" s="1585"/>
      <c r="C22" s="71"/>
      <c r="D22" s="1428" t="s">
        <v>245</v>
      </c>
      <c r="E22" s="1429"/>
      <c r="F22" s="1429"/>
      <c r="G22" s="1429"/>
      <c r="H22" s="1429"/>
      <c r="I22" s="1429"/>
      <c r="J22" s="1429"/>
      <c r="K22" s="1429"/>
      <c r="L22" s="1580"/>
    </row>
    <row r="23" spans="2:12">
      <c r="B23" s="1585"/>
      <c r="C23" s="71"/>
      <c r="D23" s="1428" t="s">
        <v>469</v>
      </c>
      <c r="E23" s="1429"/>
      <c r="F23" s="1429"/>
      <c r="G23" s="1429"/>
      <c r="H23" s="1429"/>
      <c r="I23" s="1429"/>
      <c r="J23" s="1429"/>
      <c r="K23" s="1429"/>
      <c r="L23" s="1580"/>
    </row>
    <row r="24" spans="2:12" ht="15" thickBot="1">
      <c r="B24" s="1585"/>
      <c r="C24" s="71"/>
      <c r="D24" s="1447" t="s">
        <v>339</v>
      </c>
      <c r="E24" s="1448"/>
      <c r="F24" s="1448"/>
      <c r="G24" s="1448"/>
      <c r="H24" s="1448"/>
      <c r="I24" s="1448"/>
      <c r="J24" s="1448"/>
      <c r="K24" s="1448"/>
      <c r="L24" s="1581"/>
    </row>
    <row r="25" spans="2:12" ht="15.6" customHeight="1">
      <c r="B25" s="174"/>
      <c r="C25" s="1592" t="s">
        <v>18</v>
      </c>
      <c r="D25" s="1582" t="s">
        <v>269</v>
      </c>
      <c r="E25" s="1582" t="s">
        <v>470</v>
      </c>
      <c r="F25" s="1582" t="s">
        <v>381</v>
      </c>
      <c r="G25" s="1594" t="s">
        <v>471</v>
      </c>
      <c r="H25" s="707" t="s">
        <v>472</v>
      </c>
      <c r="I25" s="707" t="s">
        <v>474</v>
      </c>
      <c r="J25" s="1582" t="s">
        <v>273</v>
      </c>
      <c r="K25" s="1582" t="s">
        <v>274</v>
      </c>
      <c r="L25" s="1582" t="s">
        <v>54</v>
      </c>
    </row>
    <row r="26" spans="2:12" ht="35.25" customHeight="1" thickBot="1">
      <c r="B26" s="174"/>
      <c r="C26" s="1593"/>
      <c r="D26" s="1583"/>
      <c r="E26" s="1583"/>
      <c r="F26" s="1583"/>
      <c r="G26" s="1595"/>
      <c r="H26" s="708" t="s">
        <v>473</v>
      </c>
      <c r="I26" s="708" t="s">
        <v>475</v>
      </c>
      <c r="J26" s="1583"/>
      <c r="K26" s="1583"/>
      <c r="L26" s="1583"/>
    </row>
    <row r="27" spans="2:12" ht="79.5" customHeight="1" thickBot="1">
      <c r="B27" s="174"/>
      <c r="C27" s="566"/>
      <c r="D27" s="568" t="s">
        <v>1914</v>
      </c>
      <c r="E27" s="1293" t="s">
        <v>2679</v>
      </c>
      <c r="F27" s="567" t="s">
        <v>1832</v>
      </c>
      <c r="G27" s="1295" t="s">
        <v>2671</v>
      </c>
      <c r="H27" s="806">
        <v>350000000</v>
      </c>
      <c r="I27" s="807">
        <v>350000000</v>
      </c>
      <c r="J27" s="807">
        <v>350000000</v>
      </c>
      <c r="K27" s="807">
        <v>34734360</v>
      </c>
      <c r="L27" s="688" t="s">
        <v>1968</v>
      </c>
    </row>
    <row r="28" spans="2:12" ht="111.75" customHeight="1" thickBot="1">
      <c r="B28" s="174"/>
      <c r="C28" s="566"/>
      <c r="D28" s="759" t="s">
        <v>1915</v>
      </c>
      <c r="E28" s="1294" t="s">
        <v>2670</v>
      </c>
      <c r="F28" s="1296" t="s">
        <v>1832</v>
      </c>
      <c r="G28" s="1296" t="s">
        <v>2671</v>
      </c>
      <c r="H28" s="808">
        <v>500000000</v>
      </c>
      <c r="I28" s="808">
        <v>500000000</v>
      </c>
      <c r="J28" s="809">
        <v>495010937</v>
      </c>
      <c r="K28" s="809">
        <v>472359666</v>
      </c>
      <c r="L28" s="689" t="s">
        <v>1969</v>
      </c>
    </row>
    <row r="29" spans="2:12" s="314" customFormat="1" ht="33.75" customHeight="1" thickBot="1">
      <c r="B29" s="488"/>
      <c r="C29" s="569"/>
      <c r="D29" s="760" t="s">
        <v>150</v>
      </c>
      <c r="E29" s="569"/>
      <c r="F29" s="569"/>
      <c r="G29" s="569"/>
      <c r="H29" s="570">
        <f>SUM(H27:H28)</f>
        <v>850000000</v>
      </c>
      <c r="I29" s="732">
        <f>SUM(I27:I28)</f>
        <v>850000000</v>
      </c>
      <c r="J29" s="570">
        <f>SUM(J27:J28)</f>
        <v>845010937</v>
      </c>
      <c r="K29" s="570">
        <f>SUM(K27:K28)</f>
        <v>507094026</v>
      </c>
      <c r="L29" s="571"/>
    </row>
    <row r="30" spans="2:12" ht="24" customHeight="1" thickBot="1">
      <c r="B30" s="61" t="s">
        <v>33</v>
      </c>
      <c r="C30" s="86"/>
      <c r="D30" s="1437" t="s">
        <v>476</v>
      </c>
      <c r="E30" s="1438"/>
      <c r="F30" s="1438"/>
      <c r="G30" s="1438"/>
      <c r="H30" s="1438"/>
      <c r="I30" s="1438"/>
      <c r="J30" s="1438"/>
      <c r="K30" s="1438"/>
      <c r="L30" s="1578"/>
    </row>
    <row r="31" spans="2:12" ht="24" customHeight="1" thickBot="1">
      <c r="B31" s="61" t="s">
        <v>35</v>
      </c>
      <c r="C31" s="86"/>
      <c r="D31" s="1437" t="s">
        <v>345</v>
      </c>
      <c r="E31" s="1438"/>
      <c r="F31" s="1438"/>
      <c r="G31" s="1438"/>
      <c r="H31" s="1438"/>
      <c r="I31" s="1438"/>
      <c r="J31" s="1438"/>
      <c r="K31" s="1438"/>
      <c r="L31" s="1578"/>
    </row>
    <row r="32" spans="2:12" ht="15" thickBot="1">
      <c r="B32" s="1"/>
      <c r="C32" s="64"/>
      <c r="D32" s="5"/>
      <c r="E32" s="5"/>
      <c r="F32" s="5"/>
      <c r="G32" s="5"/>
      <c r="H32" s="5"/>
      <c r="I32" s="5"/>
      <c r="J32" s="5"/>
      <c r="K32" s="5"/>
    </row>
    <row r="33" spans="2:11" ht="24" customHeight="1" thickBot="1">
      <c r="B33" s="1444" t="s">
        <v>37</v>
      </c>
      <c r="C33" s="1445"/>
      <c r="D33" s="1445"/>
      <c r="E33" s="1446"/>
      <c r="F33" s="5"/>
      <c r="G33" s="5"/>
      <c r="H33" s="5"/>
      <c r="I33" s="5"/>
      <c r="J33" s="5"/>
      <c r="K33" s="5"/>
    </row>
    <row r="34" spans="2:11" ht="15" thickBot="1">
      <c r="B34" s="1434">
        <v>1</v>
      </c>
      <c r="C34" s="73"/>
      <c r="D34" s="38" t="s">
        <v>38</v>
      </c>
      <c r="E34" s="25" t="s">
        <v>1811</v>
      </c>
      <c r="F34" s="5"/>
      <c r="G34" s="5"/>
      <c r="H34" s="5"/>
      <c r="I34" s="5"/>
      <c r="J34" s="5"/>
      <c r="K34" s="5"/>
    </row>
    <row r="35" spans="2:11" ht="24.6" thickBot="1">
      <c r="B35" s="1435"/>
      <c r="C35" s="73"/>
      <c r="D35" s="32" t="s">
        <v>39</v>
      </c>
      <c r="E35" s="24" t="s">
        <v>1836</v>
      </c>
      <c r="F35" s="5"/>
      <c r="G35" s="5"/>
      <c r="H35" s="5"/>
      <c r="I35" s="5"/>
      <c r="J35" s="5"/>
      <c r="K35" s="5"/>
    </row>
    <row r="36" spans="2:11" ht="15" thickBot="1">
      <c r="B36" s="1435"/>
      <c r="C36" s="73"/>
      <c r="D36" s="32" t="s">
        <v>40</v>
      </c>
      <c r="E36" s="24" t="s">
        <v>2015</v>
      </c>
      <c r="F36" s="5"/>
      <c r="G36" s="5"/>
      <c r="H36" s="5"/>
      <c r="I36" s="5"/>
      <c r="J36" s="5"/>
      <c r="K36" s="5"/>
    </row>
    <row r="37" spans="2:11" ht="15" thickBot="1">
      <c r="B37" s="1435"/>
      <c r="C37" s="73"/>
      <c r="D37" s="32" t="s">
        <v>41</v>
      </c>
      <c r="E37" s="25" t="s">
        <v>2028</v>
      </c>
      <c r="F37" s="5"/>
      <c r="G37" s="5"/>
      <c r="H37" s="5"/>
      <c r="I37" s="5"/>
      <c r="J37" s="5"/>
      <c r="K37" s="5"/>
    </row>
    <row r="38" spans="2:11" ht="29.4" thickBot="1">
      <c r="B38" s="1435"/>
      <c r="C38" s="73"/>
      <c r="D38" s="32" t="s">
        <v>42</v>
      </c>
      <c r="E38" s="504" t="s">
        <v>1821</v>
      </c>
      <c r="F38" s="5"/>
      <c r="G38" s="5"/>
      <c r="H38" s="5"/>
      <c r="I38" s="5"/>
      <c r="J38" s="5"/>
      <c r="K38" s="5"/>
    </row>
    <row r="39" spans="2:11" ht="15" thickBot="1">
      <c r="B39" s="1435"/>
      <c r="C39" s="73"/>
      <c r="D39" s="32" t="s">
        <v>43</v>
      </c>
      <c r="E39" s="24" t="s">
        <v>1822</v>
      </c>
      <c r="F39" s="5"/>
      <c r="G39" s="5"/>
      <c r="H39" s="5"/>
      <c r="I39" s="5"/>
      <c r="J39" s="5"/>
      <c r="K39" s="5"/>
    </row>
    <row r="40" spans="2:11" ht="24.6" thickBot="1">
      <c r="B40" s="1436"/>
      <c r="C40" s="2"/>
      <c r="D40" s="32" t="s">
        <v>44</v>
      </c>
      <c r="E40" s="24" t="s">
        <v>1814</v>
      </c>
      <c r="F40" s="5"/>
      <c r="G40" s="5"/>
      <c r="H40" s="5"/>
      <c r="I40" s="5"/>
      <c r="J40" s="5"/>
      <c r="K40" s="5"/>
    </row>
    <row r="41" spans="2:11" ht="15" thickBot="1">
      <c r="B41" s="1"/>
      <c r="C41" s="64"/>
      <c r="D41" s="5"/>
      <c r="E41" s="5"/>
      <c r="F41" s="5"/>
      <c r="G41" s="5"/>
      <c r="H41" s="5"/>
      <c r="I41" s="5"/>
      <c r="J41" s="5"/>
      <c r="K41" s="5"/>
    </row>
    <row r="42" spans="2:11" ht="15" thickBot="1">
      <c r="B42" s="1444" t="s">
        <v>45</v>
      </c>
      <c r="C42" s="1445"/>
      <c r="D42" s="1445"/>
      <c r="E42" s="1446"/>
      <c r="F42" s="5"/>
      <c r="G42" s="5"/>
      <c r="H42" s="5"/>
      <c r="I42" s="5"/>
      <c r="J42" s="5"/>
      <c r="K42" s="5"/>
    </row>
    <row r="43" spans="2:11" ht="15" thickBot="1">
      <c r="B43" s="1434">
        <v>1</v>
      </c>
      <c r="C43" s="73"/>
      <c r="D43" s="38" t="s">
        <v>38</v>
      </c>
      <c r="E43" s="176" t="s">
        <v>46</v>
      </c>
      <c r="F43" s="5"/>
      <c r="G43" s="5"/>
      <c r="H43" s="5"/>
      <c r="I43" s="5"/>
      <c r="J43" s="5"/>
      <c r="K43" s="5"/>
    </row>
    <row r="44" spans="2:11" ht="15" thickBot="1">
      <c r="B44" s="1435"/>
      <c r="C44" s="73"/>
      <c r="D44" s="32" t="s">
        <v>39</v>
      </c>
      <c r="E44" s="176" t="s">
        <v>47</v>
      </c>
      <c r="F44" s="5"/>
      <c r="G44" s="5"/>
      <c r="H44" s="5"/>
      <c r="I44" s="5"/>
      <c r="J44" s="5"/>
      <c r="K44" s="5"/>
    </row>
    <row r="45" spans="2:11" ht="15" thickBot="1">
      <c r="B45" s="1435"/>
      <c r="C45" s="73"/>
      <c r="D45" s="32" t="s">
        <v>40</v>
      </c>
      <c r="E45" s="193"/>
      <c r="F45" s="5"/>
      <c r="G45" s="5"/>
      <c r="H45" s="5"/>
      <c r="I45" s="5"/>
      <c r="J45" s="5"/>
      <c r="K45" s="5"/>
    </row>
    <row r="46" spans="2:11" ht="15" thickBot="1">
      <c r="B46" s="1435"/>
      <c r="C46" s="73"/>
      <c r="D46" s="32" t="s">
        <v>41</v>
      </c>
      <c r="E46" s="193"/>
      <c r="F46" s="5"/>
      <c r="G46" s="5"/>
      <c r="H46" s="5"/>
      <c r="I46" s="5"/>
      <c r="J46" s="5"/>
      <c r="K46" s="5"/>
    </row>
    <row r="47" spans="2:11" ht="15" thickBot="1">
      <c r="B47" s="1435"/>
      <c r="C47" s="73"/>
      <c r="D47" s="32" t="s">
        <v>42</v>
      </c>
      <c r="E47" s="193"/>
      <c r="F47" s="5"/>
      <c r="G47" s="5"/>
      <c r="H47" s="5"/>
      <c r="I47" s="5"/>
      <c r="J47" s="5"/>
      <c r="K47" s="5"/>
    </row>
    <row r="48" spans="2:11" ht="15" thickBot="1">
      <c r="B48" s="1435"/>
      <c r="C48" s="73"/>
      <c r="D48" s="32" t="s">
        <v>43</v>
      </c>
      <c r="E48" s="193"/>
      <c r="F48" s="5"/>
      <c r="G48" s="5"/>
      <c r="H48" s="5"/>
      <c r="I48" s="5"/>
      <c r="J48" s="5"/>
      <c r="K48" s="5"/>
    </row>
    <row r="49" spans="2:11" ht="15" thickBot="1">
      <c r="B49" s="1436"/>
      <c r="C49" s="2"/>
      <c r="D49" s="32" t="s">
        <v>44</v>
      </c>
      <c r="E49" s="193"/>
      <c r="F49" s="5"/>
      <c r="G49" s="5"/>
      <c r="H49" s="5"/>
      <c r="I49" s="5"/>
      <c r="J49" s="5"/>
      <c r="K49" s="5"/>
    </row>
    <row r="50" spans="2:11" ht="15" thickBot="1">
      <c r="B50" s="1"/>
      <c r="C50" s="64"/>
      <c r="D50" s="5"/>
      <c r="E50" s="5"/>
      <c r="F50" s="5"/>
      <c r="G50" s="5"/>
      <c r="H50" s="5"/>
      <c r="I50" s="5"/>
      <c r="J50" s="5"/>
      <c r="K50" s="5"/>
    </row>
    <row r="51" spans="2:11" ht="15" customHeight="1" thickBot="1">
      <c r="B51" s="100" t="s">
        <v>48</v>
      </c>
      <c r="C51" s="101"/>
      <c r="D51" s="101"/>
      <c r="E51" s="102"/>
      <c r="F51" s="5"/>
      <c r="G51" s="5"/>
      <c r="H51" s="5"/>
      <c r="I51" s="5"/>
      <c r="J51" s="5"/>
      <c r="K51" s="5"/>
    </row>
    <row r="52" spans="2:11" ht="24.6" thickBot="1">
      <c r="B52" s="37" t="s">
        <v>49</v>
      </c>
      <c r="C52" s="32" t="s">
        <v>50</v>
      </c>
      <c r="D52" s="32" t="s">
        <v>51</v>
      </c>
      <c r="E52" s="32" t="s">
        <v>52</v>
      </c>
      <c r="F52" s="5"/>
      <c r="G52" s="5"/>
      <c r="H52" s="5"/>
      <c r="I52" s="5"/>
      <c r="J52" s="5"/>
    </row>
    <row r="53" spans="2:11" ht="48.6" thickBot="1">
      <c r="B53" s="39">
        <v>42401</v>
      </c>
      <c r="C53" s="32">
        <v>0.01</v>
      </c>
      <c r="D53" s="40" t="s">
        <v>477</v>
      </c>
      <c r="E53" s="32"/>
      <c r="F53" s="5"/>
      <c r="G53" s="5"/>
      <c r="H53" s="5"/>
      <c r="I53" s="5"/>
      <c r="J53" s="5"/>
    </row>
    <row r="54" spans="2:11" ht="15" thickBot="1">
      <c r="B54" s="1"/>
      <c r="C54" s="64"/>
      <c r="D54" s="5"/>
      <c r="E54" s="5"/>
      <c r="F54" s="5"/>
      <c r="G54" s="5"/>
      <c r="H54" s="5"/>
      <c r="I54" s="5"/>
      <c r="J54" s="5"/>
      <c r="K54" s="5"/>
    </row>
    <row r="55" spans="2:11">
      <c r="B55" s="106" t="s">
        <v>54</v>
      </c>
      <c r="C55" s="75"/>
      <c r="D55" s="5"/>
      <c r="E55" s="5"/>
      <c r="F55" s="5"/>
      <c r="G55" s="5"/>
      <c r="H55" s="5"/>
      <c r="I55" s="5"/>
      <c r="J55" s="5"/>
      <c r="K55" s="5"/>
    </row>
    <row r="56" spans="2:11" ht="14.4" customHeight="1">
      <c r="B56" s="1586" t="s">
        <v>478</v>
      </c>
      <c r="C56" s="1587"/>
      <c r="D56" s="1587"/>
      <c r="E56" s="1587"/>
      <c r="F56" s="1587"/>
      <c r="G56" s="1588"/>
      <c r="H56" s="5"/>
      <c r="I56" s="5"/>
      <c r="J56" s="5"/>
      <c r="K56" s="5"/>
    </row>
    <row r="57" spans="2:11">
      <c r="B57" s="1589"/>
      <c r="C57" s="1590"/>
      <c r="D57" s="1590"/>
      <c r="E57" s="1590"/>
      <c r="F57" s="1590"/>
      <c r="G57" s="1591"/>
      <c r="H57" s="5"/>
      <c r="I57" s="5"/>
      <c r="J57" s="5"/>
      <c r="K57" s="5"/>
    </row>
    <row r="58" spans="2:11">
      <c r="B58" s="134"/>
      <c r="C58" s="135"/>
      <c r="D58" s="135"/>
      <c r="E58" s="135"/>
      <c r="F58" s="135"/>
      <c r="G58" s="136"/>
      <c r="H58" s="5"/>
      <c r="I58" s="5"/>
      <c r="J58" s="5"/>
      <c r="K58" s="5"/>
    </row>
    <row r="59" spans="2:11" ht="15" thickBot="1">
      <c r="B59" s="5"/>
      <c r="D59" s="5"/>
      <c r="E59" s="5"/>
      <c r="F59" s="5"/>
      <c r="G59" s="5"/>
      <c r="H59" s="5"/>
      <c r="I59" s="5"/>
      <c r="J59" s="5"/>
      <c r="K59" s="5"/>
    </row>
    <row r="60" spans="2:11" ht="15" thickBot="1">
      <c r="B60" s="1444" t="s">
        <v>449</v>
      </c>
      <c r="C60" s="1445"/>
      <c r="D60" s="1446"/>
      <c r="E60" s="5"/>
      <c r="F60" s="5"/>
      <c r="G60" s="5"/>
      <c r="H60" s="5"/>
      <c r="I60" s="5"/>
      <c r="J60" s="5"/>
      <c r="K60" s="5"/>
    </row>
    <row r="61" spans="2:11" ht="72.599999999999994" thickBot="1">
      <c r="B61" s="37" t="s">
        <v>56</v>
      </c>
      <c r="C61" s="2"/>
      <c r="D61" s="32" t="s">
        <v>450</v>
      </c>
      <c r="E61" s="5"/>
      <c r="F61" s="5"/>
      <c r="G61" s="5"/>
      <c r="H61" s="5"/>
      <c r="I61" s="5"/>
      <c r="J61" s="5"/>
      <c r="K61" s="5"/>
    </row>
    <row r="62" spans="2:11">
      <c r="B62" s="1434" t="s">
        <v>58</v>
      </c>
      <c r="C62" s="73"/>
      <c r="D62" s="43" t="s">
        <v>59</v>
      </c>
      <c r="E62" s="5"/>
      <c r="F62" s="5"/>
      <c r="G62" s="5"/>
      <c r="H62" s="5"/>
      <c r="I62" s="5"/>
      <c r="J62" s="5"/>
      <c r="K62" s="5"/>
    </row>
    <row r="63" spans="2:11" ht="84">
      <c r="B63" s="1435"/>
      <c r="C63" s="73"/>
      <c r="D63" s="36" t="s">
        <v>451</v>
      </c>
      <c r="E63" s="5"/>
      <c r="F63" s="5"/>
      <c r="G63" s="5"/>
      <c r="H63" s="5"/>
      <c r="I63" s="5"/>
      <c r="J63" s="5"/>
      <c r="K63" s="5"/>
    </row>
    <row r="64" spans="2:11">
      <c r="B64" s="1435"/>
      <c r="C64" s="73"/>
      <c r="D64" s="43" t="s">
        <v>62</v>
      </c>
      <c r="E64" s="5"/>
      <c r="F64" s="5"/>
      <c r="G64" s="5"/>
      <c r="H64" s="5"/>
      <c r="I64" s="5"/>
      <c r="J64" s="5"/>
      <c r="K64" s="5"/>
    </row>
    <row r="65" spans="2:11">
      <c r="B65" s="1435"/>
      <c r="C65" s="73"/>
      <c r="D65" s="36" t="s">
        <v>64</v>
      </c>
      <c r="E65" s="5"/>
      <c r="F65" s="5"/>
      <c r="G65" s="5"/>
      <c r="H65" s="5"/>
      <c r="I65" s="5"/>
      <c r="J65" s="5"/>
      <c r="K65" s="5"/>
    </row>
    <row r="66" spans="2:11">
      <c r="B66" s="1435"/>
      <c r="C66" s="73"/>
      <c r="D66" s="43" t="s">
        <v>287</v>
      </c>
      <c r="E66" s="5"/>
      <c r="F66" s="5"/>
      <c r="G66" s="5"/>
      <c r="H66" s="5"/>
      <c r="I66" s="5"/>
      <c r="J66" s="5"/>
      <c r="K66" s="5"/>
    </row>
    <row r="67" spans="2:11" ht="24.6" thickBot="1">
      <c r="B67" s="1436"/>
      <c r="C67" s="2"/>
      <c r="D67" s="32" t="s">
        <v>452</v>
      </c>
      <c r="E67" s="5"/>
      <c r="F67" s="5"/>
      <c r="G67" s="5"/>
      <c r="H67" s="5"/>
      <c r="I67" s="5"/>
      <c r="J67" s="5"/>
      <c r="K67" s="5"/>
    </row>
    <row r="68" spans="2:11">
      <c r="B68" s="1434" t="s">
        <v>71</v>
      </c>
      <c r="C68" s="78"/>
      <c r="D68" s="1434"/>
      <c r="E68" s="5"/>
      <c r="F68" s="5"/>
      <c r="G68" s="5"/>
      <c r="H68" s="5"/>
      <c r="I68" s="5"/>
      <c r="J68" s="5"/>
      <c r="K68" s="5"/>
    </row>
    <row r="69" spans="2:11" ht="15" thickBot="1">
      <c r="B69" s="1436"/>
      <c r="C69" s="79"/>
      <c r="D69" s="1436"/>
      <c r="E69" s="5"/>
      <c r="F69" s="5"/>
      <c r="G69" s="5"/>
      <c r="H69" s="5"/>
      <c r="I69" s="5"/>
      <c r="J69" s="5"/>
      <c r="K69" s="5"/>
    </row>
    <row r="70" spans="2:11" ht="72">
      <c r="B70" s="1434" t="s">
        <v>72</v>
      </c>
      <c r="C70" s="73"/>
      <c r="D70" s="36" t="s">
        <v>355</v>
      </c>
      <c r="E70" s="5"/>
      <c r="F70" s="5"/>
      <c r="G70" s="5"/>
      <c r="H70" s="5"/>
      <c r="I70" s="5"/>
      <c r="J70" s="5"/>
      <c r="K70" s="5"/>
    </row>
    <row r="71" spans="2:11" ht="96">
      <c r="B71" s="1435"/>
      <c r="C71" s="73"/>
      <c r="D71" s="36" t="s">
        <v>356</v>
      </c>
      <c r="E71" s="5"/>
      <c r="F71" s="5"/>
      <c r="G71" s="5"/>
      <c r="H71" s="5"/>
      <c r="I71" s="5"/>
      <c r="J71" s="5"/>
      <c r="K71" s="5"/>
    </row>
    <row r="72" spans="2:11" ht="48">
      <c r="B72" s="1435"/>
      <c r="C72" s="73"/>
      <c r="D72" s="36" t="s">
        <v>358</v>
      </c>
      <c r="E72" s="5"/>
      <c r="F72" s="5"/>
      <c r="G72" s="5"/>
      <c r="H72" s="5"/>
      <c r="I72" s="5"/>
      <c r="J72" s="5"/>
      <c r="K72" s="5"/>
    </row>
    <row r="73" spans="2:11" ht="24">
      <c r="B73" s="1435"/>
      <c r="C73" s="73"/>
      <c r="D73" s="36" t="s">
        <v>453</v>
      </c>
      <c r="E73" s="5"/>
      <c r="F73" s="5"/>
      <c r="G73" s="5"/>
      <c r="H73" s="5"/>
      <c r="I73" s="5"/>
      <c r="J73" s="5"/>
      <c r="K73" s="5"/>
    </row>
    <row r="74" spans="2:11" ht="120.6" thickBot="1">
      <c r="B74" s="1436"/>
      <c r="C74" s="2"/>
      <c r="D74" s="32" t="s">
        <v>454</v>
      </c>
      <c r="E74" s="5"/>
      <c r="F74" s="5"/>
      <c r="G74" s="5"/>
      <c r="H74" s="5"/>
      <c r="I74" s="5"/>
      <c r="J74" s="5"/>
      <c r="K74" s="5"/>
    </row>
    <row r="75" spans="2:11" ht="24">
      <c r="B75" s="1434" t="s">
        <v>89</v>
      </c>
      <c r="C75" s="73"/>
      <c r="D75" s="43" t="s">
        <v>455</v>
      </c>
      <c r="E75" s="5"/>
      <c r="F75" s="5"/>
      <c r="G75" s="5"/>
      <c r="H75" s="5"/>
      <c r="I75" s="5"/>
      <c r="J75" s="5"/>
      <c r="K75" s="5"/>
    </row>
    <row r="76" spans="2:11">
      <c r="B76" s="1435"/>
      <c r="C76" s="73"/>
      <c r="D76" s="13"/>
      <c r="E76" s="5"/>
      <c r="F76" s="5"/>
      <c r="G76" s="5"/>
      <c r="H76" s="5"/>
      <c r="I76" s="5"/>
      <c r="J76" s="5"/>
      <c r="K76" s="5"/>
    </row>
    <row r="77" spans="2:11">
      <c r="B77" s="1435"/>
      <c r="C77" s="73"/>
      <c r="D77" s="36" t="s">
        <v>90</v>
      </c>
      <c r="E77" s="5"/>
      <c r="F77" s="5"/>
      <c r="G77" s="5"/>
      <c r="H77" s="5"/>
      <c r="I77" s="5"/>
      <c r="J77" s="5"/>
      <c r="K77" s="5"/>
    </row>
    <row r="78" spans="2:11" ht="26.4">
      <c r="B78" s="1435"/>
      <c r="C78" s="73"/>
      <c r="D78" s="36" t="s">
        <v>456</v>
      </c>
      <c r="E78" s="5"/>
      <c r="F78" s="5"/>
      <c r="G78" s="5"/>
      <c r="H78" s="5"/>
      <c r="I78" s="5"/>
      <c r="J78" s="5"/>
      <c r="K78" s="5"/>
    </row>
    <row r="79" spans="2:11" ht="26.4">
      <c r="B79" s="1435"/>
      <c r="C79" s="73"/>
      <c r="D79" s="36" t="s">
        <v>457</v>
      </c>
      <c r="E79" s="5"/>
      <c r="F79" s="5"/>
      <c r="G79" s="5"/>
      <c r="H79" s="5"/>
      <c r="I79" s="5"/>
      <c r="J79" s="5"/>
      <c r="K79" s="5"/>
    </row>
    <row r="80" spans="2:11" ht="38.4">
      <c r="B80" s="1435"/>
      <c r="C80" s="73"/>
      <c r="D80" s="36" t="s">
        <v>458</v>
      </c>
      <c r="E80" s="5"/>
      <c r="F80" s="5"/>
      <c r="G80" s="5"/>
      <c r="H80" s="5"/>
      <c r="I80" s="5"/>
      <c r="J80" s="5"/>
      <c r="K80" s="5"/>
    </row>
    <row r="81" spans="2:11">
      <c r="B81" s="1435"/>
      <c r="C81" s="73"/>
      <c r="D81" s="43" t="s">
        <v>245</v>
      </c>
      <c r="E81" s="5"/>
      <c r="F81" s="5"/>
      <c r="G81" s="5"/>
      <c r="H81" s="5"/>
      <c r="I81" s="5"/>
      <c r="J81" s="5"/>
      <c r="K81" s="5"/>
    </row>
    <row r="82" spans="2:11" ht="24">
      <c r="B82" s="1435"/>
      <c r="C82" s="73"/>
      <c r="D82" s="43" t="s">
        <v>459</v>
      </c>
      <c r="E82" s="5"/>
      <c r="F82" s="5"/>
      <c r="G82" s="5"/>
      <c r="H82" s="5"/>
      <c r="I82" s="5"/>
      <c r="J82" s="5"/>
      <c r="K82" s="5"/>
    </row>
    <row r="83" spans="2:11">
      <c r="B83" s="1435"/>
      <c r="C83" s="73"/>
      <c r="D83" s="13"/>
      <c r="E83" s="5"/>
      <c r="F83" s="5"/>
      <c r="G83" s="5"/>
      <c r="H83" s="5"/>
      <c r="I83" s="5"/>
      <c r="J83" s="5"/>
      <c r="K83" s="5"/>
    </row>
    <row r="84" spans="2:11">
      <c r="B84" s="1435"/>
      <c r="C84" s="73"/>
      <c r="D84" s="36" t="s">
        <v>90</v>
      </c>
      <c r="E84" s="5"/>
      <c r="F84" s="5"/>
      <c r="G84" s="5"/>
      <c r="H84" s="5"/>
      <c r="I84" s="5"/>
      <c r="J84" s="5"/>
      <c r="K84" s="5"/>
    </row>
    <row r="85" spans="2:11" ht="38.4">
      <c r="B85" s="1435"/>
      <c r="C85" s="73"/>
      <c r="D85" s="36" t="s">
        <v>460</v>
      </c>
      <c r="E85" s="5"/>
      <c r="F85" s="5"/>
      <c r="G85" s="5"/>
      <c r="H85" s="5"/>
      <c r="I85" s="5"/>
      <c r="J85" s="5"/>
      <c r="K85" s="5"/>
    </row>
    <row r="86" spans="2:11" ht="27" thickBot="1">
      <c r="B86" s="1436"/>
      <c r="C86" s="2"/>
      <c r="D86" s="32" t="s">
        <v>461</v>
      </c>
      <c r="E86" s="5"/>
      <c r="F86" s="5"/>
      <c r="G86" s="5"/>
      <c r="H86" s="5"/>
      <c r="I86" s="5"/>
      <c r="J86" s="5"/>
      <c r="K86" s="5"/>
    </row>
    <row r="87" spans="2:11">
      <c r="B87" s="5"/>
      <c r="D87" s="5"/>
      <c r="E87" s="5"/>
      <c r="F87" s="5"/>
      <c r="G87" s="5"/>
      <c r="H87" s="5"/>
      <c r="I87" s="5"/>
      <c r="J87" s="5"/>
      <c r="K87" s="5"/>
    </row>
    <row r="88" spans="2:11">
      <c r="B88" s="5"/>
      <c r="D88" s="5"/>
      <c r="E88" s="5"/>
      <c r="F88" s="5"/>
      <c r="G88" s="5"/>
      <c r="H88" s="5"/>
      <c r="I88" s="5"/>
      <c r="J88" s="5"/>
      <c r="K88" s="5"/>
    </row>
    <row r="89" spans="2:11">
      <c r="B89" s="5"/>
      <c r="D89" s="5"/>
      <c r="E89" s="5"/>
      <c r="F89" s="5"/>
      <c r="G89" s="5"/>
      <c r="H89" s="5"/>
      <c r="I89" s="5"/>
      <c r="J89" s="5"/>
      <c r="K89" s="5"/>
    </row>
    <row r="90" spans="2:11">
      <c r="B90" s="5"/>
      <c r="D90" s="5"/>
      <c r="E90" s="5"/>
      <c r="F90" s="5"/>
      <c r="G90" s="5"/>
      <c r="H90" s="5"/>
      <c r="I90" s="5"/>
      <c r="J90" s="5"/>
      <c r="K90" s="5"/>
    </row>
    <row r="91" spans="2:11">
      <c r="B91" s="5"/>
      <c r="D91" s="5"/>
      <c r="E91" s="5"/>
      <c r="F91" s="5"/>
      <c r="G91" s="5"/>
      <c r="H91" s="5"/>
      <c r="I91" s="5"/>
      <c r="J91" s="5"/>
      <c r="K91" s="5"/>
    </row>
    <row r="92" spans="2:11">
      <c r="B92" s="5"/>
      <c r="D92" s="5"/>
      <c r="E92" s="5"/>
      <c r="F92" s="5"/>
      <c r="G92" s="5"/>
      <c r="H92" s="5"/>
      <c r="I92" s="5"/>
      <c r="J92" s="5"/>
      <c r="K92" s="5"/>
    </row>
    <row r="93" spans="2:11">
      <c r="B93" s="5"/>
      <c r="D93" s="5"/>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sheetData>
  <mergeCells count="37">
    <mergeCell ref="B10:D10"/>
    <mergeCell ref="F10:S10"/>
    <mergeCell ref="F11:S11"/>
    <mergeCell ref="E12:R12"/>
    <mergeCell ref="E13:R13"/>
    <mergeCell ref="B15:B24"/>
    <mergeCell ref="L25:L26"/>
    <mergeCell ref="B56:G57"/>
    <mergeCell ref="B75:B86"/>
    <mergeCell ref="B60:D60"/>
    <mergeCell ref="B62:B67"/>
    <mergeCell ref="B68:B69"/>
    <mergeCell ref="D68:D69"/>
    <mergeCell ref="B70:B74"/>
    <mergeCell ref="C25:C26"/>
    <mergeCell ref="D25:D26"/>
    <mergeCell ref="E25:E26"/>
    <mergeCell ref="F25:F26"/>
    <mergeCell ref="G25:G26"/>
    <mergeCell ref="K25:K26"/>
    <mergeCell ref="D15:L15"/>
    <mergeCell ref="D21:L21"/>
    <mergeCell ref="D22:L22"/>
    <mergeCell ref="D23:L23"/>
    <mergeCell ref="D24:L24"/>
    <mergeCell ref="J25:J26"/>
    <mergeCell ref="B43:B49"/>
    <mergeCell ref="D30:L30"/>
    <mergeCell ref="D31:L31"/>
    <mergeCell ref="B33:E33"/>
    <mergeCell ref="B34:B40"/>
    <mergeCell ref="B42:E42"/>
    <mergeCell ref="A1:P1"/>
    <mergeCell ref="A2:P2"/>
    <mergeCell ref="A3:P3"/>
    <mergeCell ref="A4:D4"/>
    <mergeCell ref="A5:P5"/>
  </mergeCells>
  <phoneticPr fontId="43" type="noConversion"/>
  <conditionalFormatting sqref="E12:R12">
    <cfRule type="expression" dxfId="77" priority="1">
      <formula>E11="SI SE REPORTA"</formula>
    </cfRule>
  </conditionalFormatting>
  <conditionalFormatting sqref="F10">
    <cfRule type="notContainsBlanks" dxfId="76" priority="4">
      <formula>LEN(TRIM(F10))&gt;0</formula>
    </cfRule>
  </conditionalFormatting>
  <conditionalFormatting sqref="F11:S11">
    <cfRule type="expression" dxfId="75" priority="2">
      <formula>E11="NO SE REPORTA"</formula>
    </cfRule>
    <cfRule type="expression" dxfId="74"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7:F19" xr:uid="{00000000-0002-0000-1000-000000000000}">
      <formula1>0</formula1>
    </dataValidation>
    <dataValidation type="whole" operator="greaterThanOrEqual" allowBlank="1" showInputMessage="1" showErrorMessage="1" errorTitle="ERROR" error="Valor en PESOS (sin centavos)" sqref="I28:K28 H27:H28" xr:uid="{00000000-0002-0000-1000-000001000000}">
      <formula1>0</formula1>
    </dataValidation>
    <dataValidation type="list" allowBlank="1" showInputMessage="1" showErrorMessage="1" sqref="E11" xr:uid="{00000000-0002-0000-1000-000002000000}">
      <formula1>REPORTE</formula1>
    </dataValidation>
    <dataValidation type="list" allowBlank="1" showInputMessage="1" showErrorMessage="1" sqref="E10" xr:uid="{00000000-0002-0000-1000-000003000000}">
      <formula1>SI</formula1>
    </dataValidation>
  </dataValidations>
  <hyperlinks>
    <hyperlink ref="B9" location="'ANEXO 3'!A1" display="VOLVER AL INDICE" xr:uid="{00000000-0004-0000-1000-000000000000}"/>
    <hyperlink ref="E38" r:id="rId1" xr:uid="{00000000-0004-0000-1000-000001000000}"/>
  </hyperlinks>
  <pageMargins left="0.25" right="0.25" top="0.75" bottom="0.75" header="0.3" footer="0.3"/>
  <pageSetup paperSize="178"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pageSetUpPr fitToPage="1"/>
  </sheetPr>
  <dimension ref="A1:Y343"/>
  <sheetViews>
    <sheetView zoomScale="80" zoomScaleNormal="80" zoomScaleSheetLayoutView="100" workbookViewId="0">
      <pane ySplit="1428" topLeftCell="A85" activePane="bottomLeft"/>
      <selection activeCell="A6" sqref="A1:A1048576"/>
      <selection pane="bottomLeft" activeCell="J99" sqref="J99"/>
    </sheetView>
  </sheetViews>
  <sheetFormatPr baseColWidth="10" defaultRowHeight="36" customHeight="1"/>
  <cols>
    <col min="1" max="1" width="10" customWidth="1"/>
    <col min="2" max="2" width="14.6640625" customWidth="1"/>
    <col min="3" max="3" width="14.109375" customWidth="1"/>
    <col min="4" max="4" width="16.109375" customWidth="1"/>
    <col min="10" max="10" width="122.44140625" bestFit="1" customWidth="1"/>
    <col min="11" max="14" width="17.33203125" customWidth="1"/>
    <col min="15" max="15" width="25.6640625" bestFit="1" customWidth="1"/>
    <col min="16" max="18" width="18.88671875" customWidth="1"/>
    <col min="19" max="19" width="19.33203125" customWidth="1"/>
    <col min="20" max="20" width="17.44140625" customWidth="1"/>
    <col min="21" max="21" width="14" customWidth="1"/>
    <col min="22" max="22" width="26.88671875" customWidth="1"/>
    <col min="23" max="23" width="19.44140625" hidden="1" customWidth="1"/>
    <col min="24" max="24" width="15.109375" hidden="1" customWidth="1"/>
    <col min="25" max="25" width="0" hidden="1" customWidth="1"/>
  </cols>
  <sheetData>
    <row r="1" spans="1:25" ht="109.5" customHeight="1" thickBot="1">
      <c r="A1" s="1308"/>
      <c r="B1" s="1309"/>
      <c r="C1" s="1309"/>
      <c r="D1" s="1309"/>
      <c r="E1" s="1309"/>
      <c r="F1" s="1310"/>
      <c r="G1" s="1310"/>
      <c r="H1" s="1310"/>
      <c r="I1" s="1309"/>
      <c r="J1" s="1309"/>
      <c r="K1" s="1309"/>
      <c r="L1" s="1309"/>
      <c r="M1" s="1309"/>
      <c r="N1" s="1309"/>
      <c r="O1" s="1309"/>
      <c r="P1" s="1309"/>
      <c r="Q1" s="1309"/>
      <c r="R1" s="1309"/>
      <c r="S1" s="1309"/>
      <c r="T1" s="1309"/>
      <c r="U1" s="1309"/>
      <c r="V1" s="1311"/>
    </row>
    <row r="2" spans="1:25" ht="26.25" customHeight="1">
      <c r="A2" s="1312" t="s">
        <v>1652</v>
      </c>
      <c r="B2" s="1313"/>
      <c r="C2" s="1313"/>
      <c r="D2" s="1313"/>
      <c r="E2" s="1313"/>
      <c r="F2" s="1314"/>
      <c r="G2" s="1314"/>
      <c r="H2" s="1314"/>
      <c r="I2" s="1313"/>
      <c r="J2" s="1313"/>
      <c r="K2" s="1313"/>
      <c r="L2" s="1313"/>
      <c r="M2" s="1313"/>
      <c r="N2" s="1313"/>
      <c r="O2" s="1313"/>
      <c r="P2" s="1313"/>
      <c r="Q2" s="1313"/>
      <c r="R2" s="1313"/>
      <c r="S2" s="1313"/>
      <c r="T2" s="1313"/>
      <c r="U2" s="1313"/>
      <c r="V2" s="1315"/>
    </row>
    <row r="3" spans="1:25" ht="26.25" customHeight="1">
      <c r="A3" s="1316" t="s">
        <v>1294</v>
      </c>
      <c r="B3" s="1317"/>
      <c r="C3" s="1317"/>
      <c r="D3" s="1317"/>
      <c r="E3" s="1317"/>
      <c r="F3" s="1318"/>
      <c r="G3" s="1318"/>
      <c r="H3" s="1318"/>
      <c r="I3" s="1317"/>
      <c r="J3" s="1317"/>
      <c r="K3" s="1317"/>
      <c r="L3" s="1317"/>
      <c r="M3" s="1317"/>
      <c r="N3" s="1317"/>
      <c r="O3" s="1317"/>
      <c r="P3" s="1317"/>
      <c r="Q3" s="1317"/>
      <c r="R3" s="1317"/>
      <c r="S3" s="1317"/>
      <c r="T3" s="1317"/>
      <c r="U3" s="1317"/>
      <c r="V3" s="1319"/>
    </row>
    <row r="4" spans="1:25" ht="26.25" customHeight="1" thickBot="1">
      <c r="A4" s="1320" t="s">
        <v>1243</v>
      </c>
      <c r="B4" s="1321"/>
      <c r="C4" s="1321"/>
      <c r="D4" s="1321"/>
      <c r="E4" s="1321"/>
      <c r="F4" s="1322"/>
      <c r="G4" s="1322"/>
      <c r="H4" s="1322"/>
      <c r="I4" s="1321"/>
      <c r="J4" s="1321"/>
      <c r="K4" s="1321"/>
      <c r="L4" s="1321"/>
      <c r="M4" s="1321"/>
      <c r="N4" s="1321"/>
      <c r="O4" s="1321"/>
      <c r="P4" s="1321"/>
      <c r="Q4" s="1321"/>
      <c r="R4" s="1321"/>
      <c r="S4" s="1321"/>
      <c r="T4" s="1321"/>
      <c r="U4" s="1321"/>
      <c r="V4" s="1323"/>
    </row>
    <row r="5" spans="1:25" ht="36" customHeight="1" thickTop="1" thickBot="1">
      <c r="A5" s="1324" t="s">
        <v>1295</v>
      </c>
      <c r="B5" s="1325"/>
      <c r="C5" s="1325"/>
      <c r="D5" s="1325"/>
      <c r="E5" s="1325"/>
      <c r="F5" s="1325"/>
      <c r="G5" s="1325"/>
      <c r="H5" s="1325"/>
      <c r="I5" s="1326"/>
      <c r="J5" s="1304" t="s">
        <v>1296</v>
      </c>
      <c r="K5" s="1304" t="s">
        <v>1297</v>
      </c>
      <c r="L5" s="1327" t="s">
        <v>1298</v>
      </c>
      <c r="M5" s="1327"/>
      <c r="N5" s="1304" t="s">
        <v>1299</v>
      </c>
      <c r="O5" s="1328" t="s">
        <v>1300</v>
      </c>
      <c r="P5" s="1329"/>
      <c r="Q5" s="1329"/>
      <c r="R5" s="1330"/>
      <c r="S5" s="1331" t="s">
        <v>1301</v>
      </c>
      <c r="T5" s="1304" t="s">
        <v>1302</v>
      </c>
      <c r="U5" s="1303" t="s">
        <v>1303</v>
      </c>
      <c r="V5" s="1304" t="s">
        <v>1304</v>
      </c>
      <c r="W5" s="1306" t="s">
        <v>1305</v>
      </c>
      <c r="X5" s="1307" t="s">
        <v>1306</v>
      </c>
    </row>
    <row r="6" spans="1:25" s="333" customFormat="1" ht="36" customHeight="1" thickTop="1" thickBot="1">
      <c r="A6" s="327" t="s">
        <v>1307</v>
      </c>
      <c r="B6" s="327" t="s">
        <v>1244</v>
      </c>
      <c r="C6" s="328" t="s">
        <v>1308</v>
      </c>
      <c r="D6" s="327" t="s">
        <v>1248</v>
      </c>
      <c r="E6" s="327" t="s">
        <v>1309</v>
      </c>
      <c r="F6" s="327" t="s">
        <v>1310</v>
      </c>
      <c r="G6" s="327" t="s">
        <v>1311</v>
      </c>
      <c r="H6" s="327" t="s">
        <v>1312</v>
      </c>
      <c r="I6" s="329" t="s">
        <v>1313</v>
      </c>
      <c r="J6" s="1305"/>
      <c r="K6" s="1305"/>
      <c r="L6" s="330" t="s">
        <v>1314</v>
      </c>
      <c r="M6" s="331" t="s">
        <v>1315</v>
      </c>
      <c r="N6" s="1305"/>
      <c r="O6" s="332" t="s">
        <v>1316</v>
      </c>
      <c r="P6" s="330" t="s">
        <v>1317</v>
      </c>
      <c r="Q6" s="332" t="s">
        <v>1318</v>
      </c>
      <c r="R6" s="332" t="s">
        <v>1319</v>
      </c>
      <c r="S6" s="1332"/>
      <c r="T6" s="1305"/>
      <c r="U6" s="1304"/>
      <c r="V6" s="1305"/>
      <c r="W6" s="1306"/>
      <c r="X6" s="1307"/>
    </row>
    <row r="7" spans="1:25" ht="22.5" customHeight="1" thickTop="1" thickBot="1">
      <c r="A7" s="334" t="s">
        <v>1320</v>
      </c>
      <c r="B7" s="334"/>
      <c r="C7" s="334"/>
      <c r="D7" s="334"/>
      <c r="E7" s="334"/>
      <c r="F7" s="335"/>
      <c r="G7" s="335"/>
      <c r="H7" s="335"/>
      <c r="I7" s="336"/>
      <c r="J7" s="337" t="s">
        <v>1321</v>
      </c>
      <c r="K7" s="338" t="e">
        <f>+K8+#REF!+K335</f>
        <v>#REF!</v>
      </c>
      <c r="L7" s="338"/>
      <c r="M7" s="338"/>
      <c r="N7" s="338"/>
      <c r="O7" s="338"/>
      <c r="P7" s="338"/>
      <c r="Q7" s="338"/>
      <c r="R7" s="338"/>
      <c r="S7" s="338"/>
      <c r="T7" s="338"/>
      <c r="U7" s="339"/>
      <c r="V7" s="334"/>
      <c r="W7" s="334" t="s">
        <v>1323</v>
      </c>
      <c r="X7" s="334" t="s">
        <v>1322</v>
      </c>
      <c r="Y7" s="340" t="s">
        <v>1322</v>
      </c>
    </row>
    <row r="8" spans="1:25" ht="22.5" customHeight="1" thickTop="1" thickBot="1">
      <c r="A8" s="334" t="s">
        <v>1320</v>
      </c>
      <c r="B8" s="334" t="s">
        <v>1324</v>
      </c>
      <c r="C8" s="334"/>
      <c r="D8" s="334"/>
      <c r="E8" s="334"/>
      <c r="F8" s="335"/>
      <c r="G8" s="335"/>
      <c r="H8" s="335"/>
      <c r="I8" s="336"/>
      <c r="J8" s="337" t="s">
        <v>1787</v>
      </c>
      <c r="K8" s="338"/>
      <c r="L8" s="338"/>
      <c r="M8" s="338"/>
      <c r="N8" s="338"/>
      <c r="O8" s="338"/>
      <c r="P8" s="338"/>
      <c r="Q8" s="338"/>
      <c r="R8" s="338"/>
      <c r="S8" s="338"/>
      <c r="T8" s="338"/>
      <c r="U8" s="339"/>
      <c r="V8" s="334"/>
      <c r="W8" s="334"/>
      <c r="X8" s="334"/>
      <c r="Y8" s="340"/>
    </row>
    <row r="9" spans="1:25" ht="22.5" customHeight="1" thickTop="1" thickBot="1">
      <c r="A9" s="341">
        <v>1</v>
      </c>
      <c r="B9" s="342" t="s">
        <v>1324</v>
      </c>
      <c r="C9" s="342" t="s">
        <v>1324</v>
      </c>
      <c r="D9" s="342"/>
      <c r="E9" s="342"/>
      <c r="F9" s="343"/>
      <c r="G9" s="343"/>
      <c r="H9" s="343"/>
      <c r="I9" s="343"/>
      <c r="J9" s="344" t="s">
        <v>1325</v>
      </c>
      <c r="K9" s="345"/>
      <c r="L9" s="345"/>
      <c r="M9" s="345"/>
      <c r="N9" s="345"/>
      <c r="O9" s="345"/>
      <c r="P9" s="345"/>
      <c r="Q9" s="345"/>
      <c r="R9" s="345"/>
      <c r="S9" s="345"/>
      <c r="T9" s="345"/>
      <c r="U9" s="346"/>
      <c r="V9" s="341"/>
      <c r="W9" s="341" t="s">
        <v>1326</v>
      </c>
      <c r="X9" s="341"/>
      <c r="Y9" s="340" t="s">
        <v>1322</v>
      </c>
    </row>
    <row r="10" spans="1:25" ht="22.5" customHeight="1" thickTop="1" thickBot="1">
      <c r="A10" s="347">
        <v>1</v>
      </c>
      <c r="B10" s="348" t="s">
        <v>1324</v>
      </c>
      <c r="C10" s="348" t="s">
        <v>1324</v>
      </c>
      <c r="D10" s="348" t="s">
        <v>1324</v>
      </c>
      <c r="E10" s="348"/>
      <c r="F10" s="349"/>
      <c r="G10" s="349"/>
      <c r="H10" s="349"/>
      <c r="I10" s="349"/>
      <c r="J10" s="350" t="s">
        <v>1327</v>
      </c>
      <c r="K10" s="351"/>
      <c r="L10" s="351"/>
      <c r="M10" s="351"/>
      <c r="N10" s="351"/>
      <c r="O10" s="351"/>
      <c r="P10" s="351"/>
      <c r="Q10" s="351"/>
      <c r="R10" s="351"/>
      <c r="S10" s="351"/>
      <c r="T10" s="351"/>
      <c r="U10" s="352"/>
      <c r="V10" s="347"/>
      <c r="W10" s="347" t="s">
        <v>1328</v>
      </c>
      <c r="X10" s="347" t="s">
        <v>1329</v>
      </c>
      <c r="Y10" s="340" t="s">
        <v>1322</v>
      </c>
    </row>
    <row r="11" spans="1:25" ht="22.5" customHeight="1" thickTop="1" thickBot="1">
      <c r="A11" s="353" t="s">
        <v>1320</v>
      </c>
      <c r="B11" s="354" t="s">
        <v>1324</v>
      </c>
      <c r="C11" s="354" t="s">
        <v>1324</v>
      </c>
      <c r="D11" s="354" t="s">
        <v>1324</v>
      </c>
      <c r="E11" s="354" t="s">
        <v>1324</v>
      </c>
      <c r="F11" s="355"/>
      <c r="G11" s="355"/>
      <c r="H11" s="355"/>
      <c r="I11" s="355"/>
      <c r="J11" s="356" t="s">
        <v>1330</v>
      </c>
      <c r="K11" s="357"/>
      <c r="L11" s="357"/>
      <c r="M11" s="357"/>
      <c r="N11" s="357"/>
      <c r="O11" s="357"/>
      <c r="P11" s="357"/>
      <c r="Q11" s="357"/>
      <c r="R11" s="357"/>
      <c r="S11" s="357"/>
      <c r="T11" s="357"/>
      <c r="U11" s="358"/>
      <c r="V11" s="354"/>
      <c r="W11" s="353" t="s">
        <v>1331</v>
      </c>
      <c r="X11" s="353" t="s">
        <v>1332</v>
      </c>
      <c r="Y11" s="340" t="s">
        <v>1322</v>
      </c>
    </row>
    <row r="12" spans="1:25" s="147" customFormat="1" ht="22.5" customHeight="1" thickTop="1" thickBot="1">
      <c r="A12" s="359" t="s">
        <v>1320</v>
      </c>
      <c r="B12" s="359" t="s">
        <v>1324</v>
      </c>
      <c r="C12" s="359" t="s">
        <v>1324</v>
      </c>
      <c r="D12" s="359" t="s">
        <v>1324</v>
      </c>
      <c r="E12" s="359" t="s">
        <v>1324</v>
      </c>
      <c r="F12" s="360" t="s">
        <v>1324</v>
      </c>
      <c r="G12" s="360"/>
      <c r="H12" s="360"/>
      <c r="I12" s="360"/>
      <c r="J12" s="361" t="s">
        <v>1333</v>
      </c>
      <c r="K12" s="362"/>
      <c r="L12" s="362"/>
      <c r="M12" s="362"/>
      <c r="N12" s="362"/>
      <c r="O12" s="362"/>
      <c r="P12" s="362"/>
      <c r="Q12" s="362"/>
      <c r="R12" s="362"/>
      <c r="S12" s="362"/>
      <c r="T12" s="362"/>
      <c r="U12" s="363"/>
      <c r="V12" s="364"/>
      <c r="W12" s="364" t="s">
        <v>1334</v>
      </c>
      <c r="X12" s="364" t="s">
        <v>1335</v>
      </c>
      <c r="Y12" s="340" t="s">
        <v>1322</v>
      </c>
    </row>
    <row r="13" spans="1:25" ht="22.5" customHeight="1" thickTop="1" thickBot="1">
      <c r="A13" s="360" t="s">
        <v>1320</v>
      </c>
      <c r="B13" s="360" t="s">
        <v>1324</v>
      </c>
      <c r="C13" s="360" t="s">
        <v>1324</v>
      </c>
      <c r="D13" s="360" t="s">
        <v>1324</v>
      </c>
      <c r="E13" s="360" t="s">
        <v>1324</v>
      </c>
      <c r="F13" s="360" t="s">
        <v>1324</v>
      </c>
      <c r="G13" s="360" t="s">
        <v>1324</v>
      </c>
      <c r="H13" s="360"/>
      <c r="I13" s="360"/>
      <c r="J13" s="365" t="s">
        <v>1336</v>
      </c>
      <c r="K13" s="366"/>
      <c r="L13" s="366"/>
      <c r="M13" s="366"/>
      <c r="N13" s="366"/>
      <c r="O13" s="366"/>
      <c r="P13" s="366"/>
      <c r="Q13" s="366"/>
      <c r="R13" s="366"/>
      <c r="S13" s="366"/>
      <c r="T13" s="366"/>
      <c r="U13" s="367"/>
      <c r="V13" s="368"/>
      <c r="W13" s="368"/>
      <c r="X13" s="368"/>
      <c r="Y13" s="340" t="s">
        <v>1322</v>
      </c>
    </row>
    <row r="14" spans="1:25" ht="22.5" customHeight="1" thickTop="1" thickBot="1">
      <c r="A14" s="360" t="s">
        <v>1320</v>
      </c>
      <c r="B14" s="360" t="s">
        <v>1324</v>
      </c>
      <c r="C14" s="360" t="s">
        <v>1324</v>
      </c>
      <c r="D14" s="360" t="s">
        <v>1324</v>
      </c>
      <c r="E14" s="360" t="s">
        <v>1324</v>
      </c>
      <c r="F14" s="360" t="s">
        <v>1324</v>
      </c>
      <c r="G14" s="360" t="s">
        <v>1337</v>
      </c>
      <c r="H14" s="360"/>
      <c r="I14" s="360"/>
      <c r="J14" s="365" t="s">
        <v>1338</v>
      </c>
      <c r="K14" s="366"/>
      <c r="L14" s="366"/>
      <c r="M14" s="366"/>
      <c r="N14" s="366"/>
      <c r="O14" s="366"/>
      <c r="P14" s="366"/>
      <c r="Q14" s="366"/>
      <c r="R14" s="366"/>
      <c r="S14" s="366"/>
      <c r="T14" s="366"/>
      <c r="U14" s="367"/>
      <c r="V14" s="368"/>
      <c r="W14" s="368"/>
      <c r="X14" s="368"/>
      <c r="Y14" s="340" t="s">
        <v>1322</v>
      </c>
    </row>
    <row r="15" spans="1:25" ht="22.5" customHeight="1" thickTop="1" thickBot="1">
      <c r="A15" s="360" t="s">
        <v>1320</v>
      </c>
      <c r="B15" s="360" t="s">
        <v>1324</v>
      </c>
      <c r="C15" s="360" t="s">
        <v>1324</v>
      </c>
      <c r="D15" s="360" t="s">
        <v>1324</v>
      </c>
      <c r="E15" s="360" t="s">
        <v>1324</v>
      </c>
      <c r="F15" s="360" t="s">
        <v>1324</v>
      </c>
      <c r="G15" s="360" t="s">
        <v>1361</v>
      </c>
      <c r="H15" s="360"/>
      <c r="I15" s="360"/>
      <c r="J15" s="365" t="s">
        <v>1782</v>
      </c>
      <c r="K15" s="366"/>
      <c r="L15" s="366"/>
      <c r="M15" s="366"/>
      <c r="N15" s="366"/>
      <c r="O15" s="366"/>
      <c r="P15" s="366"/>
      <c r="Q15" s="366"/>
      <c r="R15" s="366"/>
      <c r="S15" s="366"/>
      <c r="T15" s="366"/>
      <c r="U15" s="367"/>
      <c r="V15" s="368"/>
      <c r="W15" s="368"/>
      <c r="X15" s="368"/>
      <c r="Y15" s="340"/>
    </row>
    <row r="16" spans="1:25" ht="22.5" customHeight="1" thickTop="1" thickBot="1">
      <c r="A16" s="360" t="s">
        <v>1320</v>
      </c>
      <c r="B16" s="360" t="s">
        <v>1324</v>
      </c>
      <c r="C16" s="360" t="s">
        <v>1324</v>
      </c>
      <c r="D16" s="360" t="s">
        <v>1324</v>
      </c>
      <c r="E16" s="360" t="s">
        <v>1324</v>
      </c>
      <c r="F16" s="360" t="s">
        <v>1324</v>
      </c>
      <c r="G16" s="360" t="s">
        <v>1365</v>
      </c>
      <c r="H16" s="360"/>
      <c r="I16" s="360"/>
      <c r="J16" s="365" t="s">
        <v>1783</v>
      </c>
      <c r="K16" s="366"/>
      <c r="L16" s="366"/>
      <c r="M16" s="366"/>
      <c r="N16" s="366"/>
      <c r="O16" s="366"/>
      <c r="P16" s="366"/>
      <c r="Q16" s="366"/>
      <c r="R16" s="366"/>
      <c r="S16" s="366"/>
      <c r="T16" s="366"/>
      <c r="U16" s="367"/>
      <c r="V16" s="368"/>
      <c r="W16" s="368"/>
      <c r="X16" s="368"/>
      <c r="Y16" s="340"/>
    </row>
    <row r="17" spans="1:25" ht="22.5" customHeight="1" thickTop="1" thickBot="1">
      <c r="A17" s="360" t="s">
        <v>1320</v>
      </c>
      <c r="B17" s="360" t="s">
        <v>1324</v>
      </c>
      <c r="C17" s="360" t="s">
        <v>1324</v>
      </c>
      <c r="D17" s="360" t="s">
        <v>1324</v>
      </c>
      <c r="E17" s="360" t="s">
        <v>1324</v>
      </c>
      <c r="F17" s="360" t="s">
        <v>1324</v>
      </c>
      <c r="G17" s="360" t="s">
        <v>1390</v>
      </c>
      <c r="H17" s="360"/>
      <c r="I17" s="360"/>
      <c r="J17" s="365" t="s">
        <v>1784</v>
      </c>
      <c r="K17" s="366"/>
      <c r="L17" s="366"/>
      <c r="M17" s="366"/>
      <c r="N17" s="366"/>
      <c r="O17" s="366"/>
      <c r="P17" s="366"/>
      <c r="Q17" s="366"/>
      <c r="R17" s="366"/>
      <c r="S17" s="366"/>
      <c r="T17" s="366"/>
      <c r="U17" s="367"/>
      <c r="V17" s="368"/>
      <c r="W17" s="368"/>
      <c r="X17" s="368"/>
      <c r="Y17" s="340"/>
    </row>
    <row r="18" spans="1:25" ht="22.5" customHeight="1" thickTop="1" thickBot="1">
      <c r="A18" s="360" t="s">
        <v>1320</v>
      </c>
      <c r="B18" s="360" t="s">
        <v>1324</v>
      </c>
      <c r="C18" s="360" t="s">
        <v>1324</v>
      </c>
      <c r="D18" s="360" t="s">
        <v>1324</v>
      </c>
      <c r="E18" s="360" t="s">
        <v>1324</v>
      </c>
      <c r="F18" s="360" t="s">
        <v>1324</v>
      </c>
      <c r="G18" s="360" t="s">
        <v>1413</v>
      </c>
      <c r="H18" s="360"/>
      <c r="I18" s="360"/>
      <c r="J18" s="365" t="s">
        <v>1785</v>
      </c>
      <c r="K18" s="366"/>
      <c r="L18" s="366"/>
      <c r="M18" s="366"/>
      <c r="N18" s="366"/>
      <c r="O18" s="366"/>
      <c r="P18" s="366"/>
      <c r="Q18" s="366"/>
      <c r="R18" s="366"/>
      <c r="S18" s="366"/>
      <c r="T18" s="366"/>
      <c r="U18" s="367"/>
      <c r="V18" s="368"/>
      <c r="W18" s="368"/>
      <c r="X18" s="368"/>
      <c r="Y18" s="340"/>
    </row>
    <row r="19" spans="1:25" ht="22.5" customHeight="1" thickTop="1" thickBot="1">
      <c r="A19" s="360" t="s">
        <v>1320</v>
      </c>
      <c r="B19" s="360" t="s">
        <v>1324</v>
      </c>
      <c r="C19" s="360" t="s">
        <v>1324</v>
      </c>
      <c r="D19" s="360" t="s">
        <v>1324</v>
      </c>
      <c r="E19" s="360" t="s">
        <v>1324</v>
      </c>
      <c r="F19" s="360" t="s">
        <v>1324</v>
      </c>
      <c r="G19" s="360" t="s">
        <v>1417</v>
      </c>
      <c r="H19" s="360"/>
      <c r="I19" s="360"/>
      <c r="J19" s="365" t="s">
        <v>1786</v>
      </c>
      <c r="K19" s="366"/>
      <c r="L19" s="366"/>
      <c r="M19" s="366"/>
      <c r="N19" s="366"/>
      <c r="O19" s="366"/>
      <c r="P19" s="366"/>
      <c r="Q19" s="366"/>
      <c r="R19" s="366"/>
      <c r="S19" s="366"/>
      <c r="T19" s="366"/>
      <c r="U19" s="367"/>
      <c r="V19" s="368"/>
      <c r="W19" s="368"/>
      <c r="X19" s="368"/>
      <c r="Y19" s="340"/>
    </row>
    <row r="20" spans="1:25" ht="22.5" customHeight="1" thickTop="1" thickBot="1">
      <c r="A20" s="360" t="s">
        <v>1320</v>
      </c>
      <c r="B20" s="360" t="s">
        <v>1324</v>
      </c>
      <c r="C20" s="360" t="s">
        <v>1324</v>
      </c>
      <c r="D20" s="360" t="s">
        <v>1324</v>
      </c>
      <c r="E20" s="360" t="s">
        <v>1324</v>
      </c>
      <c r="F20" s="360" t="s">
        <v>1324</v>
      </c>
      <c r="G20" s="360" t="s">
        <v>1421</v>
      </c>
      <c r="H20" s="360"/>
      <c r="I20" s="360"/>
      <c r="J20" s="365" t="s">
        <v>1783</v>
      </c>
      <c r="K20" s="366"/>
      <c r="L20" s="366"/>
      <c r="M20" s="366"/>
      <c r="N20" s="366"/>
      <c r="O20" s="366"/>
      <c r="P20" s="366"/>
      <c r="Q20" s="366"/>
      <c r="R20" s="366"/>
      <c r="S20" s="366"/>
      <c r="T20" s="366"/>
      <c r="U20" s="367"/>
      <c r="V20" s="368"/>
      <c r="W20" s="368"/>
      <c r="X20" s="368"/>
      <c r="Y20" s="340"/>
    </row>
    <row r="21" spans="1:25" s="147" customFormat="1" ht="22.5" customHeight="1" thickTop="1" thickBot="1">
      <c r="A21" s="359" t="s">
        <v>1320</v>
      </c>
      <c r="B21" s="359" t="s">
        <v>1324</v>
      </c>
      <c r="C21" s="359" t="s">
        <v>1324</v>
      </c>
      <c r="D21" s="359" t="s">
        <v>1324</v>
      </c>
      <c r="E21" s="359" t="s">
        <v>1324</v>
      </c>
      <c r="F21" s="359" t="s">
        <v>1337</v>
      </c>
      <c r="G21" s="360"/>
      <c r="H21" s="360"/>
      <c r="I21" s="360"/>
      <c r="J21" s="361" t="s">
        <v>1339</v>
      </c>
      <c r="K21" s="369"/>
      <c r="L21" s="369"/>
      <c r="M21" s="369"/>
      <c r="N21" s="369"/>
      <c r="O21" s="369"/>
      <c r="P21" s="369"/>
      <c r="Q21" s="369"/>
      <c r="R21" s="369"/>
      <c r="S21" s="369"/>
      <c r="T21" s="369"/>
      <c r="U21" s="370"/>
      <c r="V21" s="364"/>
      <c r="W21" s="364" t="s">
        <v>1340</v>
      </c>
      <c r="X21" s="364" t="s">
        <v>1341</v>
      </c>
      <c r="Y21" s="340" t="s">
        <v>1322</v>
      </c>
    </row>
    <row r="22" spans="1:25" ht="22.5" customHeight="1" thickTop="1" thickBot="1">
      <c r="A22" s="360" t="s">
        <v>1320</v>
      </c>
      <c r="B22" s="360" t="s">
        <v>1324</v>
      </c>
      <c r="C22" s="360" t="s">
        <v>1324</v>
      </c>
      <c r="D22" s="360" t="s">
        <v>1324</v>
      </c>
      <c r="E22" s="360" t="s">
        <v>1337</v>
      </c>
      <c r="F22" s="359" t="s">
        <v>1337</v>
      </c>
      <c r="G22" s="360" t="s">
        <v>1324</v>
      </c>
      <c r="H22" s="360"/>
      <c r="I22" s="360"/>
      <c r="J22" s="365" t="s">
        <v>1342</v>
      </c>
      <c r="K22" s="371"/>
      <c r="L22" s="371"/>
      <c r="M22" s="371"/>
      <c r="N22" s="366"/>
      <c r="O22" s="371"/>
      <c r="P22" s="371"/>
      <c r="Q22" s="371"/>
      <c r="R22" s="371"/>
      <c r="S22" s="366"/>
      <c r="T22" s="371"/>
      <c r="U22" s="372"/>
      <c r="V22" s="368"/>
      <c r="W22" s="368"/>
      <c r="X22" s="368"/>
      <c r="Y22" s="340" t="s">
        <v>1322</v>
      </c>
    </row>
    <row r="23" spans="1:25" ht="22.5" customHeight="1" thickTop="1" thickBot="1">
      <c r="A23" s="360" t="s">
        <v>1320</v>
      </c>
      <c r="B23" s="360" t="s">
        <v>1324</v>
      </c>
      <c r="C23" s="360" t="s">
        <v>1324</v>
      </c>
      <c r="D23" s="360" t="s">
        <v>1324</v>
      </c>
      <c r="E23" s="360" t="s">
        <v>1337</v>
      </c>
      <c r="F23" s="359" t="s">
        <v>1337</v>
      </c>
      <c r="G23" s="360" t="s">
        <v>1337</v>
      </c>
      <c r="H23" s="360"/>
      <c r="I23" s="360"/>
      <c r="J23" s="365" t="s">
        <v>1343</v>
      </c>
      <c r="K23" s="371"/>
      <c r="L23" s="371"/>
      <c r="M23" s="371"/>
      <c r="N23" s="366"/>
      <c r="O23" s="371"/>
      <c r="P23" s="371"/>
      <c r="Q23" s="371"/>
      <c r="R23" s="371"/>
      <c r="S23" s="366"/>
      <c r="T23" s="371"/>
      <c r="U23" s="372"/>
      <c r="V23" s="368"/>
      <c r="W23" s="368"/>
      <c r="X23" s="368"/>
      <c r="Y23" s="340" t="s">
        <v>1322</v>
      </c>
    </row>
    <row r="24" spans="1:25" ht="22.5" customHeight="1" thickTop="1" thickBot="1">
      <c r="A24" s="360" t="s">
        <v>1320</v>
      </c>
      <c r="B24" s="360" t="s">
        <v>1324</v>
      </c>
      <c r="C24" s="360" t="s">
        <v>1324</v>
      </c>
      <c r="D24" s="360" t="s">
        <v>1324</v>
      </c>
      <c r="E24" s="360" t="s">
        <v>1337</v>
      </c>
      <c r="F24" s="359" t="s">
        <v>1337</v>
      </c>
      <c r="G24" s="360" t="s">
        <v>1361</v>
      </c>
      <c r="H24" s="360"/>
      <c r="I24" s="360"/>
      <c r="J24" s="365" t="s">
        <v>1777</v>
      </c>
      <c r="K24" s="371"/>
      <c r="L24" s="371"/>
      <c r="M24" s="371"/>
      <c r="N24" s="366"/>
      <c r="O24" s="371"/>
      <c r="P24" s="371"/>
      <c r="Q24" s="371"/>
      <c r="R24" s="371"/>
      <c r="S24" s="366"/>
      <c r="T24" s="371"/>
      <c r="U24" s="372"/>
      <c r="V24" s="368"/>
      <c r="W24" s="368"/>
      <c r="X24" s="368"/>
      <c r="Y24" s="340"/>
    </row>
    <row r="25" spans="1:25" ht="22.5" customHeight="1" thickTop="1" thickBot="1">
      <c r="A25" s="360" t="s">
        <v>1320</v>
      </c>
      <c r="B25" s="360" t="s">
        <v>1324</v>
      </c>
      <c r="C25" s="360" t="s">
        <v>1324</v>
      </c>
      <c r="D25" s="360" t="s">
        <v>1324</v>
      </c>
      <c r="E25" s="360" t="s">
        <v>1337</v>
      </c>
      <c r="F25" s="359" t="s">
        <v>1337</v>
      </c>
      <c r="G25" s="360" t="s">
        <v>1365</v>
      </c>
      <c r="H25" s="360"/>
      <c r="I25" s="360"/>
      <c r="J25" s="365" t="s">
        <v>1778</v>
      </c>
      <c r="K25" s="371"/>
      <c r="L25" s="371"/>
      <c r="M25" s="371"/>
      <c r="N25" s="366"/>
      <c r="O25" s="371"/>
      <c r="P25" s="371"/>
      <c r="Q25" s="371"/>
      <c r="R25" s="371"/>
      <c r="S25" s="366"/>
      <c r="T25" s="371"/>
      <c r="U25" s="372"/>
      <c r="V25" s="368"/>
      <c r="W25" s="368"/>
      <c r="X25" s="368"/>
      <c r="Y25" s="340"/>
    </row>
    <row r="26" spans="1:25" ht="22.5" customHeight="1" thickTop="1" thickBot="1">
      <c r="A26" s="360" t="s">
        <v>1320</v>
      </c>
      <c r="B26" s="360" t="s">
        <v>1324</v>
      </c>
      <c r="C26" s="360" t="s">
        <v>1324</v>
      </c>
      <c r="D26" s="360" t="s">
        <v>1324</v>
      </c>
      <c r="E26" s="360" t="s">
        <v>1337</v>
      </c>
      <c r="F26" s="359" t="s">
        <v>1337</v>
      </c>
      <c r="G26" s="360" t="s">
        <v>1390</v>
      </c>
      <c r="H26" s="360"/>
      <c r="I26" s="360"/>
      <c r="J26" s="365" t="s">
        <v>1779</v>
      </c>
      <c r="K26" s="371"/>
      <c r="L26" s="371"/>
      <c r="M26" s="371"/>
      <c r="N26" s="366"/>
      <c r="O26" s="371"/>
      <c r="P26" s="371"/>
      <c r="Q26" s="371"/>
      <c r="R26" s="371"/>
      <c r="S26" s="366"/>
      <c r="T26" s="371"/>
      <c r="U26" s="372"/>
      <c r="V26" s="368"/>
      <c r="W26" s="368"/>
      <c r="X26" s="368"/>
      <c r="Y26" s="340"/>
    </row>
    <row r="27" spans="1:25" ht="22.5" customHeight="1" thickTop="1" thickBot="1">
      <c r="A27" s="360" t="s">
        <v>1320</v>
      </c>
      <c r="B27" s="360" t="s">
        <v>1324</v>
      </c>
      <c r="C27" s="360" t="s">
        <v>1324</v>
      </c>
      <c r="D27" s="360" t="s">
        <v>1324</v>
      </c>
      <c r="E27" s="360" t="s">
        <v>1337</v>
      </c>
      <c r="F27" s="359" t="s">
        <v>1337</v>
      </c>
      <c r="G27" s="360" t="s">
        <v>1413</v>
      </c>
      <c r="H27" s="360"/>
      <c r="I27" s="360"/>
      <c r="J27" s="365" t="s">
        <v>1780</v>
      </c>
      <c r="K27" s="371"/>
      <c r="L27" s="371"/>
      <c r="M27" s="371"/>
      <c r="N27" s="366"/>
      <c r="O27" s="371"/>
      <c r="P27" s="371"/>
      <c r="Q27" s="371"/>
      <c r="R27" s="371"/>
      <c r="S27" s="366"/>
      <c r="T27" s="371"/>
      <c r="U27" s="372"/>
      <c r="V27" s="368"/>
      <c r="W27" s="368"/>
      <c r="X27" s="368"/>
      <c r="Y27" s="340"/>
    </row>
    <row r="28" spans="1:25" ht="22.5" customHeight="1" thickTop="1" thickBot="1">
      <c r="A28" s="360" t="s">
        <v>1320</v>
      </c>
      <c r="B28" s="360" t="s">
        <v>1324</v>
      </c>
      <c r="C28" s="360" t="s">
        <v>1324</v>
      </c>
      <c r="D28" s="360" t="s">
        <v>1324</v>
      </c>
      <c r="E28" s="360" t="s">
        <v>1337</v>
      </c>
      <c r="F28" s="359" t="s">
        <v>1337</v>
      </c>
      <c r="G28" s="360" t="s">
        <v>1417</v>
      </c>
      <c r="H28" s="360"/>
      <c r="I28" s="360"/>
      <c r="J28" s="365" t="s">
        <v>1781</v>
      </c>
      <c r="K28" s="371"/>
      <c r="L28" s="371"/>
      <c r="M28" s="371"/>
      <c r="N28" s="366"/>
      <c r="O28" s="371"/>
      <c r="P28" s="371"/>
      <c r="Q28" s="371"/>
      <c r="R28" s="371"/>
      <c r="S28" s="366"/>
      <c r="T28" s="371"/>
      <c r="U28" s="372"/>
      <c r="V28" s="368"/>
      <c r="W28" s="368"/>
      <c r="X28" s="368"/>
      <c r="Y28" s="340"/>
    </row>
    <row r="29" spans="1:25" ht="22.5" customHeight="1" thickTop="1" thickBot="1">
      <c r="A29" s="360" t="s">
        <v>1320</v>
      </c>
      <c r="B29" s="360" t="s">
        <v>1324</v>
      </c>
      <c r="C29" s="360" t="s">
        <v>1324</v>
      </c>
      <c r="D29" s="360" t="s">
        <v>1324</v>
      </c>
      <c r="E29" s="360" t="s">
        <v>1337</v>
      </c>
      <c r="F29" s="359" t="s">
        <v>1337</v>
      </c>
      <c r="G29" s="360" t="s">
        <v>1421</v>
      </c>
      <c r="H29" s="360"/>
      <c r="I29" s="360"/>
      <c r="J29" s="365" t="s">
        <v>1778</v>
      </c>
      <c r="K29" s="371"/>
      <c r="L29" s="371"/>
      <c r="M29" s="371"/>
      <c r="N29" s="366"/>
      <c r="O29" s="371"/>
      <c r="P29" s="371"/>
      <c r="Q29" s="371"/>
      <c r="R29" s="371"/>
      <c r="S29" s="366"/>
      <c r="T29" s="371"/>
      <c r="U29" s="372"/>
      <c r="V29" s="368"/>
      <c r="W29" s="368"/>
      <c r="X29" s="368"/>
      <c r="Y29" s="340"/>
    </row>
    <row r="30" spans="1:25" ht="22.5" customHeight="1" thickTop="1" thickBot="1">
      <c r="A30" s="368" t="s">
        <v>1320</v>
      </c>
      <c r="B30" s="368" t="s">
        <v>1324</v>
      </c>
      <c r="C30" s="360" t="s">
        <v>1324</v>
      </c>
      <c r="D30" s="360" t="s">
        <v>1324</v>
      </c>
      <c r="E30" s="368" t="s">
        <v>1324</v>
      </c>
      <c r="F30" s="368" t="s">
        <v>1324</v>
      </c>
      <c r="G30" s="359" t="s">
        <v>1324</v>
      </c>
      <c r="H30" s="360"/>
      <c r="I30" s="360"/>
      <c r="J30" s="361" t="s">
        <v>1469</v>
      </c>
      <c r="K30" s="377"/>
      <c r="L30" s="377"/>
      <c r="M30" s="377"/>
      <c r="N30" s="377"/>
      <c r="O30" s="377"/>
      <c r="P30" s="377"/>
      <c r="Q30" s="377"/>
      <c r="R30" s="377"/>
      <c r="S30" s="377"/>
      <c r="T30" s="377"/>
      <c r="U30" s="363"/>
      <c r="V30" s="359"/>
      <c r="W30" s="368" t="s">
        <v>1470</v>
      </c>
      <c r="X30" s="368" t="s">
        <v>1471</v>
      </c>
      <c r="Y30" s="340" t="s">
        <v>1322</v>
      </c>
    </row>
    <row r="31" spans="1:25" ht="22.5" customHeight="1" thickTop="1" thickBot="1">
      <c r="A31" s="368" t="s">
        <v>1320</v>
      </c>
      <c r="B31" s="368" t="s">
        <v>1324</v>
      </c>
      <c r="C31" s="360" t="s">
        <v>1324</v>
      </c>
      <c r="D31" s="360" t="s">
        <v>1324</v>
      </c>
      <c r="E31" s="368" t="s">
        <v>1324</v>
      </c>
      <c r="F31" s="368" t="s">
        <v>1324</v>
      </c>
      <c r="G31" s="360" t="s">
        <v>1324</v>
      </c>
      <c r="H31" s="360" t="s">
        <v>1324</v>
      </c>
      <c r="I31" s="360"/>
      <c r="J31" s="365" t="s">
        <v>1472</v>
      </c>
      <c r="K31" s="378"/>
      <c r="L31" s="378"/>
      <c r="M31" s="378"/>
      <c r="N31" s="378"/>
      <c r="O31" s="378"/>
      <c r="P31" s="378"/>
      <c r="Q31" s="378"/>
      <c r="R31" s="378"/>
      <c r="S31" s="378"/>
      <c r="T31" s="378"/>
      <c r="U31" s="367"/>
      <c r="V31" s="359"/>
      <c r="W31" s="368"/>
      <c r="X31" s="368"/>
      <c r="Y31" s="340" t="s">
        <v>1322</v>
      </c>
    </row>
    <row r="32" spans="1:25" ht="22.5" customHeight="1" thickTop="1" thickBot="1">
      <c r="A32" s="368" t="s">
        <v>1320</v>
      </c>
      <c r="B32" s="368" t="s">
        <v>1324</v>
      </c>
      <c r="C32" s="360" t="s">
        <v>1324</v>
      </c>
      <c r="D32" s="360" t="s">
        <v>1324</v>
      </c>
      <c r="E32" s="368" t="s">
        <v>1324</v>
      </c>
      <c r="F32" s="368" t="s">
        <v>1324</v>
      </c>
      <c r="G32" s="360" t="s">
        <v>1324</v>
      </c>
      <c r="H32" s="360" t="s">
        <v>1337</v>
      </c>
      <c r="I32" s="360"/>
      <c r="J32" s="365" t="s">
        <v>1473</v>
      </c>
      <c r="K32" s="378"/>
      <c r="L32" s="378"/>
      <c r="M32" s="378"/>
      <c r="N32" s="378"/>
      <c r="O32" s="378"/>
      <c r="P32" s="378"/>
      <c r="Q32" s="378"/>
      <c r="R32" s="378"/>
      <c r="S32" s="378"/>
      <c r="T32" s="378"/>
      <c r="U32" s="367"/>
      <c r="V32" s="359"/>
      <c r="W32" s="368"/>
      <c r="X32" s="368"/>
      <c r="Y32" s="340" t="s">
        <v>1322</v>
      </c>
    </row>
    <row r="33" spans="1:25" ht="22.5" customHeight="1" thickTop="1" thickBot="1">
      <c r="A33" s="368" t="s">
        <v>1320</v>
      </c>
      <c r="B33" s="368" t="s">
        <v>1324</v>
      </c>
      <c r="C33" s="360" t="s">
        <v>1324</v>
      </c>
      <c r="D33" s="360" t="s">
        <v>1324</v>
      </c>
      <c r="E33" s="368" t="s">
        <v>1324</v>
      </c>
      <c r="F33" s="368" t="s">
        <v>1324</v>
      </c>
      <c r="G33" s="360" t="s">
        <v>1324</v>
      </c>
      <c r="H33" s="360" t="s">
        <v>1361</v>
      </c>
      <c r="I33" s="360"/>
      <c r="J33" s="365" t="s">
        <v>1757</v>
      </c>
      <c r="K33" s="378"/>
      <c r="L33" s="378"/>
      <c r="M33" s="378"/>
      <c r="N33" s="378"/>
      <c r="O33" s="378"/>
      <c r="P33" s="378"/>
      <c r="Q33" s="378"/>
      <c r="R33" s="378"/>
      <c r="S33" s="378"/>
      <c r="T33" s="378"/>
      <c r="U33" s="367"/>
      <c r="V33" s="359"/>
      <c r="W33" s="368"/>
      <c r="X33" s="368"/>
      <c r="Y33" s="340"/>
    </row>
    <row r="34" spans="1:25" ht="22.5" customHeight="1" thickTop="1" thickBot="1">
      <c r="A34" s="368" t="s">
        <v>1320</v>
      </c>
      <c r="B34" s="368" t="s">
        <v>1324</v>
      </c>
      <c r="C34" s="360" t="s">
        <v>1324</v>
      </c>
      <c r="D34" s="360" t="s">
        <v>1324</v>
      </c>
      <c r="E34" s="368" t="s">
        <v>1324</v>
      </c>
      <c r="F34" s="368" t="s">
        <v>1324</v>
      </c>
      <c r="G34" s="360" t="s">
        <v>1324</v>
      </c>
      <c r="H34" s="360" t="s">
        <v>1365</v>
      </c>
      <c r="I34" s="360"/>
      <c r="J34" s="365" t="s">
        <v>1758</v>
      </c>
      <c r="K34" s="378"/>
      <c r="L34" s="378"/>
      <c r="M34" s="378"/>
      <c r="N34" s="378"/>
      <c r="O34" s="378"/>
      <c r="P34" s="378"/>
      <c r="Q34" s="378"/>
      <c r="R34" s="378"/>
      <c r="S34" s="378"/>
      <c r="T34" s="378"/>
      <c r="U34" s="367"/>
      <c r="V34" s="359"/>
      <c r="W34" s="368"/>
      <c r="X34" s="368"/>
      <c r="Y34" s="340"/>
    </row>
    <row r="35" spans="1:25" ht="22.5" customHeight="1" thickTop="1" thickBot="1">
      <c r="A35" s="368" t="s">
        <v>1320</v>
      </c>
      <c r="B35" s="368" t="s">
        <v>1324</v>
      </c>
      <c r="C35" s="360" t="s">
        <v>1324</v>
      </c>
      <c r="D35" s="360" t="s">
        <v>1324</v>
      </c>
      <c r="E35" s="368" t="s">
        <v>1324</v>
      </c>
      <c r="F35" s="368" t="s">
        <v>1324</v>
      </c>
      <c r="G35" s="360" t="s">
        <v>1324</v>
      </c>
      <c r="H35" s="360" t="s">
        <v>1390</v>
      </c>
      <c r="I35" s="360"/>
      <c r="J35" s="365" t="s">
        <v>1759</v>
      </c>
      <c r="K35" s="378"/>
      <c r="L35" s="378"/>
      <c r="M35" s="378"/>
      <c r="N35" s="378"/>
      <c r="O35" s="378"/>
      <c r="P35" s="378"/>
      <c r="Q35" s="378"/>
      <c r="R35" s="378"/>
      <c r="S35" s="378"/>
      <c r="T35" s="378"/>
      <c r="U35" s="367"/>
      <c r="V35" s="359"/>
      <c r="W35" s="368"/>
      <c r="X35" s="368"/>
      <c r="Y35" s="340"/>
    </row>
    <row r="36" spans="1:25" ht="22.5" customHeight="1" thickTop="1" thickBot="1">
      <c r="A36" s="368" t="s">
        <v>1320</v>
      </c>
      <c r="B36" s="368" t="s">
        <v>1324</v>
      </c>
      <c r="C36" s="360" t="s">
        <v>1324</v>
      </c>
      <c r="D36" s="360" t="s">
        <v>1324</v>
      </c>
      <c r="E36" s="368" t="s">
        <v>1324</v>
      </c>
      <c r="F36" s="368" t="s">
        <v>1324</v>
      </c>
      <c r="G36" s="360" t="s">
        <v>1324</v>
      </c>
      <c r="H36" s="360" t="s">
        <v>1413</v>
      </c>
      <c r="I36" s="360"/>
      <c r="J36" s="365" t="s">
        <v>1760</v>
      </c>
      <c r="K36" s="378"/>
      <c r="L36" s="378"/>
      <c r="M36" s="378"/>
      <c r="N36" s="378"/>
      <c r="O36" s="378"/>
      <c r="P36" s="378"/>
      <c r="Q36" s="378"/>
      <c r="R36" s="378"/>
      <c r="S36" s="378"/>
      <c r="T36" s="378"/>
      <c r="U36" s="367"/>
      <c r="V36" s="359"/>
      <c r="W36" s="368"/>
      <c r="X36" s="368"/>
      <c r="Y36" s="340"/>
    </row>
    <row r="37" spans="1:25" ht="22.5" customHeight="1" thickTop="1" thickBot="1">
      <c r="A37" s="368" t="s">
        <v>1320</v>
      </c>
      <c r="B37" s="368" t="s">
        <v>1324</v>
      </c>
      <c r="C37" s="360" t="s">
        <v>1324</v>
      </c>
      <c r="D37" s="360" t="s">
        <v>1324</v>
      </c>
      <c r="E37" s="368" t="s">
        <v>1324</v>
      </c>
      <c r="F37" s="368" t="s">
        <v>1324</v>
      </c>
      <c r="G37" s="360" t="s">
        <v>1324</v>
      </c>
      <c r="H37" s="360" t="s">
        <v>1417</v>
      </c>
      <c r="I37" s="360"/>
      <c r="J37" s="365" t="s">
        <v>1761</v>
      </c>
      <c r="K37" s="378"/>
      <c r="L37" s="378"/>
      <c r="M37" s="378"/>
      <c r="N37" s="378"/>
      <c r="O37" s="378"/>
      <c r="P37" s="378"/>
      <c r="Q37" s="378"/>
      <c r="R37" s="378"/>
      <c r="S37" s="378"/>
      <c r="T37" s="378"/>
      <c r="U37" s="367"/>
      <c r="V37" s="359"/>
      <c r="W37" s="368"/>
      <c r="X37" s="368"/>
      <c r="Y37" s="340"/>
    </row>
    <row r="38" spans="1:25" ht="22.5" customHeight="1" thickTop="1" thickBot="1">
      <c r="A38" s="368" t="s">
        <v>1320</v>
      </c>
      <c r="B38" s="368" t="s">
        <v>1324</v>
      </c>
      <c r="C38" s="360" t="s">
        <v>1324</v>
      </c>
      <c r="D38" s="360" t="s">
        <v>1324</v>
      </c>
      <c r="E38" s="368" t="s">
        <v>1324</v>
      </c>
      <c r="F38" s="368" t="s">
        <v>1324</v>
      </c>
      <c r="G38" s="360" t="s">
        <v>1324</v>
      </c>
      <c r="H38" s="360" t="s">
        <v>1421</v>
      </c>
      <c r="I38" s="360"/>
      <c r="J38" s="365" t="s">
        <v>1758</v>
      </c>
      <c r="K38" s="378"/>
      <c r="L38" s="378"/>
      <c r="M38" s="378"/>
      <c r="N38" s="378"/>
      <c r="O38" s="378"/>
      <c r="P38" s="378"/>
      <c r="Q38" s="378"/>
      <c r="R38" s="378"/>
      <c r="S38" s="378"/>
      <c r="T38" s="378"/>
      <c r="U38" s="367"/>
      <c r="V38" s="359"/>
      <c r="W38" s="368"/>
      <c r="X38" s="368"/>
      <c r="Y38" s="340"/>
    </row>
    <row r="39" spans="1:25" ht="22.5" customHeight="1" thickTop="1" thickBot="1">
      <c r="A39" s="368" t="s">
        <v>1320</v>
      </c>
      <c r="B39" s="368" t="s">
        <v>1324</v>
      </c>
      <c r="C39" s="360" t="s">
        <v>1324</v>
      </c>
      <c r="D39" s="360" t="s">
        <v>1324</v>
      </c>
      <c r="E39" s="368" t="s">
        <v>1324</v>
      </c>
      <c r="F39" s="368" t="s">
        <v>1324</v>
      </c>
      <c r="G39" s="359" t="s">
        <v>1337</v>
      </c>
      <c r="H39" s="360"/>
      <c r="I39" s="360"/>
      <c r="J39" s="361" t="s">
        <v>1474</v>
      </c>
      <c r="K39" s="377"/>
      <c r="L39" s="377"/>
      <c r="M39" s="377"/>
      <c r="N39" s="377"/>
      <c r="O39" s="377"/>
      <c r="P39" s="377"/>
      <c r="Q39" s="377"/>
      <c r="R39" s="377"/>
      <c r="S39" s="377"/>
      <c r="T39" s="377"/>
      <c r="U39" s="363"/>
      <c r="V39" s="359"/>
      <c r="W39" s="368"/>
      <c r="X39" s="368"/>
      <c r="Y39" s="340"/>
    </row>
    <row r="40" spans="1:25" ht="22.5" customHeight="1" thickTop="1" thickBot="1">
      <c r="A40" s="368" t="s">
        <v>1320</v>
      </c>
      <c r="B40" s="368" t="s">
        <v>1324</v>
      </c>
      <c r="C40" s="360" t="s">
        <v>1324</v>
      </c>
      <c r="D40" s="360" t="s">
        <v>1324</v>
      </c>
      <c r="E40" s="368" t="s">
        <v>1324</v>
      </c>
      <c r="F40" s="368" t="s">
        <v>1324</v>
      </c>
      <c r="G40" s="360" t="s">
        <v>1337</v>
      </c>
      <c r="H40" s="360" t="s">
        <v>1324</v>
      </c>
      <c r="I40" s="360"/>
      <c r="J40" s="365" t="s">
        <v>1475</v>
      </c>
      <c r="K40" s="378"/>
      <c r="L40" s="378"/>
      <c r="M40" s="378"/>
      <c r="N40" s="378"/>
      <c r="O40" s="378"/>
      <c r="P40" s="378"/>
      <c r="Q40" s="378"/>
      <c r="R40" s="378"/>
      <c r="S40" s="378"/>
      <c r="T40" s="378"/>
      <c r="U40" s="367"/>
      <c r="V40" s="359"/>
      <c r="W40" s="368"/>
      <c r="X40" s="368"/>
      <c r="Y40" s="340"/>
    </row>
    <row r="41" spans="1:25" ht="22.5" customHeight="1" thickTop="1" thickBot="1">
      <c r="A41" s="368" t="s">
        <v>1320</v>
      </c>
      <c r="B41" s="368" t="s">
        <v>1324</v>
      </c>
      <c r="C41" s="360" t="s">
        <v>1324</v>
      </c>
      <c r="D41" s="360" t="s">
        <v>1324</v>
      </c>
      <c r="E41" s="368" t="s">
        <v>1324</v>
      </c>
      <c r="F41" s="368" t="s">
        <v>1324</v>
      </c>
      <c r="G41" s="360" t="s">
        <v>1337</v>
      </c>
      <c r="H41" s="360" t="s">
        <v>1337</v>
      </c>
      <c r="I41" s="360"/>
      <c r="J41" s="365" t="s">
        <v>1476</v>
      </c>
      <c r="K41" s="378"/>
      <c r="L41" s="378"/>
      <c r="M41" s="378"/>
      <c r="N41" s="378"/>
      <c r="O41" s="378"/>
      <c r="P41" s="378"/>
      <c r="Q41" s="378"/>
      <c r="R41" s="378"/>
      <c r="S41" s="378"/>
      <c r="T41" s="378"/>
      <c r="U41" s="367"/>
      <c r="V41" s="359"/>
      <c r="W41" s="368"/>
      <c r="X41" s="368"/>
      <c r="Y41" s="340"/>
    </row>
    <row r="42" spans="1:25" ht="22.5" customHeight="1" thickTop="1" thickBot="1">
      <c r="A42" s="368" t="s">
        <v>1320</v>
      </c>
      <c r="B42" s="368" t="s">
        <v>1324</v>
      </c>
      <c r="C42" s="360" t="s">
        <v>1324</v>
      </c>
      <c r="D42" s="360" t="s">
        <v>1324</v>
      </c>
      <c r="E42" s="368" t="s">
        <v>1324</v>
      </c>
      <c r="F42" s="368" t="s">
        <v>1324</v>
      </c>
      <c r="G42" s="360" t="s">
        <v>1337</v>
      </c>
      <c r="H42" s="360" t="s">
        <v>1361</v>
      </c>
      <c r="I42" s="360"/>
      <c r="J42" s="365" t="s">
        <v>1762</v>
      </c>
      <c r="K42" s="378"/>
      <c r="L42" s="378"/>
      <c r="M42" s="378"/>
      <c r="N42" s="378"/>
      <c r="O42" s="378"/>
      <c r="P42" s="378"/>
      <c r="Q42" s="378"/>
      <c r="R42" s="378"/>
      <c r="S42" s="378"/>
      <c r="T42" s="378"/>
      <c r="U42" s="367"/>
      <c r="V42" s="359"/>
      <c r="W42" s="368"/>
      <c r="X42" s="368"/>
      <c r="Y42" s="340"/>
    </row>
    <row r="43" spans="1:25" ht="22.5" customHeight="1" thickTop="1" thickBot="1">
      <c r="A43" s="368" t="s">
        <v>1320</v>
      </c>
      <c r="B43" s="368" t="s">
        <v>1324</v>
      </c>
      <c r="C43" s="360" t="s">
        <v>1324</v>
      </c>
      <c r="D43" s="360" t="s">
        <v>1324</v>
      </c>
      <c r="E43" s="368" t="s">
        <v>1324</v>
      </c>
      <c r="F43" s="368" t="s">
        <v>1324</v>
      </c>
      <c r="G43" s="360" t="s">
        <v>1337</v>
      </c>
      <c r="H43" s="360" t="s">
        <v>1365</v>
      </c>
      <c r="I43" s="360"/>
      <c r="J43" s="365" t="s">
        <v>1763</v>
      </c>
      <c r="K43" s="378"/>
      <c r="L43" s="378"/>
      <c r="M43" s="378"/>
      <c r="N43" s="378"/>
      <c r="O43" s="378"/>
      <c r="P43" s="378"/>
      <c r="Q43" s="378"/>
      <c r="R43" s="378"/>
      <c r="S43" s="378"/>
      <c r="T43" s="378"/>
      <c r="U43" s="367"/>
      <c r="V43" s="359"/>
      <c r="W43" s="368"/>
      <c r="X43" s="368"/>
      <c r="Y43" s="340"/>
    </row>
    <row r="44" spans="1:25" ht="22.5" customHeight="1" thickTop="1" thickBot="1">
      <c r="A44" s="368" t="s">
        <v>1320</v>
      </c>
      <c r="B44" s="368" t="s">
        <v>1324</v>
      </c>
      <c r="C44" s="360" t="s">
        <v>1324</v>
      </c>
      <c r="D44" s="360" t="s">
        <v>1324</v>
      </c>
      <c r="E44" s="368" t="s">
        <v>1324</v>
      </c>
      <c r="F44" s="368" t="s">
        <v>1324</v>
      </c>
      <c r="G44" s="360" t="s">
        <v>1337</v>
      </c>
      <c r="H44" s="360" t="s">
        <v>1390</v>
      </c>
      <c r="I44" s="360"/>
      <c r="J44" s="365" t="s">
        <v>1764</v>
      </c>
      <c r="K44" s="378"/>
      <c r="L44" s="378"/>
      <c r="M44" s="378"/>
      <c r="N44" s="378"/>
      <c r="O44" s="378"/>
      <c r="P44" s="378"/>
      <c r="Q44" s="378"/>
      <c r="R44" s="378"/>
      <c r="S44" s="378"/>
      <c r="T44" s="378"/>
      <c r="U44" s="367"/>
      <c r="V44" s="359"/>
      <c r="W44" s="368"/>
      <c r="X44" s="368"/>
      <c r="Y44" s="340"/>
    </row>
    <row r="45" spans="1:25" ht="22.5" customHeight="1" thickTop="1" thickBot="1">
      <c r="A45" s="368" t="s">
        <v>1320</v>
      </c>
      <c r="B45" s="368" t="s">
        <v>1324</v>
      </c>
      <c r="C45" s="360" t="s">
        <v>1324</v>
      </c>
      <c r="D45" s="360" t="s">
        <v>1324</v>
      </c>
      <c r="E45" s="368" t="s">
        <v>1324</v>
      </c>
      <c r="F45" s="368" t="s">
        <v>1324</v>
      </c>
      <c r="G45" s="360" t="s">
        <v>1337</v>
      </c>
      <c r="H45" s="360" t="s">
        <v>1413</v>
      </c>
      <c r="I45" s="360"/>
      <c r="J45" s="365" t="s">
        <v>1765</v>
      </c>
      <c r="K45" s="378"/>
      <c r="L45" s="378"/>
      <c r="M45" s="378"/>
      <c r="N45" s="378"/>
      <c r="O45" s="378"/>
      <c r="P45" s="378"/>
      <c r="Q45" s="378"/>
      <c r="R45" s="378"/>
      <c r="S45" s="378"/>
      <c r="T45" s="378"/>
      <c r="U45" s="367"/>
      <c r="V45" s="359"/>
      <c r="W45" s="368"/>
      <c r="X45" s="368"/>
      <c r="Y45" s="340"/>
    </row>
    <row r="46" spans="1:25" ht="22.5" customHeight="1" thickTop="1" thickBot="1">
      <c r="A46" s="368" t="s">
        <v>1320</v>
      </c>
      <c r="B46" s="368" t="s">
        <v>1324</v>
      </c>
      <c r="C46" s="360" t="s">
        <v>1324</v>
      </c>
      <c r="D46" s="360" t="s">
        <v>1324</v>
      </c>
      <c r="E46" s="368" t="s">
        <v>1324</v>
      </c>
      <c r="F46" s="368" t="s">
        <v>1324</v>
      </c>
      <c r="G46" s="360" t="s">
        <v>1337</v>
      </c>
      <c r="H46" s="360" t="s">
        <v>1417</v>
      </c>
      <c r="I46" s="360"/>
      <c r="J46" s="365" t="s">
        <v>1766</v>
      </c>
      <c r="K46" s="378"/>
      <c r="L46" s="378"/>
      <c r="M46" s="378"/>
      <c r="N46" s="378"/>
      <c r="O46" s="378"/>
      <c r="P46" s="378"/>
      <c r="Q46" s="378"/>
      <c r="R46" s="378"/>
      <c r="S46" s="378"/>
      <c r="T46" s="378"/>
      <c r="U46" s="367"/>
      <c r="V46" s="359"/>
      <c r="W46" s="368"/>
      <c r="X46" s="368"/>
      <c r="Y46" s="340"/>
    </row>
    <row r="47" spans="1:25" ht="22.5" customHeight="1" thickTop="1" thickBot="1">
      <c r="A47" s="368" t="s">
        <v>1320</v>
      </c>
      <c r="B47" s="368" t="s">
        <v>1324</v>
      </c>
      <c r="C47" s="360" t="s">
        <v>1324</v>
      </c>
      <c r="D47" s="360" t="s">
        <v>1324</v>
      </c>
      <c r="E47" s="368" t="s">
        <v>1324</v>
      </c>
      <c r="F47" s="368" t="s">
        <v>1324</v>
      </c>
      <c r="G47" s="360" t="s">
        <v>1337</v>
      </c>
      <c r="H47" s="360" t="s">
        <v>1421</v>
      </c>
      <c r="I47" s="360"/>
      <c r="J47" s="365" t="s">
        <v>1763</v>
      </c>
      <c r="K47" s="378"/>
      <c r="L47" s="378"/>
      <c r="M47" s="378"/>
      <c r="N47" s="378"/>
      <c r="O47" s="378"/>
      <c r="P47" s="378"/>
      <c r="Q47" s="378"/>
      <c r="R47" s="378"/>
      <c r="S47" s="378"/>
      <c r="T47" s="378"/>
      <c r="U47" s="367"/>
      <c r="V47" s="359"/>
      <c r="W47" s="368"/>
      <c r="X47" s="368"/>
      <c r="Y47" s="340"/>
    </row>
    <row r="48" spans="1:25" ht="22.5" customHeight="1" thickTop="1" thickBot="1">
      <c r="A48" s="368" t="s">
        <v>1320</v>
      </c>
      <c r="B48" s="368" t="s">
        <v>1324</v>
      </c>
      <c r="C48" s="360" t="s">
        <v>1324</v>
      </c>
      <c r="D48" s="360" t="s">
        <v>1324</v>
      </c>
      <c r="E48" s="368" t="s">
        <v>1324</v>
      </c>
      <c r="F48" s="368" t="s">
        <v>1324</v>
      </c>
      <c r="G48" s="359" t="s">
        <v>1361</v>
      </c>
      <c r="H48" s="360"/>
      <c r="I48" s="360"/>
      <c r="J48" s="361" t="s">
        <v>1477</v>
      </c>
      <c r="K48" s="377"/>
      <c r="L48" s="377"/>
      <c r="M48" s="377"/>
      <c r="N48" s="377"/>
      <c r="O48" s="377"/>
      <c r="P48" s="377"/>
      <c r="Q48" s="377"/>
      <c r="R48" s="377"/>
      <c r="S48" s="377"/>
      <c r="T48" s="377"/>
      <c r="U48" s="363"/>
      <c r="V48" s="359"/>
      <c r="W48" s="368" t="s">
        <v>1340</v>
      </c>
      <c r="X48" s="368" t="s">
        <v>1341</v>
      </c>
      <c r="Y48" s="340" t="s">
        <v>1322</v>
      </c>
    </row>
    <row r="49" spans="1:25" ht="22.5" customHeight="1" thickTop="1" thickBot="1">
      <c r="A49" s="368" t="s">
        <v>1320</v>
      </c>
      <c r="B49" s="368" t="s">
        <v>1324</v>
      </c>
      <c r="C49" s="360" t="s">
        <v>1324</v>
      </c>
      <c r="D49" s="360" t="s">
        <v>1324</v>
      </c>
      <c r="E49" s="368" t="s">
        <v>1324</v>
      </c>
      <c r="F49" s="368" t="s">
        <v>1324</v>
      </c>
      <c r="G49" s="360" t="s">
        <v>1361</v>
      </c>
      <c r="H49" s="360" t="s">
        <v>1324</v>
      </c>
      <c r="I49" s="360"/>
      <c r="J49" s="365" t="s">
        <v>1478</v>
      </c>
      <c r="K49" s="378"/>
      <c r="L49" s="378"/>
      <c r="M49" s="378"/>
      <c r="N49" s="378"/>
      <c r="O49" s="378"/>
      <c r="P49" s="378"/>
      <c r="Q49" s="378"/>
      <c r="R49" s="378"/>
      <c r="S49" s="378"/>
      <c r="T49" s="378"/>
      <c r="U49" s="367"/>
      <c r="V49" s="359"/>
      <c r="W49" s="368"/>
      <c r="X49" s="368"/>
      <c r="Y49" s="340" t="s">
        <v>1322</v>
      </c>
    </row>
    <row r="50" spans="1:25" ht="22.5" customHeight="1" thickTop="1" thickBot="1">
      <c r="A50" s="368" t="s">
        <v>1320</v>
      </c>
      <c r="B50" s="368" t="s">
        <v>1324</v>
      </c>
      <c r="C50" s="360" t="s">
        <v>1324</v>
      </c>
      <c r="D50" s="360" t="s">
        <v>1324</v>
      </c>
      <c r="E50" s="368" t="s">
        <v>1324</v>
      </c>
      <c r="F50" s="368" t="s">
        <v>1324</v>
      </c>
      <c r="G50" s="360" t="s">
        <v>1361</v>
      </c>
      <c r="H50" s="360" t="s">
        <v>1337</v>
      </c>
      <c r="I50" s="360"/>
      <c r="J50" s="365" t="s">
        <v>1479</v>
      </c>
      <c r="K50" s="378"/>
      <c r="L50" s="378"/>
      <c r="M50" s="378"/>
      <c r="N50" s="378"/>
      <c r="O50" s="378"/>
      <c r="P50" s="378"/>
      <c r="Q50" s="378"/>
      <c r="R50" s="378"/>
      <c r="S50" s="378"/>
      <c r="T50" s="378"/>
      <c r="U50" s="367"/>
      <c r="V50" s="359"/>
      <c r="W50" s="368"/>
      <c r="X50" s="368"/>
      <c r="Y50" s="340" t="s">
        <v>1322</v>
      </c>
    </row>
    <row r="51" spans="1:25" ht="22.5" customHeight="1" thickTop="1" thickBot="1">
      <c r="A51" s="368" t="s">
        <v>1320</v>
      </c>
      <c r="B51" s="368" t="s">
        <v>1324</v>
      </c>
      <c r="C51" s="360" t="s">
        <v>1324</v>
      </c>
      <c r="D51" s="360" t="s">
        <v>1324</v>
      </c>
      <c r="E51" s="368" t="s">
        <v>1324</v>
      </c>
      <c r="F51" s="368" t="s">
        <v>1324</v>
      </c>
      <c r="G51" s="360" t="s">
        <v>1361</v>
      </c>
      <c r="H51" s="360" t="s">
        <v>1361</v>
      </c>
      <c r="I51" s="360"/>
      <c r="J51" s="365" t="s">
        <v>1767</v>
      </c>
      <c r="K51" s="378"/>
      <c r="L51" s="378"/>
      <c r="M51" s="378"/>
      <c r="N51" s="378"/>
      <c r="O51" s="378"/>
      <c r="P51" s="378"/>
      <c r="Q51" s="378"/>
      <c r="R51" s="378"/>
      <c r="S51" s="378"/>
      <c r="T51" s="378"/>
      <c r="U51" s="367"/>
      <c r="V51" s="359"/>
      <c r="W51" s="368"/>
      <c r="X51" s="368"/>
      <c r="Y51" s="340"/>
    </row>
    <row r="52" spans="1:25" ht="22.5" customHeight="1" thickTop="1" thickBot="1">
      <c r="A52" s="368" t="s">
        <v>1320</v>
      </c>
      <c r="B52" s="368" t="s">
        <v>1324</v>
      </c>
      <c r="C52" s="360" t="s">
        <v>1324</v>
      </c>
      <c r="D52" s="360" t="s">
        <v>1324</v>
      </c>
      <c r="E52" s="368" t="s">
        <v>1324</v>
      </c>
      <c r="F52" s="368" t="s">
        <v>1324</v>
      </c>
      <c r="G52" s="360" t="s">
        <v>1361</v>
      </c>
      <c r="H52" s="360" t="s">
        <v>1365</v>
      </c>
      <c r="I52" s="360"/>
      <c r="J52" s="365" t="s">
        <v>1768</v>
      </c>
      <c r="K52" s="378"/>
      <c r="L52" s="378"/>
      <c r="M52" s="378"/>
      <c r="N52" s="378"/>
      <c r="O52" s="378"/>
      <c r="P52" s="378"/>
      <c r="Q52" s="378"/>
      <c r="R52" s="378"/>
      <c r="S52" s="378"/>
      <c r="T52" s="378"/>
      <c r="U52" s="367"/>
      <c r="V52" s="359"/>
      <c r="W52" s="368"/>
      <c r="X52" s="368"/>
      <c r="Y52" s="340"/>
    </row>
    <row r="53" spans="1:25" ht="22.5" customHeight="1" thickTop="1" thickBot="1">
      <c r="A53" s="368" t="s">
        <v>1320</v>
      </c>
      <c r="B53" s="368" t="s">
        <v>1324</v>
      </c>
      <c r="C53" s="360" t="s">
        <v>1324</v>
      </c>
      <c r="D53" s="360" t="s">
        <v>1324</v>
      </c>
      <c r="E53" s="368" t="s">
        <v>1324</v>
      </c>
      <c r="F53" s="368" t="s">
        <v>1324</v>
      </c>
      <c r="G53" s="360" t="s">
        <v>1361</v>
      </c>
      <c r="H53" s="360" t="s">
        <v>1390</v>
      </c>
      <c r="I53" s="360"/>
      <c r="J53" s="365" t="s">
        <v>1769</v>
      </c>
      <c r="K53" s="378"/>
      <c r="L53" s="378"/>
      <c r="M53" s="378"/>
      <c r="N53" s="378"/>
      <c r="O53" s="378"/>
      <c r="P53" s="378"/>
      <c r="Q53" s="378"/>
      <c r="R53" s="378"/>
      <c r="S53" s="378"/>
      <c r="T53" s="378"/>
      <c r="U53" s="367"/>
      <c r="V53" s="359"/>
      <c r="W53" s="368"/>
      <c r="X53" s="368"/>
      <c r="Y53" s="340"/>
    </row>
    <row r="54" spans="1:25" ht="22.5" customHeight="1" thickTop="1" thickBot="1">
      <c r="A54" s="368" t="s">
        <v>1320</v>
      </c>
      <c r="B54" s="368" t="s">
        <v>1324</v>
      </c>
      <c r="C54" s="360" t="s">
        <v>1324</v>
      </c>
      <c r="D54" s="360" t="s">
        <v>1324</v>
      </c>
      <c r="E54" s="368" t="s">
        <v>1324</v>
      </c>
      <c r="F54" s="368" t="s">
        <v>1324</v>
      </c>
      <c r="G54" s="360" t="s">
        <v>1361</v>
      </c>
      <c r="H54" s="360" t="s">
        <v>1413</v>
      </c>
      <c r="I54" s="360"/>
      <c r="J54" s="365" t="s">
        <v>1770</v>
      </c>
      <c r="K54" s="378"/>
      <c r="L54" s="378"/>
      <c r="M54" s="378"/>
      <c r="N54" s="378"/>
      <c r="O54" s="378"/>
      <c r="P54" s="378"/>
      <c r="Q54" s="378"/>
      <c r="R54" s="378"/>
      <c r="S54" s="378"/>
      <c r="T54" s="378"/>
      <c r="U54" s="367"/>
      <c r="V54" s="359"/>
      <c r="W54" s="368"/>
      <c r="X54" s="368"/>
      <c r="Y54" s="340"/>
    </row>
    <row r="55" spans="1:25" ht="22.5" customHeight="1" thickTop="1" thickBot="1">
      <c r="A55" s="368" t="s">
        <v>1320</v>
      </c>
      <c r="B55" s="368" t="s">
        <v>1324</v>
      </c>
      <c r="C55" s="360" t="s">
        <v>1324</v>
      </c>
      <c r="D55" s="360" t="s">
        <v>1324</v>
      </c>
      <c r="E55" s="368" t="s">
        <v>1324</v>
      </c>
      <c r="F55" s="368" t="s">
        <v>1324</v>
      </c>
      <c r="G55" s="360" t="s">
        <v>1361</v>
      </c>
      <c r="H55" s="360" t="s">
        <v>1417</v>
      </c>
      <c r="I55" s="360"/>
      <c r="J55" s="365" t="s">
        <v>1771</v>
      </c>
      <c r="K55" s="378"/>
      <c r="L55" s="378"/>
      <c r="M55" s="378"/>
      <c r="N55" s="378"/>
      <c r="O55" s="378"/>
      <c r="P55" s="378"/>
      <c r="Q55" s="378"/>
      <c r="R55" s="378"/>
      <c r="S55" s="378"/>
      <c r="T55" s="378"/>
      <c r="U55" s="367"/>
      <c r="V55" s="359"/>
      <c r="W55" s="368"/>
      <c r="X55" s="368"/>
      <c r="Y55" s="340"/>
    </row>
    <row r="56" spans="1:25" ht="22.5" customHeight="1" thickTop="1" thickBot="1">
      <c r="A56" s="368" t="s">
        <v>1320</v>
      </c>
      <c r="B56" s="368" t="s">
        <v>1324</v>
      </c>
      <c r="C56" s="360" t="s">
        <v>1324</v>
      </c>
      <c r="D56" s="360" t="s">
        <v>1324</v>
      </c>
      <c r="E56" s="368" t="s">
        <v>1324</v>
      </c>
      <c r="F56" s="368" t="s">
        <v>1324</v>
      </c>
      <c r="G56" s="360" t="s">
        <v>1361</v>
      </c>
      <c r="H56" s="360" t="s">
        <v>1421</v>
      </c>
      <c r="I56" s="360"/>
      <c r="J56" s="365" t="s">
        <v>1768</v>
      </c>
      <c r="K56" s="378"/>
      <c r="L56" s="378"/>
      <c r="M56" s="378"/>
      <c r="N56" s="378"/>
      <c r="O56" s="378"/>
      <c r="P56" s="378"/>
      <c r="Q56" s="378"/>
      <c r="R56" s="378"/>
      <c r="S56" s="378"/>
      <c r="T56" s="378"/>
      <c r="U56" s="367"/>
      <c r="V56" s="359"/>
      <c r="W56" s="368"/>
      <c r="X56" s="368"/>
      <c r="Y56" s="340"/>
    </row>
    <row r="57" spans="1:25" ht="22.5" customHeight="1" thickTop="1" thickBot="1">
      <c r="A57" s="368" t="s">
        <v>1320</v>
      </c>
      <c r="B57" s="368" t="s">
        <v>1324</v>
      </c>
      <c r="C57" s="360" t="s">
        <v>1324</v>
      </c>
      <c r="D57" s="360" t="s">
        <v>1324</v>
      </c>
      <c r="E57" s="368" t="s">
        <v>1324</v>
      </c>
      <c r="F57" s="368" t="s">
        <v>1324</v>
      </c>
      <c r="G57" s="359" t="s">
        <v>1365</v>
      </c>
      <c r="H57" s="360"/>
      <c r="I57" s="360"/>
      <c r="J57" s="361" t="s">
        <v>1480</v>
      </c>
      <c r="K57" s="377"/>
      <c r="L57" s="377"/>
      <c r="M57" s="377"/>
      <c r="N57" s="377"/>
      <c r="O57" s="377"/>
      <c r="P57" s="377"/>
      <c r="Q57" s="377"/>
      <c r="R57" s="377"/>
      <c r="S57" s="377"/>
      <c r="T57" s="377"/>
      <c r="U57" s="363"/>
      <c r="V57" s="359"/>
      <c r="W57" s="368"/>
      <c r="X57" s="368"/>
      <c r="Y57" s="340"/>
    </row>
    <row r="58" spans="1:25" ht="22.5" customHeight="1" thickTop="1" thickBot="1">
      <c r="A58" s="368" t="s">
        <v>1320</v>
      </c>
      <c r="B58" s="368" t="s">
        <v>1324</v>
      </c>
      <c r="C58" s="360" t="s">
        <v>1324</v>
      </c>
      <c r="D58" s="360" t="s">
        <v>1324</v>
      </c>
      <c r="E58" s="368" t="s">
        <v>1324</v>
      </c>
      <c r="F58" s="368" t="s">
        <v>1324</v>
      </c>
      <c r="G58" s="360" t="s">
        <v>1365</v>
      </c>
      <c r="H58" s="360" t="s">
        <v>1324</v>
      </c>
      <c r="I58" s="360"/>
      <c r="J58" s="365" t="s">
        <v>1481</v>
      </c>
      <c r="K58" s="378"/>
      <c r="L58" s="378"/>
      <c r="M58" s="378"/>
      <c r="N58" s="378"/>
      <c r="O58" s="378"/>
      <c r="P58" s="378"/>
      <c r="Q58" s="378"/>
      <c r="R58" s="378"/>
      <c r="S58" s="378"/>
      <c r="T58" s="378"/>
      <c r="U58" s="367"/>
      <c r="V58" s="359"/>
      <c r="W58" s="368"/>
      <c r="X58" s="368"/>
      <c r="Y58" s="340"/>
    </row>
    <row r="59" spans="1:25" ht="22.5" customHeight="1" thickTop="1" thickBot="1">
      <c r="A59" s="368" t="s">
        <v>1320</v>
      </c>
      <c r="B59" s="368" t="s">
        <v>1324</v>
      </c>
      <c r="C59" s="360" t="s">
        <v>1324</v>
      </c>
      <c r="D59" s="360" t="s">
        <v>1324</v>
      </c>
      <c r="E59" s="368" t="s">
        <v>1324</v>
      </c>
      <c r="F59" s="368" t="s">
        <v>1324</v>
      </c>
      <c r="G59" s="360" t="s">
        <v>1365</v>
      </c>
      <c r="H59" s="360" t="s">
        <v>1337</v>
      </c>
      <c r="I59" s="360"/>
      <c r="J59" s="365" t="s">
        <v>1482</v>
      </c>
      <c r="K59" s="378"/>
      <c r="L59" s="378"/>
      <c r="M59" s="378"/>
      <c r="N59" s="378"/>
      <c r="O59" s="378"/>
      <c r="P59" s="378"/>
      <c r="Q59" s="378"/>
      <c r="R59" s="378"/>
      <c r="S59" s="378"/>
      <c r="T59" s="378"/>
      <c r="U59" s="367"/>
      <c r="V59" s="359"/>
      <c r="W59" s="368"/>
      <c r="X59" s="368"/>
      <c r="Y59" s="340"/>
    </row>
    <row r="60" spans="1:25" ht="22.5" customHeight="1" thickTop="1" thickBot="1">
      <c r="A60" s="368" t="s">
        <v>1320</v>
      </c>
      <c r="B60" s="368" t="s">
        <v>1324</v>
      </c>
      <c r="C60" s="360" t="s">
        <v>1324</v>
      </c>
      <c r="D60" s="360" t="s">
        <v>1324</v>
      </c>
      <c r="E60" s="368" t="s">
        <v>1324</v>
      </c>
      <c r="F60" s="368" t="s">
        <v>1324</v>
      </c>
      <c r="G60" s="360" t="s">
        <v>1365</v>
      </c>
      <c r="H60" s="360" t="s">
        <v>1361</v>
      </c>
      <c r="I60" s="360"/>
      <c r="J60" s="365" t="s">
        <v>1772</v>
      </c>
      <c r="K60" s="378"/>
      <c r="L60" s="378"/>
      <c r="M60" s="378"/>
      <c r="N60" s="378"/>
      <c r="O60" s="378"/>
      <c r="P60" s="378"/>
      <c r="Q60" s="378"/>
      <c r="R60" s="378"/>
      <c r="S60" s="378"/>
      <c r="T60" s="378"/>
      <c r="U60" s="367"/>
      <c r="V60" s="359"/>
      <c r="W60" s="368"/>
      <c r="X60" s="368"/>
      <c r="Y60" s="340"/>
    </row>
    <row r="61" spans="1:25" ht="22.5" customHeight="1" thickTop="1" thickBot="1">
      <c r="A61" s="368" t="s">
        <v>1320</v>
      </c>
      <c r="B61" s="368" t="s">
        <v>1324</v>
      </c>
      <c r="C61" s="360" t="s">
        <v>1324</v>
      </c>
      <c r="D61" s="360" t="s">
        <v>1324</v>
      </c>
      <c r="E61" s="368" t="s">
        <v>1324</v>
      </c>
      <c r="F61" s="368" t="s">
        <v>1324</v>
      </c>
      <c r="G61" s="360" t="s">
        <v>1365</v>
      </c>
      <c r="H61" s="360" t="s">
        <v>1365</v>
      </c>
      <c r="I61" s="360"/>
      <c r="J61" s="365" t="s">
        <v>1773</v>
      </c>
      <c r="K61" s="378"/>
      <c r="L61" s="378"/>
      <c r="M61" s="378"/>
      <c r="N61" s="378"/>
      <c r="O61" s="378"/>
      <c r="P61" s="378"/>
      <c r="Q61" s="378"/>
      <c r="R61" s="378"/>
      <c r="S61" s="378"/>
      <c r="T61" s="378"/>
      <c r="U61" s="367"/>
      <c r="V61" s="359"/>
      <c r="W61" s="368"/>
      <c r="X61" s="368"/>
      <c r="Y61" s="340"/>
    </row>
    <row r="62" spans="1:25" ht="22.5" customHeight="1" thickTop="1" thickBot="1">
      <c r="A62" s="368" t="s">
        <v>1320</v>
      </c>
      <c r="B62" s="368" t="s">
        <v>1324</v>
      </c>
      <c r="C62" s="360" t="s">
        <v>1324</v>
      </c>
      <c r="D62" s="360" t="s">
        <v>1324</v>
      </c>
      <c r="E62" s="368" t="s">
        <v>1324</v>
      </c>
      <c r="F62" s="368" t="s">
        <v>1324</v>
      </c>
      <c r="G62" s="360" t="s">
        <v>1365</v>
      </c>
      <c r="H62" s="360" t="s">
        <v>1390</v>
      </c>
      <c r="I62" s="360"/>
      <c r="J62" s="365" t="s">
        <v>1774</v>
      </c>
      <c r="K62" s="378"/>
      <c r="L62" s="378"/>
      <c r="M62" s="378"/>
      <c r="N62" s="378"/>
      <c r="O62" s="378"/>
      <c r="P62" s="378"/>
      <c r="Q62" s="378"/>
      <c r="R62" s="378"/>
      <c r="S62" s="378"/>
      <c r="T62" s="378"/>
      <c r="U62" s="367"/>
      <c r="V62" s="359"/>
      <c r="W62" s="368"/>
      <c r="X62" s="368"/>
      <c r="Y62" s="340"/>
    </row>
    <row r="63" spans="1:25" ht="22.5" customHeight="1" thickTop="1" thickBot="1">
      <c r="A63" s="368" t="s">
        <v>1320</v>
      </c>
      <c r="B63" s="368" t="s">
        <v>1324</v>
      </c>
      <c r="C63" s="360" t="s">
        <v>1324</v>
      </c>
      <c r="D63" s="360" t="s">
        <v>1324</v>
      </c>
      <c r="E63" s="368" t="s">
        <v>1324</v>
      </c>
      <c r="F63" s="368" t="s">
        <v>1324</v>
      </c>
      <c r="G63" s="360" t="s">
        <v>1365</v>
      </c>
      <c r="H63" s="360" t="s">
        <v>1413</v>
      </c>
      <c r="I63" s="360"/>
      <c r="J63" s="365" t="s">
        <v>1775</v>
      </c>
      <c r="K63" s="378"/>
      <c r="L63" s="378"/>
      <c r="M63" s="378"/>
      <c r="N63" s="378"/>
      <c r="O63" s="378"/>
      <c r="P63" s="378"/>
      <c r="Q63" s="378"/>
      <c r="R63" s="378"/>
      <c r="S63" s="378"/>
      <c r="T63" s="378"/>
      <c r="U63" s="367"/>
      <c r="V63" s="359"/>
      <c r="W63" s="368"/>
      <c r="X63" s="368"/>
      <c r="Y63" s="340"/>
    </row>
    <row r="64" spans="1:25" ht="22.5" customHeight="1" thickTop="1" thickBot="1">
      <c r="A64" s="368" t="s">
        <v>1320</v>
      </c>
      <c r="B64" s="368" t="s">
        <v>1324</v>
      </c>
      <c r="C64" s="360" t="s">
        <v>1324</v>
      </c>
      <c r="D64" s="360" t="s">
        <v>1324</v>
      </c>
      <c r="E64" s="368" t="s">
        <v>1324</v>
      </c>
      <c r="F64" s="368" t="s">
        <v>1324</v>
      </c>
      <c r="G64" s="360" t="s">
        <v>1365</v>
      </c>
      <c r="H64" s="360" t="s">
        <v>1417</v>
      </c>
      <c r="I64" s="360"/>
      <c r="J64" s="365" t="s">
        <v>1776</v>
      </c>
      <c r="K64" s="378"/>
      <c r="L64" s="378"/>
      <c r="M64" s="378"/>
      <c r="N64" s="378"/>
      <c r="O64" s="378"/>
      <c r="P64" s="378"/>
      <c r="Q64" s="378"/>
      <c r="R64" s="378"/>
      <c r="S64" s="378"/>
      <c r="T64" s="378"/>
      <c r="U64" s="367"/>
      <c r="V64" s="359"/>
      <c r="W64" s="368"/>
      <c r="X64" s="368"/>
      <c r="Y64" s="340"/>
    </row>
    <row r="65" spans="1:25" ht="22.5" customHeight="1" thickTop="1" thickBot="1">
      <c r="A65" s="368" t="s">
        <v>1320</v>
      </c>
      <c r="B65" s="368" t="s">
        <v>1324</v>
      </c>
      <c r="C65" s="360" t="s">
        <v>1324</v>
      </c>
      <c r="D65" s="360" t="s">
        <v>1324</v>
      </c>
      <c r="E65" s="368" t="s">
        <v>1324</v>
      </c>
      <c r="F65" s="368" t="s">
        <v>1324</v>
      </c>
      <c r="G65" s="360" t="s">
        <v>1365</v>
      </c>
      <c r="H65" s="360" t="s">
        <v>1421</v>
      </c>
      <c r="I65" s="360"/>
      <c r="J65" s="365" t="s">
        <v>1773</v>
      </c>
      <c r="K65" s="378"/>
      <c r="L65" s="378"/>
      <c r="M65" s="378"/>
      <c r="N65" s="378"/>
      <c r="O65" s="378"/>
      <c r="P65" s="378"/>
      <c r="Q65" s="378"/>
      <c r="R65" s="378"/>
      <c r="S65" s="378"/>
      <c r="T65" s="378"/>
      <c r="U65" s="367"/>
      <c r="V65" s="359"/>
      <c r="W65" s="368"/>
      <c r="X65" s="368"/>
      <c r="Y65" s="340"/>
    </row>
    <row r="66" spans="1:25" ht="22.5" customHeight="1" thickTop="1" thickBot="1">
      <c r="A66" s="347" t="s">
        <v>1320</v>
      </c>
      <c r="B66" s="348" t="s">
        <v>1324</v>
      </c>
      <c r="C66" s="348" t="s">
        <v>1337</v>
      </c>
      <c r="D66" s="348"/>
      <c r="E66" s="348"/>
      <c r="F66" s="349"/>
      <c r="G66" s="349"/>
      <c r="H66" s="349"/>
      <c r="I66" s="349"/>
      <c r="J66" s="350" t="s">
        <v>1344</v>
      </c>
      <c r="K66" s="351"/>
      <c r="L66" s="351"/>
      <c r="M66" s="351"/>
      <c r="N66" s="351"/>
      <c r="O66" s="351"/>
      <c r="P66" s="351"/>
      <c r="Q66" s="351"/>
      <c r="R66" s="351"/>
      <c r="S66" s="351"/>
      <c r="T66" s="351"/>
      <c r="U66" s="352"/>
      <c r="V66" s="347"/>
      <c r="W66" s="347" t="s">
        <v>1345</v>
      </c>
      <c r="X66" s="347" t="s">
        <v>1346</v>
      </c>
      <c r="Y66" s="340" t="s">
        <v>1322</v>
      </c>
    </row>
    <row r="67" spans="1:25" ht="22.5" customHeight="1" thickTop="1" thickBot="1">
      <c r="A67" s="353" t="s">
        <v>1320</v>
      </c>
      <c r="B67" s="354" t="s">
        <v>1324</v>
      </c>
      <c r="C67" s="354" t="s">
        <v>1337</v>
      </c>
      <c r="D67" s="354" t="s">
        <v>1324</v>
      </c>
      <c r="E67" s="354"/>
      <c r="F67" s="355"/>
      <c r="G67" s="355"/>
      <c r="H67" s="355"/>
      <c r="I67" s="355"/>
      <c r="J67" s="356" t="s">
        <v>1347</v>
      </c>
      <c r="K67" s="357"/>
      <c r="L67" s="357"/>
      <c r="M67" s="357"/>
      <c r="N67" s="357"/>
      <c r="O67" s="357"/>
      <c r="P67" s="357"/>
      <c r="Q67" s="357"/>
      <c r="R67" s="357"/>
      <c r="S67" s="357"/>
      <c r="T67" s="357"/>
      <c r="U67" s="358"/>
      <c r="V67" s="354"/>
      <c r="W67" s="353" t="s">
        <v>1348</v>
      </c>
      <c r="X67" s="353" t="s">
        <v>1349</v>
      </c>
      <c r="Y67" s="340" t="s">
        <v>1322</v>
      </c>
    </row>
    <row r="68" spans="1:25" ht="22.5" customHeight="1" thickTop="1" thickBot="1">
      <c r="A68" s="364" t="s">
        <v>1320</v>
      </c>
      <c r="B68" s="364" t="s">
        <v>1324</v>
      </c>
      <c r="C68" s="359" t="s">
        <v>1337</v>
      </c>
      <c r="D68" s="364" t="s">
        <v>1324</v>
      </c>
      <c r="E68" s="359" t="s">
        <v>1324</v>
      </c>
      <c r="F68" s="360"/>
      <c r="G68" s="360"/>
      <c r="H68" s="360"/>
      <c r="I68" s="360"/>
      <c r="J68" s="361" t="s">
        <v>1350</v>
      </c>
      <c r="K68" s="362"/>
      <c r="L68" s="362"/>
      <c r="M68" s="362"/>
      <c r="N68" s="362"/>
      <c r="O68" s="362"/>
      <c r="P68" s="362"/>
      <c r="Q68" s="362"/>
      <c r="R68" s="362"/>
      <c r="S68" s="362"/>
      <c r="T68" s="362"/>
      <c r="U68" s="363"/>
      <c r="V68" s="368"/>
      <c r="W68" s="368" t="s">
        <v>1351</v>
      </c>
      <c r="X68" s="368" t="s">
        <v>1322</v>
      </c>
      <c r="Y68" s="340" t="s">
        <v>1322</v>
      </c>
    </row>
    <row r="69" spans="1:25" ht="22.5" customHeight="1" thickTop="1" thickBot="1">
      <c r="A69" s="368" t="s">
        <v>1320</v>
      </c>
      <c r="B69" s="368" t="s">
        <v>1324</v>
      </c>
      <c r="C69" s="360" t="s">
        <v>1337</v>
      </c>
      <c r="D69" s="368" t="s">
        <v>1324</v>
      </c>
      <c r="E69" s="368" t="s">
        <v>1324</v>
      </c>
      <c r="F69" s="359" t="s">
        <v>1324</v>
      </c>
      <c r="G69" s="360"/>
      <c r="H69" s="360"/>
      <c r="I69" s="360"/>
      <c r="J69" s="361" t="s">
        <v>1352</v>
      </c>
      <c r="K69" s="362"/>
      <c r="L69" s="362"/>
      <c r="M69" s="362"/>
      <c r="N69" s="362"/>
      <c r="O69" s="362"/>
      <c r="P69" s="362"/>
      <c r="Q69" s="362"/>
      <c r="R69" s="362"/>
      <c r="S69" s="362"/>
      <c r="T69" s="362"/>
      <c r="U69" s="363"/>
      <c r="V69" s="368"/>
      <c r="W69" s="368" t="s">
        <v>1353</v>
      </c>
      <c r="X69" s="368" t="s">
        <v>1354</v>
      </c>
      <c r="Y69" s="340" t="s">
        <v>1322</v>
      </c>
    </row>
    <row r="70" spans="1:25" ht="22.5" customHeight="1" thickTop="1" thickBot="1">
      <c r="A70" s="368" t="s">
        <v>1320</v>
      </c>
      <c r="B70" s="368" t="s">
        <v>1324</v>
      </c>
      <c r="C70" s="360" t="s">
        <v>1337</v>
      </c>
      <c r="D70" s="368" t="s">
        <v>1324</v>
      </c>
      <c r="E70" s="368" t="s">
        <v>1324</v>
      </c>
      <c r="F70" s="368" t="s">
        <v>1324</v>
      </c>
      <c r="G70" s="359" t="s">
        <v>1324</v>
      </c>
      <c r="H70" s="360"/>
      <c r="I70" s="360"/>
      <c r="J70" s="361" t="s">
        <v>1355</v>
      </c>
      <c r="K70" s="362"/>
      <c r="L70" s="362"/>
      <c r="M70" s="362"/>
      <c r="N70" s="362"/>
      <c r="O70" s="362"/>
      <c r="P70" s="362"/>
      <c r="Q70" s="362"/>
      <c r="R70" s="362"/>
      <c r="S70" s="362"/>
      <c r="T70" s="362"/>
      <c r="U70" s="363"/>
      <c r="V70" s="368"/>
      <c r="W70" s="368"/>
      <c r="X70" s="368"/>
      <c r="Y70" s="340" t="s">
        <v>1322</v>
      </c>
    </row>
    <row r="71" spans="1:25" ht="22.5" customHeight="1" thickTop="1" thickBot="1">
      <c r="A71" s="368" t="s">
        <v>1320</v>
      </c>
      <c r="B71" s="368" t="s">
        <v>1324</v>
      </c>
      <c r="C71" s="360" t="s">
        <v>1337</v>
      </c>
      <c r="D71" s="368" t="s">
        <v>1324</v>
      </c>
      <c r="E71" s="368" t="s">
        <v>1324</v>
      </c>
      <c r="F71" s="368" t="s">
        <v>1324</v>
      </c>
      <c r="G71" s="368" t="s">
        <v>1324</v>
      </c>
      <c r="H71" s="368" t="s">
        <v>1324</v>
      </c>
      <c r="I71" s="360"/>
      <c r="J71" s="365" t="s">
        <v>1356</v>
      </c>
      <c r="K71" s="366"/>
      <c r="L71" s="366"/>
      <c r="M71" s="366"/>
      <c r="N71" s="366"/>
      <c r="O71" s="366"/>
      <c r="P71" s="366"/>
      <c r="Q71" s="366"/>
      <c r="R71" s="366"/>
      <c r="S71" s="366"/>
      <c r="T71" s="366"/>
      <c r="U71" s="367"/>
      <c r="V71" s="368"/>
      <c r="W71" s="368"/>
      <c r="X71" s="368"/>
      <c r="Y71" s="340" t="s">
        <v>1322</v>
      </c>
    </row>
    <row r="72" spans="1:25" ht="22.5" customHeight="1" thickTop="1" thickBot="1">
      <c r="A72" s="368" t="s">
        <v>1320</v>
      </c>
      <c r="B72" s="368" t="s">
        <v>1324</v>
      </c>
      <c r="C72" s="360" t="s">
        <v>1337</v>
      </c>
      <c r="D72" s="368" t="s">
        <v>1324</v>
      </c>
      <c r="E72" s="368" t="s">
        <v>1324</v>
      </c>
      <c r="F72" s="368" t="s">
        <v>1324</v>
      </c>
      <c r="G72" s="368" t="s">
        <v>1324</v>
      </c>
      <c r="H72" s="360" t="s">
        <v>1337</v>
      </c>
      <c r="I72" s="360"/>
      <c r="J72" s="365" t="s">
        <v>1357</v>
      </c>
      <c r="K72" s="366"/>
      <c r="L72" s="366"/>
      <c r="M72" s="366"/>
      <c r="N72" s="366"/>
      <c r="O72" s="366"/>
      <c r="P72" s="366"/>
      <c r="Q72" s="366"/>
      <c r="R72" s="366"/>
      <c r="S72" s="366"/>
      <c r="T72" s="366"/>
      <c r="U72" s="367"/>
      <c r="V72" s="368"/>
      <c r="W72" s="368"/>
      <c r="X72" s="368"/>
      <c r="Y72" s="340" t="s">
        <v>1322</v>
      </c>
    </row>
    <row r="73" spans="1:25" ht="22.5" customHeight="1" thickTop="1" thickBot="1">
      <c r="A73" s="368" t="s">
        <v>1320</v>
      </c>
      <c r="B73" s="368" t="s">
        <v>1324</v>
      </c>
      <c r="C73" s="360" t="s">
        <v>1337</v>
      </c>
      <c r="D73" s="368" t="s">
        <v>1324</v>
      </c>
      <c r="E73" s="368" t="s">
        <v>1324</v>
      </c>
      <c r="F73" s="368" t="s">
        <v>1324</v>
      </c>
      <c r="G73" s="359" t="s">
        <v>1337</v>
      </c>
      <c r="H73" s="360"/>
      <c r="I73" s="360"/>
      <c r="J73" s="361" t="s">
        <v>1358</v>
      </c>
      <c r="K73" s="362"/>
      <c r="L73" s="362"/>
      <c r="M73" s="362"/>
      <c r="N73" s="362"/>
      <c r="O73" s="362"/>
      <c r="P73" s="362"/>
      <c r="Q73" s="362"/>
      <c r="R73" s="362"/>
      <c r="S73" s="362"/>
      <c r="T73" s="362"/>
      <c r="U73" s="363"/>
      <c r="V73" s="368"/>
      <c r="W73" s="368"/>
      <c r="X73" s="368"/>
      <c r="Y73" s="340" t="s">
        <v>1322</v>
      </c>
    </row>
    <row r="74" spans="1:25" ht="22.5" customHeight="1" thickTop="1" thickBot="1">
      <c r="A74" s="368" t="s">
        <v>1320</v>
      </c>
      <c r="B74" s="368" t="s">
        <v>1324</v>
      </c>
      <c r="C74" s="360" t="s">
        <v>1337</v>
      </c>
      <c r="D74" s="368" t="s">
        <v>1324</v>
      </c>
      <c r="E74" s="368" t="s">
        <v>1324</v>
      </c>
      <c r="F74" s="368" t="s">
        <v>1324</v>
      </c>
      <c r="G74" s="360" t="s">
        <v>1337</v>
      </c>
      <c r="H74" s="360" t="s">
        <v>1324</v>
      </c>
      <c r="I74" s="360"/>
      <c r="J74" s="365" t="s">
        <v>1359</v>
      </c>
      <c r="K74" s="366"/>
      <c r="L74" s="366"/>
      <c r="M74" s="366"/>
      <c r="N74" s="366"/>
      <c r="O74" s="366"/>
      <c r="P74" s="366"/>
      <c r="Q74" s="366"/>
      <c r="R74" s="366"/>
      <c r="S74" s="366"/>
      <c r="T74" s="366"/>
      <c r="U74" s="367"/>
      <c r="V74" s="368"/>
      <c r="W74" s="368"/>
      <c r="X74" s="368"/>
      <c r="Y74" s="340" t="s">
        <v>1322</v>
      </c>
    </row>
    <row r="75" spans="1:25" ht="22.5" customHeight="1" thickTop="1" thickBot="1">
      <c r="A75" s="368" t="s">
        <v>1320</v>
      </c>
      <c r="B75" s="368" t="s">
        <v>1324</v>
      </c>
      <c r="C75" s="360" t="s">
        <v>1337</v>
      </c>
      <c r="D75" s="368" t="s">
        <v>1324</v>
      </c>
      <c r="E75" s="368" t="s">
        <v>1324</v>
      </c>
      <c r="F75" s="368" t="s">
        <v>1324</v>
      </c>
      <c r="G75" s="360" t="s">
        <v>1337</v>
      </c>
      <c r="H75" s="360" t="s">
        <v>1337</v>
      </c>
      <c r="I75" s="360"/>
      <c r="J75" s="365" t="s">
        <v>1360</v>
      </c>
      <c r="K75" s="366"/>
      <c r="L75" s="366"/>
      <c r="M75" s="366"/>
      <c r="N75" s="366"/>
      <c r="O75" s="366"/>
      <c r="P75" s="366"/>
      <c r="Q75" s="366"/>
      <c r="R75" s="366"/>
      <c r="S75" s="366"/>
      <c r="T75" s="366"/>
      <c r="U75" s="367"/>
      <c r="V75" s="368"/>
      <c r="W75" s="368"/>
      <c r="X75" s="368"/>
      <c r="Y75" s="340" t="s">
        <v>1322</v>
      </c>
    </row>
    <row r="76" spans="1:25" ht="22.5" customHeight="1" thickTop="1" thickBot="1">
      <c r="A76" s="368" t="s">
        <v>1320</v>
      </c>
      <c r="B76" s="368" t="s">
        <v>1324</v>
      </c>
      <c r="C76" s="360" t="s">
        <v>1337</v>
      </c>
      <c r="D76" s="368" t="s">
        <v>1324</v>
      </c>
      <c r="E76" s="368" t="s">
        <v>1324</v>
      </c>
      <c r="F76" s="368" t="s">
        <v>1324</v>
      </c>
      <c r="G76" s="359" t="s">
        <v>1361</v>
      </c>
      <c r="H76" s="360"/>
      <c r="I76" s="360"/>
      <c r="J76" s="361" t="s">
        <v>1362</v>
      </c>
      <c r="K76" s="362"/>
      <c r="L76" s="362"/>
      <c r="M76" s="362"/>
      <c r="N76" s="362"/>
      <c r="O76" s="362"/>
      <c r="P76" s="362"/>
      <c r="Q76" s="362"/>
      <c r="R76" s="362"/>
      <c r="S76" s="362"/>
      <c r="T76" s="362"/>
      <c r="U76" s="363"/>
      <c r="V76" s="368"/>
      <c r="W76" s="368"/>
      <c r="X76" s="368"/>
      <c r="Y76" s="340" t="s">
        <v>1322</v>
      </c>
    </row>
    <row r="77" spans="1:25" ht="22.5" customHeight="1" thickTop="1" thickBot="1">
      <c r="A77" s="368" t="s">
        <v>1320</v>
      </c>
      <c r="B77" s="368" t="s">
        <v>1324</v>
      </c>
      <c r="C77" s="360" t="s">
        <v>1337</v>
      </c>
      <c r="D77" s="368" t="s">
        <v>1324</v>
      </c>
      <c r="E77" s="368" t="s">
        <v>1324</v>
      </c>
      <c r="F77" s="368" t="s">
        <v>1324</v>
      </c>
      <c r="G77" s="360" t="s">
        <v>1361</v>
      </c>
      <c r="H77" s="360" t="s">
        <v>1324</v>
      </c>
      <c r="I77" s="360"/>
      <c r="J77" s="365" t="s">
        <v>1363</v>
      </c>
      <c r="K77" s="366"/>
      <c r="L77" s="366"/>
      <c r="M77" s="366"/>
      <c r="N77" s="366"/>
      <c r="O77" s="366"/>
      <c r="P77" s="366"/>
      <c r="Q77" s="366"/>
      <c r="R77" s="366"/>
      <c r="S77" s="366"/>
      <c r="T77" s="366"/>
      <c r="U77" s="367"/>
      <c r="V77" s="368"/>
      <c r="W77" s="368"/>
      <c r="X77" s="368"/>
      <c r="Y77" s="340" t="s">
        <v>1322</v>
      </c>
    </row>
    <row r="78" spans="1:25" ht="22.5" customHeight="1" thickTop="1" thickBot="1">
      <c r="A78" s="368" t="s">
        <v>1320</v>
      </c>
      <c r="B78" s="368" t="s">
        <v>1324</v>
      </c>
      <c r="C78" s="360" t="s">
        <v>1337</v>
      </c>
      <c r="D78" s="368" t="s">
        <v>1324</v>
      </c>
      <c r="E78" s="368" t="s">
        <v>1324</v>
      </c>
      <c r="F78" s="368" t="s">
        <v>1324</v>
      </c>
      <c r="G78" s="360" t="s">
        <v>1361</v>
      </c>
      <c r="H78" s="360" t="s">
        <v>1337</v>
      </c>
      <c r="I78" s="360"/>
      <c r="J78" s="365" t="s">
        <v>1364</v>
      </c>
      <c r="K78" s="366"/>
      <c r="L78" s="366"/>
      <c r="M78" s="366"/>
      <c r="N78" s="366"/>
      <c r="O78" s="366"/>
      <c r="P78" s="366"/>
      <c r="Q78" s="366"/>
      <c r="R78" s="366"/>
      <c r="S78" s="366"/>
      <c r="T78" s="366"/>
      <c r="U78" s="367"/>
      <c r="V78" s="368"/>
      <c r="W78" s="368"/>
      <c r="X78" s="368"/>
      <c r="Y78" s="340" t="s">
        <v>1322</v>
      </c>
    </row>
    <row r="79" spans="1:25" ht="22.5" customHeight="1" thickTop="1" thickBot="1">
      <c r="A79" s="368" t="s">
        <v>1320</v>
      </c>
      <c r="B79" s="368" t="s">
        <v>1324</v>
      </c>
      <c r="C79" s="360" t="s">
        <v>1337</v>
      </c>
      <c r="D79" s="368" t="s">
        <v>1324</v>
      </c>
      <c r="E79" s="368" t="s">
        <v>1324</v>
      </c>
      <c r="F79" s="368" t="s">
        <v>1324</v>
      </c>
      <c r="G79" s="359" t="s">
        <v>1365</v>
      </c>
      <c r="H79" s="360"/>
      <c r="I79" s="360"/>
      <c r="J79" s="361" t="s">
        <v>1366</v>
      </c>
      <c r="K79" s="369"/>
      <c r="L79" s="369"/>
      <c r="M79" s="369"/>
      <c r="N79" s="369"/>
      <c r="O79" s="369"/>
      <c r="P79" s="369"/>
      <c r="Q79" s="369"/>
      <c r="R79" s="369"/>
      <c r="S79" s="369"/>
      <c r="T79" s="369"/>
      <c r="U79" s="370"/>
      <c r="V79" s="368"/>
      <c r="W79" s="368"/>
      <c r="X79" s="368"/>
      <c r="Y79" s="340" t="s">
        <v>1322</v>
      </c>
    </row>
    <row r="80" spans="1:25" ht="22.5" customHeight="1" thickTop="1" thickBot="1">
      <c r="A80" s="368" t="s">
        <v>1320</v>
      </c>
      <c r="B80" s="368" t="s">
        <v>1324</v>
      </c>
      <c r="C80" s="360" t="s">
        <v>1337</v>
      </c>
      <c r="D80" s="368" t="s">
        <v>1324</v>
      </c>
      <c r="E80" s="368" t="s">
        <v>1324</v>
      </c>
      <c r="F80" s="368" t="s">
        <v>1324</v>
      </c>
      <c r="G80" s="360" t="s">
        <v>1365</v>
      </c>
      <c r="H80" s="360" t="s">
        <v>1324</v>
      </c>
      <c r="I80" s="360"/>
      <c r="J80" s="365" t="s">
        <v>1367</v>
      </c>
      <c r="K80" s="371"/>
      <c r="L80" s="371"/>
      <c r="M80" s="371"/>
      <c r="N80" s="366"/>
      <c r="O80" s="371"/>
      <c r="P80" s="371"/>
      <c r="Q80" s="371"/>
      <c r="R80" s="371"/>
      <c r="S80" s="366"/>
      <c r="T80" s="371"/>
      <c r="U80" s="372"/>
      <c r="V80" s="368"/>
      <c r="W80" s="368"/>
      <c r="X80" s="368"/>
      <c r="Y80" s="340" t="s">
        <v>1322</v>
      </c>
    </row>
    <row r="81" spans="1:25" ht="22.5" customHeight="1" thickTop="1" thickBot="1">
      <c r="A81" s="368" t="s">
        <v>1320</v>
      </c>
      <c r="B81" s="368" t="s">
        <v>1324</v>
      </c>
      <c r="C81" s="360" t="s">
        <v>1337</v>
      </c>
      <c r="D81" s="368" t="s">
        <v>1324</v>
      </c>
      <c r="E81" s="368" t="s">
        <v>1324</v>
      </c>
      <c r="F81" s="368" t="s">
        <v>1324</v>
      </c>
      <c r="G81" s="360" t="s">
        <v>1365</v>
      </c>
      <c r="H81" s="360" t="s">
        <v>1337</v>
      </c>
      <c r="I81" s="360"/>
      <c r="J81" s="365" t="s">
        <v>1368</v>
      </c>
      <c r="K81" s="371"/>
      <c r="L81" s="371"/>
      <c r="M81" s="371"/>
      <c r="N81" s="366"/>
      <c r="O81" s="371"/>
      <c r="P81" s="371"/>
      <c r="Q81" s="371"/>
      <c r="R81" s="371"/>
      <c r="S81" s="366"/>
      <c r="T81" s="371"/>
      <c r="U81" s="372"/>
      <c r="V81" s="368"/>
      <c r="W81" s="368"/>
      <c r="X81" s="368"/>
      <c r="Y81" s="340" t="s">
        <v>1322</v>
      </c>
    </row>
    <row r="82" spans="1:25" ht="22.5" customHeight="1" thickTop="1" thickBot="1">
      <c r="A82" s="353" t="s">
        <v>1320</v>
      </c>
      <c r="B82" s="354" t="s">
        <v>1324</v>
      </c>
      <c r="C82" s="354" t="s">
        <v>1337</v>
      </c>
      <c r="D82" s="354" t="s">
        <v>1337</v>
      </c>
      <c r="E82" s="354"/>
      <c r="F82" s="355"/>
      <c r="G82" s="355"/>
      <c r="H82" s="355"/>
      <c r="I82" s="355"/>
      <c r="J82" s="356" t="s">
        <v>1369</v>
      </c>
      <c r="K82" s="357"/>
      <c r="L82" s="357"/>
      <c r="M82" s="357"/>
      <c r="N82" s="357"/>
      <c r="O82" s="357"/>
      <c r="P82" s="357"/>
      <c r="Q82" s="357"/>
      <c r="R82" s="357"/>
      <c r="S82" s="357"/>
      <c r="T82" s="357"/>
      <c r="U82" s="358"/>
      <c r="V82" s="354"/>
      <c r="W82" s="353"/>
      <c r="X82" s="353"/>
      <c r="Y82" s="340" t="s">
        <v>1322</v>
      </c>
    </row>
    <row r="83" spans="1:25" ht="22.5" customHeight="1" thickTop="1" thickBot="1">
      <c r="A83" s="353">
        <v>1</v>
      </c>
      <c r="B83" s="354" t="s">
        <v>1324</v>
      </c>
      <c r="C83" s="354" t="s">
        <v>1337</v>
      </c>
      <c r="D83" s="354" t="s">
        <v>1337</v>
      </c>
      <c r="E83" s="354" t="s">
        <v>1324</v>
      </c>
      <c r="F83" s="355"/>
      <c r="G83" s="355"/>
      <c r="H83" s="355"/>
      <c r="I83" s="355"/>
      <c r="J83" s="356" t="s">
        <v>1370</v>
      </c>
      <c r="K83" s="357"/>
      <c r="L83" s="357"/>
      <c r="M83" s="357"/>
      <c r="N83" s="357"/>
      <c r="O83" s="357"/>
      <c r="P83" s="357"/>
      <c r="Q83" s="357"/>
      <c r="R83" s="357"/>
      <c r="S83" s="357"/>
      <c r="T83" s="357"/>
      <c r="U83" s="358"/>
      <c r="V83" s="354"/>
      <c r="W83" s="353"/>
      <c r="X83" s="353"/>
      <c r="Y83" s="340"/>
    </row>
    <row r="84" spans="1:25" s="147" customFormat="1" ht="22.5" customHeight="1" thickTop="1" thickBot="1">
      <c r="A84" s="364" t="s">
        <v>1320</v>
      </c>
      <c r="B84" s="364" t="s">
        <v>1324</v>
      </c>
      <c r="C84" s="359" t="s">
        <v>1337</v>
      </c>
      <c r="D84" s="359" t="s">
        <v>1337</v>
      </c>
      <c r="E84" s="359" t="s">
        <v>1324</v>
      </c>
      <c r="F84" s="359" t="s">
        <v>1324</v>
      </c>
      <c r="G84" s="359"/>
      <c r="H84" s="360"/>
      <c r="I84" s="360"/>
      <c r="J84" s="361" t="s">
        <v>1371</v>
      </c>
      <c r="K84" s="362"/>
      <c r="L84" s="362"/>
      <c r="M84" s="362"/>
      <c r="N84" s="362"/>
      <c r="O84" s="362"/>
      <c r="P84" s="362"/>
      <c r="Q84" s="362"/>
      <c r="R84" s="362"/>
      <c r="S84" s="362"/>
      <c r="T84" s="362"/>
      <c r="U84" s="363"/>
      <c r="V84" s="364"/>
      <c r="W84" s="364"/>
      <c r="X84" s="364"/>
      <c r="Y84" s="340" t="s">
        <v>1322</v>
      </c>
    </row>
    <row r="85" spans="1:25" ht="22.5" customHeight="1" thickTop="1" thickBot="1">
      <c r="A85" s="368" t="s">
        <v>1320</v>
      </c>
      <c r="B85" s="368" t="s">
        <v>1324</v>
      </c>
      <c r="C85" s="360" t="s">
        <v>1337</v>
      </c>
      <c r="D85" s="360" t="s">
        <v>1337</v>
      </c>
      <c r="E85" s="368" t="s">
        <v>1324</v>
      </c>
      <c r="F85" s="360" t="s">
        <v>1324</v>
      </c>
      <c r="G85" s="359" t="s">
        <v>1324</v>
      </c>
      <c r="H85" s="360"/>
      <c r="I85" s="360"/>
      <c r="J85" s="361" t="s">
        <v>1372</v>
      </c>
      <c r="K85" s="366"/>
      <c r="L85" s="366"/>
      <c r="M85" s="366"/>
      <c r="N85" s="366"/>
      <c r="O85" s="366"/>
      <c r="P85" s="366"/>
      <c r="Q85" s="366"/>
      <c r="R85" s="366"/>
      <c r="S85" s="366"/>
      <c r="T85" s="366"/>
      <c r="U85" s="367"/>
      <c r="V85" s="368"/>
      <c r="W85" s="368" t="s">
        <v>1373</v>
      </c>
      <c r="X85" s="368" t="s">
        <v>1374</v>
      </c>
      <c r="Y85" s="373" t="s">
        <v>1322</v>
      </c>
    </row>
    <row r="86" spans="1:25" ht="22.5" customHeight="1" thickTop="1" thickBot="1">
      <c r="A86" s="368" t="s">
        <v>1320</v>
      </c>
      <c r="B86" s="368" t="s">
        <v>1324</v>
      </c>
      <c r="C86" s="360" t="s">
        <v>1337</v>
      </c>
      <c r="D86" s="360" t="s">
        <v>1337</v>
      </c>
      <c r="E86" s="368" t="s">
        <v>1324</v>
      </c>
      <c r="F86" s="368" t="s">
        <v>1324</v>
      </c>
      <c r="G86" s="360" t="s">
        <v>1324</v>
      </c>
      <c r="H86" s="360" t="s">
        <v>1324</v>
      </c>
      <c r="I86" s="360"/>
      <c r="J86" s="365" t="s">
        <v>1375</v>
      </c>
      <c r="K86" s="366"/>
      <c r="L86" s="366"/>
      <c r="M86" s="366"/>
      <c r="N86" s="366"/>
      <c r="O86" s="366"/>
      <c r="P86" s="366"/>
      <c r="Q86" s="366"/>
      <c r="R86" s="366"/>
      <c r="S86" s="366"/>
      <c r="T86" s="366"/>
      <c r="U86" s="367"/>
      <c r="V86" s="368"/>
      <c r="W86" s="368"/>
      <c r="X86" s="368"/>
      <c r="Y86" s="373" t="s">
        <v>1322</v>
      </c>
    </row>
    <row r="87" spans="1:25" ht="22.5" customHeight="1" thickTop="1" thickBot="1">
      <c r="A87" s="368" t="s">
        <v>1320</v>
      </c>
      <c r="B87" s="368" t="s">
        <v>1324</v>
      </c>
      <c r="C87" s="360" t="s">
        <v>1337</v>
      </c>
      <c r="D87" s="360" t="s">
        <v>1337</v>
      </c>
      <c r="E87" s="368" t="s">
        <v>1324</v>
      </c>
      <c r="F87" s="368" t="s">
        <v>1324</v>
      </c>
      <c r="G87" s="360" t="s">
        <v>1324</v>
      </c>
      <c r="H87" s="360" t="s">
        <v>1337</v>
      </c>
      <c r="I87" s="360"/>
      <c r="J87" s="365" t="s">
        <v>1376</v>
      </c>
      <c r="K87" s="366"/>
      <c r="L87" s="366"/>
      <c r="M87" s="366"/>
      <c r="N87" s="366"/>
      <c r="O87" s="366"/>
      <c r="P87" s="366"/>
      <c r="Q87" s="366"/>
      <c r="R87" s="366"/>
      <c r="S87" s="366"/>
      <c r="T87" s="366"/>
      <c r="U87" s="367"/>
      <c r="V87" s="368"/>
      <c r="W87" s="368"/>
      <c r="X87" s="368"/>
      <c r="Y87" s="373" t="s">
        <v>1322</v>
      </c>
    </row>
    <row r="88" spans="1:25" ht="22.5" customHeight="1" thickTop="1" thickBot="1">
      <c r="A88" s="368" t="s">
        <v>1320</v>
      </c>
      <c r="B88" s="368" t="s">
        <v>1324</v>
      </c>
      <c r="C88" s="360" t="s">
        <v>1337</v>
      </c>
      <c r="D88" s="360" t="s">
        <v>1337</v>
      </c>
      <c r="E88" s="368" t="s">
        <v>1324</v>
      </c>
      <c r="F88" s="368" t="s">
        <v>1324</v>
      </c>
      <c r="G88" s="360" t="s">
        <v>1324</v>
      </c>
      <c r="H88" s="360" t="s">
        <v>1361</v>
      </c>
      <c r="I88" s="360"/>
      <c r="J88" s="365" t="s">
        <v>1717</v>
      </c>
      <c r="K88" s="366"/>
      <c r="L88" s="366"/>
      <c r="M88" s="366"/>
      <c r="N88" s="366"/>
      <c r="O88" s="366"/>
      <c r="P88" s="366"/>
      <c r="Q88" s="366"/>
      <c r="R88" s="366"/>
      <c r="S88" s="366"/>
      <c r="T88" s="366"/>
      <c r="U88" s="367"/>
      <c r="V88" s="368"/>
      <c r="W88" s="368"/>
      <c r="X88" s="368"/>
      <c r="Y88" s="373"/>
    </row>
    <row r="89" spans="1:25" ht="22.5" customHeight="1" thickTop="1" thickBot="1">
      <c r="A89" s="368" t="s">
        <v>1320</v>
      </c>
      <c r="B89" s="368" t="s">
        <v>1324</v>
      </c>
      <c r="C89" s="360" t="s">
        <v>1337</v>
      </c>
      <c r="D89" s="360" t="s">
        <v>1337</v>
      </c>
      <c r="E89" s="368" t="s">
        <v>1324</v>
      </c>
      <c r="F89" s="368" t="s">
        <v>1324</v>
      </c>
      <c r="G89" s="360" t="s">
        <v>1324</v>
      </c>
      <c r="H89" s="360" t="s">
        <v>1365</v>
      </c>
      <c r="I89" s="360"/>
      <c r="J89" s="365" t="s">
        <v>1718</v>
      </c>
      <c r="K89" s="366"/>
      <c r="L89" s="366"/>
      <c r="M89" s="366"/>
      <c r="N89" s="366"/>
      <c r="O89" s="366"/>
      <c r="P89" s="366"/>
      <c r="Q89" s="366"/>
      <c r="R89" s="366"/>
      <c r="S89" s="366"/>
      <c r="T89" s="366"/>
      <c r="U89" s="367"/>
      <c r="V89" s="368"/>
      <c r="W89" s="368"/>
      <c r="X89" s="368"/>
      <c r="Y89" s="373"/>
    </row>
    <row r="90" spans="1:25" ht="22.5" customHeight="1" thickTop="1" thickBot="1">
      <c r="A90" s="368" t="s">
        <v>1320</v>
      </c>
      <c r="B90" s="368" t="s">
        <v>1324</v>
      </c>
      <c r="C90" s="360" t="s">
        <v>1337</v>
      </c>
      <c r="D90" s="360" t="s">
        <v>1337</v>
      </c>
      <c r="E90" s="368" t="s">
        <v>1324</v>
      </c>
      <c r="F90" s="368" t="s">
        <v>1324</v>
      </c>
      <c r="G90" s="360" t="s">
        <v>1324</v>
      </c>
      <c r="H90" s="360" t="s">
        <v>1390</v>
      </c>
      <c r="I90" s="360"/>
      <c r="J90" s="365" t="s">
        <v>1719</v>
      </c>
      <c r="K90" s="366"/>
      <c r="L90" s="366"/>
      <c r="M90" s="366"/>
      <c r="N90" s="366"/>
      <c r="O90" s="366"/>
      <c r="P90" s="366"/>
      <c r="Q90" s="366"/>
      <c r="R90" s="366"/>
      <c r="S90" s="366"/>
      <c r="T90" s="366"/>
      <c r="U90" s="367"/>
      <c r="V90" s="368"/>
      <c r="W90" s="368"/>
      <c r="X90" s="368"/>
      <c r="Y90" s="373"/>
    </row>
    <row r="91" spans="1:25" ht="22.5" customHeight="1" thickTop="1" thickBot="1">
      <c r="A91" s="368" t="s">
        <v>1320</v>
      </c>
      <c r="B91" s="368" t="s">
        <v>1324</v>
      </c>
      <c r="C91" s="360" t="s">
        <v>1337</v>
      </c>
      <c r="D91" s="360" t="s">
        <v>1337</v>
      </c>
      <c r="E91" s="368" t="s">
        <v>1324</v>
      </c>
      <c r="F91" s="368" t="s">
        <v>1324</v>
      </c>
      <c r="G91" s="360" t="s">
        <v>1324</v>
      </c>
      <c r="H91" s="360" t="s">
        <v>1413</v>
      </c>
      <c r="I91" s="360"/>
      <c r="J91" s="365" t="s">
        <v>1720</v>
      </c>
      <c r="K91" s="366"/>
      <c r="L91" s="366"/>
      <c r="M91" s="366"/>
      <c r="N91" s="366"/>
      <c r="O91" s="366"/>
      <c r="P91" s="366"/>
      <c r="Q91" s="366"/>
      <c r="R91" s="366"/>
      <c r="S91" s="366"/>
      <c r="T91" s="366"/>
      <c r="U91" s="367"/>
      <c r="V91" s="368"/>
      <c r="W91" s="368"/>
      <c r="X91" s="368"/>
      <c r="Y91" s="373"/>
    </row>
    <row r="92" spans="1:25" ht="22.5" customHeight="1" thickTop="1" thickBot="1">
      <c r="A92" s="368" t="s">
        <v>1320</v>
      </c>
      <c r="B92" s="368" t="s">
        <v>1324</v>
      </c>
      <c r="C92" s="360" t="s">
        <v>1337</v>
      </c>
      <c r="D92" s="360" t="s">
        <v>1337</v>
      </c>
      <c r="E92" s="368" t="s">
        <v>1324</v>
      </c>
      <c r="F92" s="368" t="s">
        <v>1324</v>
      </c>
      <c r="G92" s="360" t="s">
        <v>1324</v>
      </c>
      <c r="H92" s="360" t="s">
        <v>1417</v>
      </c>
      <c r="I92" s="360"/>
      <c r="J92" s="365" t="s">
        <v>1721</v>
      </c>
      <c r="K92" s="366"/>
      <c r="L92" s="366"/>
      <c r="M92" s="366"/>
      <c r="N92" s="366"/>
      <c r="O92" s="366"/>
      <c r="P92" s="366"/>
      <c r="Q92" s="366"/>
      <c r="R92" s="366"/>
      <c r="S92" s="366"/>
      <c r="T92" s="366"/>
      <c r="U92" s="367"/>
      <c r="V92" s="368"/>
      <c r="W92" s="368"/>
      <c r="X92" s="368"/>
      <c r="Y92" s="373"/>
    </row>
    <row r="93" spans="1:25" ht="22.5" customHeight="1" thickTop="1" thickBot="1">
      <c r="A93" s="368" t="s">
        <v>1320</v>
      </c>
      <c r="B93" s="368" t="s">
        <v>1324</v>
      </c>
      <c r="C93" s="360" t="s">
        <v>1337</v>
      </c>
      <c r="D93" s="360" t="s">
        <v>1337</v>
      </c>
      <c r="E93" s="368" t="s">
        <v>1324</v>
      </c>
      <c r="F93" s="368" t="s">
        <v>1324</v>
      </c>
      <c r="G93" s="360" t="s">
        <v>1324</v>
      </c>
      <c r="H93" s="360" t="s">
        <v>1421</v>
      </c>
      <c r="I93" s="360"/>
      <c r="J93" s="365" t="s">
        <v>1718</v>
      </c>
      <c r="K93" s="366"/>
      <c r="L93" s="366"/>
      <c r="M93" s="366"/>
      <c r="N93" s="366"/>
      <c r="O93" s="366"/>
      <c r="P93" s="366"/>
      <c r="Q93" s="366"/>
      <c r="R93" s="366"/>
      <c r="S93" s="366"/>
      <c r="T93" s="366"/>
      <c r="U93" s="367"/>
      <c r="V93" s="368"/>
      <c r="W93" s="368"/>
      <c r="X93" s="368"/>
      <c r="Y93" s="373"/>
    </row>
    <row r="94" spans="1:25" ht="22.5" customHeight="1" thickTop="1" thickBot="1">
      <c r="A94" s="368" t="s">
        <v>1320</v>
      </c>
      <c r="B94" s="368" t="s">
        <v>1324</v>
      </c>
      <c r="C94" s="360" t="s">
        <v>1337</v>
      </c>
      <c r="D94" s="360" t="s">
        <v>1337</v>
      </c>
      <c r="E94" s="368" t="s">
        <v>1324</v>
      </c>
      <c r="F94" s="368" t="s">
        <v>1324</v>
      </c>
      <c r="G94" s="359" t="s">
        <v>1337</v>
      </c>
      <c r="H94" s="360"/>
      <c r="I94" s="360"/>
      <c r="J94" s="361" t="s">
        <v>1377</v>
      </c>
      <c r="K94" s="366"/>
      <c r="L94" s="366"/>
      <c r="M94" s="366"/>
      <c r="N94" s="366"/>
      <c r="O94" s="366"/>
      <c r="P94" s="366"/>
      <c r="Q94" s="366"/>
      <c r="R94" s="366"/>
      <c r="S94" s="366"/>
      <c r="T94" s="366"/>
      <c r="U94" s="367"/>
      <c r="V94" s="368"/>
      <c r="W94" s="368" t="s">
        <v>1378</v>
      </c>
      <c r="X94" s="368" t="s">
        <v>1379</v>
      </c>
      <c r="Y94" s="373" t="s">
        <v>1322</v>
      </c>
    </row>
    <row r="95" spans="1:25" ht="22.5" customHeight="1" thickTop="1" thickBot="1">
      <c r="A95" s="368" t="s">
        <v>1320</v>
      </c>
      <c r="B95" s="368" t="s">
        <v>1324</v>
      </c>
      <c r="C95" s="360" t="s">
        <v>1337</v>
      </c>
      <c r="D95" s="360" t="s">
        <v>1337</v>
      </c>
      <c r="E95" s="368" t="s">
        <v>1324</v>
      </c>
      <c r="F95" s="368" t="s">
        <v>1324</v>
      </c>
      <c r="G95" s="360" t="s">
        <v>1337</v>
      </c>
      <c r="H95" s="360" t="s">
        <v>1324</v>
      </c>
      <c r="I95" s="360"/>
      <c r="J95" s="365" t="s">
        <v>1380</v>
      </c>
      <c r="K95" s="366"/>
      <c r="L95" s="366"/>
      <c r="M95" s="366"/>
      <c r="N95" s="366"/>
      <c r="O95" s="366"/>
      <c r="P95" s="366"/>
      <c r="Q95" s="366"/>
      <c r="R95" s="366"/>
      <c r="S95" s="366"/>
      <c r="T95" s="366"/>
      <c r="U95" s="367"/>
      <c r="V95" s="368"/>
      <c r="W95" s="368"/>
      <c r="X95" s="368"/>
      <c r="Y95" s="373" t="s">
        <v>1322</v>
      </c>
    </row>
    <row r="96" spans="1:25" ht="22.5" customHeight="1" thickTop="1" thickBot="1">
      <c r="A96" s="368" t="s">
        <v>1320</v>
      </c>
      <c r="B96" s="368" t="s">
        <v>1324</v>
      </c>
      <c r="C96" s="360" t="s">
        <v>1337</v>
      </c>
      <c r="D96" s="360" t="s">
        <v>1337</v>
      </c>
      <c r="E96" s="368" t="s">
        <v>1324</v>
      </c>
      <c r="F96" s="368" t="s">
        <v>1324</v>
      </c>
      <c r="G96" s="360" t="s">
        <v>1337</v>
      </c>
      <c r="H96" s="360" t="s">
        <v>1337</v>
      </c>
      <c r="I96" s="360"/>
      <c r="J96" s="365" t="s">
        <v>1381</v>
      </c>
      <c r="K96" s="366"/>
      <c r="L96" s="366"/>
      <c r="M96" s="366"/>
      <c r="N96" s="366"/>
      <c r="O96" s="366"/>
      <c r="P96" s="366"/>
      <c r="Q96" s="366"/>
      <c r="R96" s="366"/>
      <c r="S96" s="366"/>
      <c r="T96" s="366"/>
      <c r="U96" s="367"/>
      <c r="V96" s="368"/>
      <c r="W96" s="368"/>
      <c r="X96" s="368"/>
      <c r="Y96" s="373" t="s">
        <v>1322</v>
      </c>
    </row>
    <row r="97" spans="1:25" ht="22.5" customHeight="1" thickTop="1" thickBot="1">
      <c r="A97" s="368" t="s">
        <v>1320</v>
      </c>
      <c r="B97" s="368" t="s">
        <v>1324</v>
      </c>
      <c r="C97" s="360" t="s">
        <v>1337</v>
      </c>
      <c r="D97" s="360" t="s">
        <v>1337</v>
      </c>
      <c r="E97" s="368" t="s">
        <v>1324</v>
      </c>
      <c r="F97" s="368" t="s">
        <v>1324</v>
      </c>
      <c r="G97" s="360" t="s">
        <v>1337</v>
      </c>
      <c r="H97" s="360" t="s">
        <v>1361</v>
      </c>
      <c r="I97" s="360"/>
      <c r="J97" s="365" t="s">
        <v>1722</v>
      </c>
      <c r="K97" s="366"/>
      <c r="L97" s="366"/>
      <c r="M97" s="366"/>
      <c r="N97" s="366"/>
      <c r="O97" s="366"/>
      <c r="P97" s="366"/>
      <c r="Q97" s="366"/>
      <c r="R97" s="366"/>
      <c r="S97" s="366"/>
      <c r="T97" s="366"/>
      <c r="U97" s="367"/>
      <c r="V97" s="368"/>
      <c r="W97" s="368"/>
      <c r="X97" s="368"/>
      <c r="Y97" s="373"/>
    </row>
    <row r="98" spans="1:25" ht="22.5" customHeight="1" thickTop="1" thickBot="1">
      <c r="A98" s="368" t="s">
        <v>1320</v>
      </c>
      <c r="B98" s="368" t="s">
        <v>1324</v>
      </c>
      <c r="C98" s="360" t="s">
        <v>1337</v>
      </c>
      <c r="D98" s="360" t="s">
        <v>1337</v>
      </c>
      <c r="E98" s="368" t="s">
        <v>1324</v>
      </c>
      <c r="F98" s="368" t="s">
        <v>1324</v>
      </c>
      <c r="G98" s="360" t="s">
        <v>1337</v>
      </c>
      <c r="H98" s="360" t="s">
        <v>1365</v>
      </c>
      <c r="I98" s="360"/>
      <c r="J98" s="365" t="s">
        <v>1723</v>
      </c>
      <c r="K98" s="366"/>
      <c r="L98" s="366"/>
      <c r="M98" s="366"/>
      <c r="N98" s="366"/>
      <c r="O98" s="366"/>
      <c r="P98" s="366"/>
      <c r="Q98" s="366"/>
      <c r="R98" s="366"/>
      <c r="S98" s="366"/>
      <c r="T98" s="366"/>
      <c r="U98" s="367"/>
      <c r="V98" s="368"/>
      <c r="W98" s="368"/>
      <c r="X98" s="368"/>
      <c r="Y98" s="373"/>
    </row>
    <row r="99" spans="1:25" ht="22.5" customHeight="1" thickTop="1" thickBot="1">
      <c r="A99" s="368" t="s">
        <v>1320</v>
      </c>
      <c r="B99" s="368" t="s">
        <v>1324</v>
      </c>
      <c r="C99" s="360" t="s">
        <v>1337</v>
      </c>
      <c r="D99" s="360" t="s">
        <v>1337</v>
      </c>
      <c r="E99" s="368" t="s">
        <v>1324</v>
      </c>
      <c r="F99" s="368" t="s">
        <v>1324</v>
      </c>
      <c r="G99" s="360" t="s">
        <v>1337</v>
      </c>
      <c r="H99" s="360" t="s">
        <v>1390</v>
      </c>
      <c r="I99" s="360"/>
      <c r="J99" s="365" t="s">
        <v>1724</v>
      </c>
      <c r="K99" s="366"/>
      <c r="L99" s="366"/>
      <c r="M99" s="366"/>
      <c r="N99" s="366"/>
      <c r="O99" s="366"/>
      <c r="P99" s="366"/>
      <c r="Q99" s="366"/>
      <c r="R99" s="366"/>
      <c r="S99" s="366"/>
      <c r="T99" s="366"/>
      <c r="U99" s="367"/>
      <c r="V99" s="368"/>
      <c r="W99" s="368"/>
      <c r="X99" s="368"/>
      <c r="Y99" s="373"/>
    </row>
    <row r="100" spans="1:25" ht="22.5" customHeight="1" thickTop="1" thickBot="1">
      <c r="A100" s="368" t="s">
        <v>1320</v>
      </c>
      <c r="B100" s="368" t="s">
        <v>1324</v>
      </c>
      <c r="C100" s="360" t="s">
        <v>1337</v>
      </c>
      <c r="D100" s="360" t="s">
        <v>1337</v>
      </c>
      <c r="E100" s="368" t="s">
        <v>1324</v>
      </c>
      <c r="F100" s="368" t="s">
        <v>1324</v>
      </c>
      <c r="G100" s="360" t="s">
        <v>1337</v>
      </c>
      <c r="H100" s="360" t="s">
        <v>1413</v>
      </c>
      <c r="I100" s="360"/>
      <c r="J100" s="365" t="s">
        <v>1725</v>
      </c>
      <c r="K100" s="366"/>
      <c r="L100" s="366"/>
      <c r="M100" s="366"/>
      <c r="N100" s="366"/>
      <c r="O100" s="366"/>
      <c r="P100" s="366"/>
      <c r="Q100" s="366"/>
      <c r="R100" s="366"/>
      <c r="S100" s="366"/>
      <c r="T100" s="366"/>
      <c r="U100" s="367"/>
      <c r="V100" s="368"/>
      <c r="W100" s="368"/>
      <c r="X100" s="368"/>
      <c r="Y100" s="373"/>
    </row>
    <row r="101" spans="1:25" ht="22.5" customHeight="1" thickTop="1" thickBot="1">
      <c r="A101" s="368" t="s">
        <v>1320</v>
      </c>
      <c r="B101" s="368" t="s">
        <v>1324</v>
      </c>
      <c r="C101" s="360" t="s">
        <v>1337</v>
      </c>
      <c r="D101" s="360" t="s">
        <v>1337</v>
      </c>
      <c r="E101" s="368" t="s">
        <v>1324</v>
      </c>
      <c r="F101" s="368" t="s">
        <v>1324</v>
      </c>
      <c r="G101" s="360" t="s">
        <v>1337</v>
      </c>
      <c r="H101" s="360" t="s">
        <v>1417</v>
      </c>
      <c r="I101" s="360"/>
      <c r="J101" s="365" t="s">
        <v>1726</v>
      </c>
      <c r="K101" s="366"/>
      <c r="L101" s="366"/>
      <c r="M101" s="366"/>
      <c r="N101" s="366"/>
      <c r="O101" s="366"/>
      <c r="P101" s="366"/>
      <c r="Q101" s="366"/>
      <c r="R101" s="366"/>
      <c r="S101" s="366"/>
      <c r="T101" s="366"/>
      <c r="U101" s="367"/>
      <c r="V101" s="368"/>
      <c r="W101" s="368"/>
      <c r="X101" s="368"/>
      <c r="Y101" s="373"/>
    </row>
    <row r="102" spans="1:25" ht="22.5" customHeight="1" thickTop="1" thickBot="1">
      <c r="A102" s="368" t="s">
        <v>1320</v>
      </c>
      <c r="B102" s="368" t="s">
        <v>1324</v>
      </c>
      <c r="C102" s="360" t="s">
        <v>1337</v>
      </c>
      <c r="D102" s="360" t="s">
        <v>1337</v>
      </c>
      <c r="E102" s="368" t="s">
        <v>1324</v>
      </c>
      <c r="F102" s="368" t="s">
        <v>1324</v>
      </c>
      <c r="G102" s="360" t="s">
        <v>1337</v>
      </c>
      <c r="H102" s="360" t="s">
        <v>1421</v>
      </c>
      <c r="I102" s="360"/>
      <c r="J102" s="365" t="s">
        <v>1723</v>
      </c>
      <c r="K102" s="366"/>
      <c r="L102" s="366"/>
      <c r="M102" s="366"/>
      <c r="N102" s="366"/>
      <c r="O102" s="366"/>
      <c r="P102" s="366"/>
      <c r="Q102" s="366"/>
      <c r="R102" s="366"/>
      <c r="S102" s="366"/>
      <c r="T102" s="366"/>
      <c r="U102" s="367"/>
      <c r="V102" s="368"/>
      <c r="W102" s="368"/>
      <c r="X102" s="368"/>
      <c r="Y102" s="373"/>
    </row>
    <row r="103" spans="1:25" ht="22.5" customHeight="1" thickTop="1" thickBot="1">
      <c r="A103" s="368" t="s">
        <v>1320</v>
      </c>
      <c r="B103" s="368" t="s">
        <v>1324</v>
      </c>
      <c r="C103" s="360" t="s">
        <v>1337</v>
      </c>
      <c r="D103" s="360" t="s">
        <v>1337</v>
      </c>
      <c r="E103" s="368" t="s">
        <v>1324</v>
      </c>
      <c r="F103" s="368" t="s">
        <v>1324</v>
      </c>
      <c r="G103" s="359" t="s">
        <v>1361</v>
      </c>
      <c r="H103" s="360"/>
      <c r="I103" s="360"/>
      <c r="J103" s="361" t="s">
        <v>1382</v>
      </c>
      <c r="K103" s="366"/>
      <c r="L103" s="366"/>
      <c r="M103" s="366"/>
      <c r="N103" s="366"/>
      <c r="O103" s="366"/>
      <c r="P103" s="366"/>
      <c r="Q103" s="366"/>
      <c r="R103" s="366"/>
      <c r="S103" s="366"/>
      <c r="T103" s="366"/>
      <c r="U103" s="367"/>
      <c r="V103" s="368"/>
      <c r="W103" s="368"/>
      <c r="X103" s="368"/>
      <c r="Y103" s="373" t="s">
        <v>1322</v>
      </c>
    </row>
    <row r="104" spans="1:25" ht="22.5" customHeight="1" thickTop="1" thickBot="1">
      <c r="A104" s="368" t="s">
        <v>1320</v>
      </c>
      <c r="B104" s="368" t="s">
        <v>1324</v>
      </c>
      <c r="C104" s="360" t="s">
        <v>1337</v>
      </c>
      <c r="D104" s="360" t="s">
        <v>1337</v>
      </c>
      <c r="E104" s="368" t="s">
        <v>1324</v>
      </c>
      <c r="F104" s="368" t="s">
        <v>1324</v>
      </c>
      <c r="G104" s="360" t="s">
        <v>1361</v>
      </c>
      <c r="H104" s="360" t="s">
        <v>1324</v>
      </c>
      <c r="I104" s="360"/>
      <c r="J104" s="365" t="s">
        <v>1383</v>
      </c>
      <c r="K104" s="366"/>
      <c r="L104" s="366"/>
      <c r="M104" s="366"/>
      <c r="N104" s="366"/>
      <c r="O104" s="366"/>
      <c r="P104" s="366"/>
      <c r="Q104" s="366"/>
      <c r="R104" s="366"/>
      <c r="S104" s="366"/>
      <c r="T104" s="366"/>
      <c r="U104" s="367"/>
      <c r="V104" s="368"/>
      <c r="W104" s="368"/>
      <c r="X104" s="368"/>
      <c r="Y104" s="373" t="s">
        <v>1322</v>
      </c>
    </row>
    <row r="105" spans="1:25" ht="22.5" customHeight="1" thickTop="1" thickBot="1">
      <c r="A105" s="368" t="s">
        <v>1320</v>
      </c>
      <c r="B105" s="368" t="s">
        <v>1324</v>
      </c>
      <c r="C105" s="360" t="s">
        <v>1337</v>
      </c>
      <c r="D105" s="360" t="s">
        <v>1337</v>
      </c>
      <c r="E105" s="368" t="s">
        <v>1324</v>
      </c>
      <c r="F105" s="368" t="s">
        <v>1324</v>
      </c>
      <c r="G105" s="360" t="s">
        <v>1361</v>
      </c>
      <c r="H105" s="360" t="s">
        <v>1337</v>
      </c>
      <c r="I105" s="360"/>
      <c r="J105" s="365" t="s">
        <v>1384</v>
      </c>
      <c r="K105" s="366"/>
      <c r="L105" s="366"/>
      <c r="M105" s="366"/>
      <c r="N105" s="366"/>
      <c r="O105" s="366"/>
      <c r="P105" s="366"/>
      <c r="Q105" s="366"/>
      <c r="R105" s="366"/>
      <c r="S105" s="366"/>
      <c r="T105" s="366"/>
      <c r="U105" s="367"/>
      <c r="V105" s="368"/>
      <c r="W105" s="368"/>
      <c r="X105" s="368"/>
      <c r="Y105" s="373" t="s">
        <v>1322</v>
      </c>
    </row>
    <row r="106" spans="1:25" ht="22.5" customHeight="1" thickTop="1" thickBot="1">
      <c r="A106" s="368" t="s">
        <v>1320</v>
      </c>
      <c r="B106" s="368" t="s">
        <v>1324</v>
      </c>
      <c r="C106" s="360" t="s">
        <v>1337</v>
      </c>
      <c r="D106" s="360" t="s">
        <v>1337</v>
      </c>
      <c r="E106" s="368" t="s">
        <v>1324</v>
      </c>
      <c r="F106" s="368" t="s">
        <v>1324</v>
      </c>
      <c r="G106" s="360" t="s">
        <v>1361</v>
      </c>
      <c r="H106" s="360" t="s">
        <v>1361</v>
      </c>
      <c r="I106" s="360"/>
      <c r="J106" s="365" t="s">
        <v>1727</v>
      </c>
      <c r="K106" s="366"/>
      <c r="L106" s="366"/>
      <c r="M106" s="366"/>
      <c r="N106" s="366"/>
      <c r="O106" s="366"/>
      <c r="P106" s="366"/>
      <c r="Q106" s="366"/>
      <c r="R106" s="366"/>
      <c r="S106" s="366"/>
      <c r="T106" s="366"/>
      <c r="U106" s="367"/>
      <c r="V106" s="368"/>
      <c r="W106" s="368"/>
      <c r="X106" s="368"/>
      <c r="Y106" s="373"/>
    </row>
    <row r="107" spans="1:25" ht="22.5" customHeight="1" thickTop="1" thickBot="1">
      <c r="A107" s="368" t="s">
        <v>1320</v>
      </c>
      <c r="B107" s="368" t="s">
        <v>1324</v>
      </c>
      <c r="C107" s="360" t="s">
        <v>1337</v>
      </c>
      <c r="D107" s="360" t="s">
        <v>1337</v>
      </c>
      <c r="E107" s="368" t="s">
        <v>1324</v>
      </c>
      <c r="F107" s="368" t="s">
        <v>1324</v>
      </c>
      <c r="G107" s="360" t="s">
        <v>1361</v>
      </c>
      <c r="H107" s="360" t="s">
        <v>1365</v>
      </c>
      <c r="I107" s="360"/>
      <c r="J107" s="365" t="s">
        <v>1728</v>
      </c>
      <c r="K107" s="366"/>
      <c r="L107" s="366"/>
      <c r="M107" s="366"/>
      <c r="N107" s="366"/>
      <c r="O107" s="366"/>
      <c r="P107" s="366"/>
      <c r="Q107" s="366"/>
      <c r="R107" s="366"/>
      <c r="S107" s="366"/>
      <c r="T107" s="366"/>
      <c r="U107" s="367"/>
      <c r="V107" s="368"/>
      <c r="W107" s="368"/>
      <c r="X107" s="368"/>
      <c r="Y107" s="373"/>
    </row>
    <row r="108" spans="1:25" ht="22.5" customHeight="1" thickTop="1" thickBot="1">
      <c r="A108" s="368" t="s">
        <v>1320</v>
      </c>
      <c r="B108" s="368" t="s">
        <v>1324</v>
      </c>
      <c r="C108" s="360" t="s">
        <v>1337</v>
      </c>
      <c r="D108" s="360" t="s">
        <v>1337</v>
      </c>
      <c r="E108" s="368" t="s">
        <v>1324</v>
      </c>
      <c r="F108" s="368" t="s">
        <v>1324</v>
      </c>
      <c r="G108" s="360" t="s">
        <v>1361</v>
      </c>
      <c r="H108" s="360" t="s">
        <v>1390</v>
      </c>
      <c r="I108" s="360"/>
      <c r="J108" s="365" t="s">
        <v>1729</v>
      </c>
      <c r="K108" s="366"/>
      <c r="L108" s="366"/>
      <c r="M108" s="366"/>
      <c r="N108" s="366"/>
      <c r="O108" s="366"/>
      <c r="P108" s="366"/>
      <c r="Q108" s="366"/>
      <c r="R108" s="366"/>
      <c r="S108" s="366"/>
      <c r="T108" s="366"/>
      <c r="U108" s="367"/>
      <c r="V108" s="368"/>
      <c r="W108" s="368"/>
      <c r="X108" s="368"/>
      <c r="Y108" s="373"/>
    </row>
    <row r="109" spans="1:25" ht="22.5" customHeight="1" thickTop="1" thickBot="1">
      <c r="A109" s="368" t="s">
        <v>1320</v>
      </c>
      <c r="B109" s="368" t="s">
        <v>1324</v>
      </c>
      <c r="C109" s="360" t="s">
        <v>1337</v>
      </c>
      <c r="D109" s="360" t="s">
        <v>1337</v>
      </c>
      <c r="E109" s="368" t="s">
        <v>1324</v>
      </c>
      <c r="F109" s="368" t="s">
        <v>1324</v>
      </c>
      <c r="G109" s="360" t="s">
        <v>1361</v>
      </c>
      <c r="H109" s="360" t="s">
        <v>1413</v>
      </c>
      <c r="I109" s="360"/>
      <c r="J109" s="365" t="s">
        <v>1730</v>
      </c>
      <c r="K109" s="366"/>
      <c r="L109" s="366"/>
      <c r="M109" s="366"/>
      <c r="N109" s="366"/>
      <c r="O109" s="366"/>
      <c r="P109" s="366"/>
      <c r="Q109" s="366"/>
      <c r="R109" s="366"/>
      <c r="S109" s="366"/>
      <c r="T109" s="366"/>
      <c r="U109" s="367"/>
      <c r="V109" s="368"/>
      <c r="W109" s="368"/>
      <c r="X109" s="368"/>
      <c r="Y109" s="373"/>
    </row>
    <row r="110" spans="1:25" ht="22.5" customHeight="1" thickTop="1" thickBot="1">
      <c r="A110" s="368" t="s">
        <v>1320</v>
      </c>
      <c r="B110" s="368" t="s">
        <v>1324</v>
      </c>
      <c r="C110" s="360" t="s">
        <v>1337</v>
      </c>
      <c r="D110" s="360" t="s">
        <v>1337</v>
      </c>
      <c r="E110" s="368" t="s">
        <v>1324</v>
      </c>
      <c r="F110" s="368" t="s">
        <v>1324</v>
      </c>
      <c r="G110" s="360" t="s">
        <v>1361</v>
      </c>
      <c r="H110" s="360" t="s">
        <v>1417</v>
      </c>
      <c r="I110" s="360"/>
      <c r="J110" s="365" t="s">
        <v>1731</v>
      </c>
      <c r="K110" s="366"/>
      <c r="L110" s="366"/>
      <c r="M110" s="366"/>
      <c r="N110" s="366"/>
      <c r="O110" s="366"/>
      <c r="P110" s="366"/>
      <c r="Q110" s="366"/>
      <c r="R110" s="366"/>
      <c r="S110" s="366"/>
      <c r="T110" s="366"/>
      <c r="U110" s="367"/>
      <c r="V110" s="368"/>
      <c r="W110" s="368"/>
      <c r="X110" s="368"/>
      <c r="Y110" s="373"/>
    </row>
    <row r="111" spans="1:25" ht="22.5" customHeight="1" thickTop="1" thickBot="1">
      <c r="A111" s="368" t="s">
        <v>1320</v>
      </c>
      <c r="B111" s="368" t="s">
        <v>1324</v>
      </c>
      <c r="C111" s="360" t="s">
        <v>1337</v>
      </c>
      <c r="D111" s="360" t="s">
        <v>1337</v>
      </c>
      <c r="E111" s="368" t="s">
        <v>1324</v>
      </c>
      <c r="F111" s="368" t="s">
        <v>1324</v>
      </c>
      <c r="G111" s="360" t="s">
        <v>1361</v>
      </c>
      <c r="H111" s="360" t="s">
        <v>1421</v>
      </c>
      <c r="I111" s="360"/>
      <c r="J111" s="365" t="s">
        <v>1728</v>
      </c>
      <c r="K111" s="366"/>
      <c r="L111" s="366"/>
      <c r="M111" s="366"/>
      <c r="N111" s="366"/>
      <c r="O111" s="366"/>
      <c r="P111" s="366"/>
      <c r="Q111" s="366"/>
      <c r="R111" s="366"/>
      <c r="S111" s="366"/>
      <c r="T111" s="366"/>
      <c r="U111" s="367"/>
      <c r="V111" s="368"/>
      <c r="W111" s="368"/>
      <c r="X111" s="368"/>
      <c r="Y111" s="373"/>
    </row>
    <row r="112" spans="1:25" ht="22.5" customHeight="1" thickTop="1" thickBot="1">
      <c r="A112" s="368" t="s">
        <v>1320</v>
      </c>
      <c r="B112" s="368" t="s">
        <v>1324</v>
      </c>
      <c r="C112" s="360" t="s">
        <v>1337</v>
      </c>
      <c r="D112" s="360" t="s">
        <v>1337</v>
      </c>
      <c r="E112" s="368" t="s">
        <v>1324</v>
      </c>
      <c r="F112" s="368" t="s">
        <v>1324</v>
      </c>
      <c r="G112" s="359" t="s">
        <v>1365</v>
      </c>
      <c r="H112" s="360"/>
      <c r="I112" s="360"/>
      <c r="J112" s="361" t="s">
        <v>1385</v>
      </c>
      <c r="K112" s="366"/>
      <c r="L112" s="366"/>
      <c r="M112" s="366"/>
      <c r="N112" s="366"/>
      <c r="O112" s="366"/>
      <c r="P112" s="366"/>
      <c r="Q112" s="366"/>
      <c r="R112" s="366"/>
      <c r="S112" s="366"/>
      <c r="T112" s="366"/>
      <c r="U112" s="367"/>
      <c r="V112" s="368"/>
      <c r="W112" s="368" t="s">
        <v>1386</v>
      </c>
      <c r="X112" s="368" t="s">
        <v>1387</v>
      </c>
      <c r="Y112" s="373" t="s">
        <v>1322</v>
      </c>
    </row>
    <row r="113" spans="1:25" ht="22.5" customHeight="1" thickTop="1" thickBot="1">
      <c r="A113" s="368" t="s">
        <v>1320</v>
      </c>
      <c r="B113" s="368" t="s">
        <v>1324</v>
      </c>
      <c r="C113" s="360" t="s">
        <v>1337</v>
      </c>
      <c r="D113" s="360" t="s">
        <v>1337</v>
      </c>
      <c r="E113" s="368" t="s">
        <v>1324</v>
      </c>
      <c r="F113" s="368" t="s">
        <v>1324</v>
      </c>
      <c r="G113" s="360" t="s">
        <v>1365</v>
      </c>
      <c r="H113" s="360" t="s">
        <v>1324</v>
      </c>
      <c r="I113" s="360"/>
      <c r="J113" s="365" t="s">
        <v>1388</v>
      </c>
      <c r="K113" s="366"/>
      <c r="L113" s="366"/>
      <c r="M113" s="366"/>
      <c r="N113" s="366"/>
      <c r="O113" s="366"/>
      <c r="P113" s="366"/>
      <c r="Q113" s="366"/>
      <c r="R113" s="366"/>
      <c r="S113" s="366"/>
      <c r="T113" s="366"/>
      <c r="U113" s="367"/>
      <c r="V113" s="368"/>
      <c r="W113" s="368"/>
      <c r="X113" s="368"/>
      <c r="Y113" s="373" t="s">
        <v>1322</v>
      </c>
    </row>
    <row r="114" spans="1:25" ht="22.5" customHeight="1" thickTop="1" thickBot="1">
      <c r="A114" s="368" t="s">
        <v>1320</v>
      </c>
      <c r="B114" s="368" t="s">
        <v>1324</v>
      </c>
      <c r="C114" s="360" t="s">
        <v>1337</v>
      </c>
      <c r="D114" s="360" t="s">
        <v>1337</v>
      </c>
      <c r="E114" s="368" t="s">
        <v>1324</v>
      </c>
      <c r="F114" s="368" t="s">
        <v>1324</v>
      </c>
      <c r="G114" s="360" t="s">
        <v>1365</v>
      </c>
      <c r="H114" s="360" t="s">
        <v>1337</v>
      </c>
      <c r="I114" s="360"/>
      <c r="J114" s="365" t="s">
        <v>1389</v>
      </c>
      <c r="K114" s="366"/>
      <c r="L114" s="366"/>
      <c r="M114" s="366"/>
      <c r="N114" s="366"/>
      <c r="O114" s="366"/>
      <c r="P114" s="366"/>
      <c r="Q114" s="366"/>
      <c r="R114" s="366"/>
      <c r="S114" s="366"/>
      <c r="T114" s="366"/>
      <c r="U114" s="367"/>
      <c r="V114" s="368"/>
      <c r="W114" s="368"/>
      <c r="X114" s="368"/>
      <c r="Y114" s="373" t="s">
        <v>1322</v>
      </c>
    </row>
    <row r="115" spans="1:25" ht="22.5" customHeight="1" thickTop="1" thickBot="1">
      <c r="A115" s="368" t="s">
        <v>1320</v>
      </c>
      <c r="B115" s="368" t="s">
        <v>1324</v>
      </c>
      <c r="C115" s="360" t="s">
        <v>1337</v>
      </c>
      <c r="D115" s="360" t="s">
        <v>1337</v>
      </c>
      <c r="E115" s="368" t="s">
        <v>1324</v>
      </c>
      <c r="F115" s="368" t="s">
        <v>1324</v>
      </c>
      <c r="G115" s="360" t="s">
        <v>1365</v>
      </c>
      <c r="H115" s="360" t="s">
        <v>1361</v>
      </c>
      <c r="I115" s="360"/>
      <c r="J115" s="365" t="s">
        <v>1732</v>
      </c>
      <c r="K115" s="366"/>
      <c r="L115" s="366"/>
      <c r="M115" s="366"/>
      <c r="N115" s="366"/>
      <c r="O115" s="366"/>
      <c r="P115" s="366"/>
      <c r="Q115" s="366"/>
      <c r="R115" s="366"/>
      <c r="S115" s="366"/>
      <c r="T115" s="366"/>
      <c r="U115" s="367"/>
      <c r="V115" s="368"/>
      <c r="W115" s="368"/>
      <c r="X115" s="368"/>
      <c r="Y115" s="373"/>
    </row>
    <row r="116" spans="1:25" ht="22.5" customHeight="1" thickTop="1" thickBot="1">
      <c r="A116" s="368" t="s">
        <v>1320</v>
      </c>
      <c r="B116" s="368" t="s">
        <v>1324</v>
      </c>
      <c r="C116" s="360" t="s">
        <v>1337</v>
      </c>
      <c r="D116" s="360" t="s">
        <v>1337</v>
      </c>
      <c r="E116" s="368" t="s">
        <v>1324</v>
      </c>
      <c r="F116" s="368" t="s">
        <v>1324</v>
      </c>
      <c r="G116" s="360" t="s">
        <v>1365</v>
      </c>
      <c r="H116" s="360" t="s">
        <v>1365</v>
      </c>
      <c r="I116" s="360"/>
      <c r="J116" s="365" t="s">
        <v>1733</v>
      </c>
      <c r="K116" s="366"/>
      <c r="L116" s="366"/>
      <c r="M116" s="366"/>
      <c r="N116" s="366"/>
      <c r="O116" s="366"/>
      <c r="P116" s="366"/>
      <c r="Q116" s="366"/>
      <c r="R116" s="366"/>
      <c r="S116" s="366"/>
      <c r="T116" s="366"/>
      <c r="U116" s="367"/>
      <c r="V116" s="368"/>
      <c r="W116" s="368"/>
      <c r="X116" s="368"/>
      <c r="Y116" s="373"/>
    </row>
    <row r="117" spans="1:25" ht="22.5" customHeight="1" thickTop="1" thickBot="1">
      <c r="A117" s="368" t="s">
        <v>1320</v>
      </c>
      <c r="B117" s="368" t="s">
        <v>1324</v>
      </c>
      <c r="C117" s="360" t="s">
        <v>1337</v>
      </c>
      <c r="D117" s="360" t="s">
        <v>1337</v>
      </c>
      <c r="E117" s="368" t="s">
        <v>1324</v>
      </c>
      <c r="F117" s="368" t="s">
        <v>1324</v>
      </c>
      <c r="G117" s="360" t="s">
        <v>1365</v>
      </c>
      <c r="H117" s="360" t="s">
        <v>1390</v>
      </c>
      <c r="I117" s="360"/>
      <c r="J117" s="365" t="s">
        <v>1734</v>
      </c>
      <c r="K117" s="366"/>
      <c r="L117" s="366"/>
      <c r="M117" s="366"/>
      <c r="N117" s="366"/>
      <c r="O117" s="366"/>
      <c r="P117" s="366"/>
      <c r="Q117" s="366"/>
      <c r="R117" s="366"/>
      <c r="S117" s="366"/>
      <c r="T117" s="366"/>
      <c r="U117" s="367"/>
      <c r="V117" s="368"/>
      <c r="W117" s="368"/>
      <c r="X117" s="368"/>
      <c r="Y117" s="373"/>
    </row>
    <row r="118" spans="1:25" ht="22.5" customHeight="1" thickTop="1" thickBot="1">
      <c r="A118" s="368" t="s">
        <v>1320</v>
      </c>
      <c r="B118" s="368" t="s">
        <v>1324</v>
      </c>
      <c r="C118" s="360" t="s">
        <v>1337</v>
      </c>
      <c r="D118" s="360" t="s">
        <v>1337</v>
      </c>
      <c r="E118" s="368" t="s">
        <v>1324</v>
      </c>
      <c r="F118" s="368" t="s">
        <v>1324</v>
      </c>
      <c r="G118" s="360" t="s">
        <v>1365</v>
      </c>
      <c r="H118" s="360" t="s">
        <v>1413</v>
      </c>
      <c r="I118" s="360"/>
      <c r="J118" s="365" t="s">
        <v>1735</v>
      </c>
      <c r="K118" s="366"/>
      <c r="L118" s="366"/>
      <c r="M118" s="366"/>
      <c r="N118" s="366"/>
      <c r="O118" s="366"/>
      <c r="P118" s="366"/>
      <c r="Q118" s="366"/>
      <c r="R118" s="366"/>
      <c r="S118" s="366"/>
      <c r="T118" s="366"/>
      <c r="U118" s="367"/>
      <c r="V118" s="368"/>
      <c r="W118" s="368"/>
      <c r="X118" s="368"/>
      <c r="Y118" s="373"/>
    </row>
    <row r="119" spans="1:25" ht="22.5" customHeight="1" thickTop="1" thickBot="1">
      <c r="A119" s="368" t="s">
        <v>1320</v>
      </c>
      <c r="B119" s="368" t="s">
        <v>1324</v>
      </c>
      <c r="C119" s="360" t="s">
        <v>1337</v>
      </c>
      <c r="D119" s="360" t="s">
        <v>1337</v>
      </c>
      <c r="E119" s="368" t="s">
        <v>1324</v>
      </c>
      <c r="F119" s="368" t="s">
        <v>1324</v>
      </c>
      <c r="G119" s="360" t="s">
        <v>1365</v>
      </c>
      <c r="H119" s="360" t="s">
        <v>1417</v>
      </c>
      <c r="I119" s="360"/>
      <c r="J119" s="365" t="s">
        <v>1736</v>
      </c>
      <c r="K119" s="366"/>
      <c r="L119" s="366"/>
      <c r="M119" s="366"/>
      <c r="N119" s="366"/>
      <c r="O119" s="366"/>
      <c r="P119" s="366"/>
      <c r="Q119" s="366"/>
      <c r="R119" s="366"/>
      <c r="S119" s="366"/>
      <c r="T119" s="366"/>
      <c r="U119" s="367"/>
      <c r="V119" s="368"/>
      <c r="W119" s="368"/>
      <c r="X119" s="368"/>
      <c r="Y119" s="373"/>
    </row>
    <row r="120" spans="1:25" ht="22.5" customHeight="1" thickTop="1" thickBot="1">
      <c r="A120" s="368" t="s">
        <v>1320</v>
      </c>
      <c r="B120" s="368" t="s">
        <v>1324</v>
      </c>
      <c r="C120" s="360" t="s">
        <v>1337</v>
      </c>
      <c r="D120" s="360" t="s">
        <v>1337</v>
      </c>
      <c r="E120" s="368" t="s">
        <v>1324</v>
      </c>
      <c r="F120" s="368" t="s">
        <v>1324</v>
      </c>
      <c r="G120" s="360" t="s">
        <v>1365</v>
      </c>
      <c r="H120" s="360" t="s">
        <v>1421</v>
      </c>
      <c r="I120" s="360"/>
      <c r="J120" s="365" t="s">
        <v>1733</v>
      </c>
      <c r="K120" s="366"/>
      <c r="L120" s="366"/>
      <c r="M120" s="366"/>
      <c r="N120" s="366"/>
      <c r="O120" s="366"/>
      <c r="P120" s="366"/>
      <c r="Q120" s="366"/>
      <c r="R120" s="366"/>
      <c r="S120" s="366"/>
      <c r="T120" s="366"/>
      <c r="U120" s="367"/>
      <c r="V120" s="368"/>
      <c r="W120" s="368"/>
      <c r="X120" s="368"/>
      <c r="Y120" s="373"/>
    </row>
    <row r="121" spans="1:25" ht="22.5" customHeight="1" thickTop="1" thickBot="1">
      <c r="A121" s="368" t="s">
        <v>1320</v>
      </c>
      <c r="B121" s="368" t="s">
        <v>1324</v>
      </c>
      <c r="C121" s="360" t="s">
        <v>1337</v>
      </c>
      <c r="D121" s="360" t="s">
        <v>1337</v>
      </c>
      <c r="E121" s="368" t="s">
        <v>1324</v>
      </c>
      <c r="F121" s="368" t="s">
        <v>1324</v>
      </c>
      <c r="G121" s="359" t="s">
        <v>1390</v>
      </c>
      <c r="H121" s="360"/>
      <c r="I121" s="360"/>
      <c r="J121" s="361" t="s">
        <v>1391</v>
      </c>
      <c r="K121" s="371"/>
      <c r="L121" s="371"/>
      <c r="M121" s="371"/>
      <c r="N121" s="371"/>
      <c r="O121" s="371"/>
      <c r="P121" s="371"/>
      <c r="Q121" s="371"/>
      <c r="R121" s="371"/>
      <c r="S121" s="371"/>
      <c r="T121" s="371"/>
      <c r="U121" s="372"/>
      <c r="V121" s="368"/>
      <c r="W121" s="368"/>
      <c r="X121" s="368"/>
      <c r="Y121" s="373" t="s">
        <v>1322</v>
      </c>
    </row>
    <row r="122" spans="1:25" ht="22.5" customHeight="1" thickTop="1" thickBot="1">
      <c r="A122" s="368" t="s">
        <v>1320</v>
      </c>
      <c r="B122" s="368" t="s">
        <v>1324</v>
      </c>
      <c r="C122" s="360" t="s">
        <v>1337</v>
      </c>
      <c r="D122" s="360" t="s">
        <v>1337</v>
      </c>
      <c r="E122" s="368" t="s">
        <v>1324</v>
      </c>
      <c r="F122" s="368" t="s">
        <v>1324</v>
      </c>
      <c r="G122" s="360" t="s">
        <v>1390</v>
      </c>
      <c r="H122" s="360" t="s">
        <v>1324</v>
      </c>
      <c r="I122" s="360"/>
      <c r="J122" s="365" t="s">
        <v>1392</v>
      </c>
      <c r="K122" s="371"/>
      <c r="L122" s="371"/>
      <c r="M122" s="371"/>
      <c r="N122" s="371"/>
      <c r="O122" s="371"/>
      <c r="P122" s="371"/>
      <c r="Q122" s="371"/>
      <c r="R122" s="371"/>
      <c r="S122" s="371"/>
      <c r="T122" s="371"/>
      <c r="U122" s="372"/>
      <c r="V122" s="368"/>
      <c r="W122" s="368"/>
      <c r="X122" s="368"/>
      <c r="Y122" s="373" t="s">
        <v>1322</v>
      </c>
    </row>
    <row r="123" spans="1:25" ht="22.5" customHeight="1" thickTop="1" thickBot="1">
      <c r="A123" s="368" t="s">
        <v>1320</v>
      </c>
      <c r="B123" s="368" t="s">
        <v>1324</v>
      </c>
      <c r="C123" s="360" t="s">
        <v>1337</v>
      </c>
      <c r="D123" s="360" t="s">
        <v>1337</v>
      </c>
      <c r="E123" s="368" t="s">
        <v>1324</v>
      </c>
      <c r="F123" s="368" t="s">
        <v>1324</v>
      </c>
      <c r="G123" s="360" t="s">
        <v>1390</v>
      </c>
      <c r="H123" s="360" t="s">
        <v>1337</v>
      </c>
      <c r="I123" s="360"/>
      <c r="J123" s="365" t="s">
        <v>1393</v>
      </c>
      <c r="K123" s="371"/>
      <c r="L123" s="371"/>
      <c r="M123" s="371"/>
      <c r="N123" s="371"/>
      <c r="O123" s="371"/>
      <c r="P123" s="371"/>
      <c r="Q123" s="371"/>
      <c r="R123" s="371"/>
      <c r="S123" s="371"/>
      <c r="T123" s="371"/>
      <c r="U123" s="372"/>
      <c r="V123" s="368"/>
      <c r="W123" s="368"/>
      <c r="X123" s="368"/>
      <c r="Y123" s="373" t="s">
        <v>1322</v>
      </c>
    </row>
    <row r="124" spans="1:25" ht="22.5" customHeight="1" thickTop="1" thickBot="1">
      <c r="A124" s="368" t="s">
        <v>1320</v>
      </c>
      <c r="B124" s="368" t="s">
        <v>1324</v>
      </c>
      <c r="C124" s="360" t="s">
        <v>1337</v>
      </c>
      <c r="D124" s="360" t="s">
        <v>1337</v>
      </c>
      <c r="E124" s="368" t="s">
        <v>1324</v>
      </c>
      <c r="F124" s="368" t="s">
        <v>1324</v>
      </c>
      <c r="G124" s="360" t="s">
        <v>1390</v>
      </c>
      <c r="H124" s="360" t="s">
        <v>1361</v>
      </c>
      <c r="I124" s="360"/>
      <c r="J124" s="365" t="s">
        <v>1742</v>
      </c>
      <c r="K124" s="371"/>
      <c r="L124" s="371"/>
      <c r="M124" s="371"/>
      <c r="N124" s="371"/>
      <c r="O124" s="371"/>
      <c r="P124" s="371"/>
      <c r="Q124" s="371"/>
      <c r="R124" s="371"/>
      <c r="S124" s="371"/>
      <c r="T124" s="371"/>
      <c r="U124" s="372"/>
      <c r="V124" s="368"/>
      <c r="W124" s="368"/>
      <c r="X124" s="368"/>
      <c r="Y124" s="373"/>
    </row>
    <row r="125" spans="1:25" ht="22.5" customHeight="1" thickTop="1" thickBot="1">
      <c r="A125" s="368" t="s">
        <v>1320</v>
      </c>
      <c r="B125" s="368" t="s">
        <v>1324</v>
      </c>
      <c r="C125" s="360" t="s">
        <v>1337</v>
      </c>
      <c r="D125" s="360" t="s">
        <v>1337</v>
      </c>
      <c r="E125" s="368" t="s">
        <v>1324</v>
      </c>
      <c r="F125" s="368" t="s">
        <v>1324</v>
      </c>
      <c r="G125" s="360" t="s">
        <v>1390</v>
      </c>
      <c r="H125" s="360" t="s">
        <v>1365</v>
      </c>
      <c r="I125" s="360"/>
      <c r="J125" s="365" t="s">
        <v>1743</v>
      </c>
      <c r="K125" s="371"/>
      <c r="L125" s="371"/>
      <c r="M125" s="371"/>
      <c r="N125" s="371"/>
      <c r="O125" s="371"/>
      <c r="P125" s="371"/>
      <c r="Q125" s="371"/>
      <c r="R125" s="371"/>
      <c r="S125" s="371"/>
      <c r="T125" s="371"/>
      <c r="U125" s="372"/>
      <c r="V125" s="368"/>
      <c r="W125" s="368"/>
      <c r="X125" s="368"/>
      <c r="Y125" s="373"/>
    </row>
    <row r="126" spans="1:25" ht="22.5" customHeight="1" thickTop="1" thickBot="1">
      <c r="A126" s="368" t="s">
        <v>1320</v>
      </c>
      <c r="B126" s="368" t="s">
        <v>1324</v>
      </c>
      <c r="C126" s="360" t="s">
        <v>1337</v>
      </c>
      <c r="D126" s="360" t="s">
        <v>1337</v>
      </c>
      <c r="E126" s="368" t="s">
        <v>1324</v>
      </c>
      <c r="F126" s="368" t="s">
        <v>1324</v>
      </c>
      <c r="G126" s="360" t="s">
        <v>1390</v>
      </c>
      <c r="H126" s="360" t="s">
        <v>1390</v>
      </c>
      <c r="I126" s="360"/>
      <c r="J126" s="365" t="s">
        <v>1744</v>
      </c>
      <c r="K126" s="371"/>
      <c r="L126" s="371"/>
      <c r="M126" s="371"/>
      <c r="N126" s="371"/>
      <c r="O126" s="371"/>
      <c r="P126" s="371"/>
      <c r="Q126" s="371"/>
      <c r="R126" s="371"/>
      <c r="S126" s="371"/>
      <c r="T126" s="371"/>
      <c r="U126" s="372"/>
      <c r="V126" s="368"/>
      <c r="W126" s="368"/>
      <c r="X126" s="368"/>
      <c r="Y126" s="373"/>
    </row>
    <row r="127" spans="1:25" ht="22.5" customHeight="1" thickTop="1" thickBot="1">
      <c r="A127" s="368" t="s">
        <v>1320</v>
      </c>
      <c r="B127" s="368" t="s">
        <v>1324</v>
      </c>
      <c r="C127" s="360" t="s">
        <v>1337</v>
      </c>
      <c r="D127" s="360" t="s">
        <v>1337</v>
      </c>
      <c r="E127" s="368" t="s">
        <v>1324</v>
      </c>
      <c r="F127" s="368" t="s">
        <v>1324</v>
      </c>
      <c r="G127" s="360" t="s">
        <v>1390</v>
      </c>
      <c r="H127" s="360" t="s">
        <v>1413</v>
      </c>
      <c r="I127" s="360"/>
      <c r="J127" s="365" t="s">
        <v>1745</v>
      </c>
      <c r="K127" s="371"/>
      <c r="L127" s="371"/>
      <c r="M127" s="371"/>
      <c r="N127" s="371"/>
      <c r="O127" s="371"/>
      <c r="P127" s="371"/>
      <c r="Q127" s="371"/>
      <c r="R127" s="371"/>
      <c r="S127" s="371"/>
      <c r="T127" s="371"/>
      <c r="U127" s="372"/>
      <c r="V127" s="368"/>
      <c r="W127" s="368"/>
      <c r="X127" s="368"/>
      <c r="Y127" s="373"/>
    </row>
    <row r="128" spans="1:25" ht="22.5" customHeight="1" thickTop="1" thickBot="1">
      <c r="A128" s="368" t="s">
        <v>1320</v>
      </c>
      <c r="B128" s="368" t="s">
        <v>1324</v>
      </c>
      <c r="C128" s="360" t="s">
        <v>1337</v>
      </c>
      <c r="D128" s="360" t="s">
        <v>1337</v>
      </c>
      <c r="E128" s="368" t="s">
        <v>1324</v>
      </c>
      <c r="F128" s="368" t="s">
        <v>1324</v>
      </c>
      <c r="G128" s="360" t="s">
        <v>1390</v>
      </c>
      <c r="H128" s="360" t="s">
        <v>1417</v>
      </c>
      <c r="I128" s="360"/>
      <c r="J128" s="365" t="s">
        <v>1746</v>
      </c>
      <c r="K128" s="371"/>
      <c r="L128" s="371"/>
      <c r="M128" s="371"/>
      <c r="N128" s="371"/>
      <c r="O128" s="371"/>
      <c r="P128" s="371"/>
      <c r="Q128" s="371"/>
      <c r="R128" s="371"/>
      <c r="S128" s="371"/>
      <c r="T128" s="371"/>
      <c r="U128" s="372"/>
      <c r="V128" s="368"/>
      <c r="W128" s="368"/>
      <c r="X128" s="368"/>
      <c r="Y128" s="373"/>
    </row>
    <row r="129" spans="1:25" ht="22.5" customHeight="1" thickTop="1" thickBot="1">
      <c r="A129" s="368" t="s">
        <v>1320</v>
      </c>
      <c r="B129" s="368" t="s">
        <v>1324</v>
      </c>
      <c r="C129" s="360" t="s">
        <v>1337</v>
      </c>
      <c r="D129" s="360" t="s">
        <v>1337</v>
      </c>
      <c r="E129" s="368" t="s">
        <v>1324</v>
      </c>
      <c r="F129" s="368" t="s">
        <v>1324</v>
      </c>
      <c r="G129" s="360" t="s">
        <v>1390</v>
      </c>
      <c r="H129" s="360" t="s">
        <v>1421</v>
      </c>
      <c r="I129" s="360"/>
      <c r="J129" s="365" t="s">
        <v>1743</v>
      </c>
      <c r="K129" s="371"/>
      <c r="L129" s="371"/>
      <c r="M129" s="371"/>
      <c r="N129" s="371"/>
      <c r="O129" s="371"/>
      <c r="P129" s="371"/>
      <c r="Q129" s="371"/>
      <c r="R129" s="371"/>
      <c r="S129" s="371"/>
      <c r="T129" s="371"/>
      <c r="U129" s="372"/>
      <c r="V129" s="368"/>
      <c r="W129" s="368"/>
      <c r="X129" s="368"/>
      <c r="Y129" s="373"/>
    </row>
    <row r="130" spans="1:25" ht="22.5" customHeight="1" thickTop="1" thickBot="1">
      <c r="A130" s="353">
        <v>1</v>
      </c>
      <c r="B130" s="354" t="s">
        <v>1324</v>
      </c>
      <c r="C130" s="354" t="s">
        <v>1337</v>
      </c>
      <c r="D130" s="354" t="s">
        <v>1337</v>
      </c>
      <c r="E130" s="354" t="s">
        <v>1337</v>
      </c>
      <c r="F130" s="355"/>
      <c r="G130" s="355"/>
      <c r="H130" s="355"/>
      <c r="I130" s="355"/>
      <c r="J130" s="356" t="s">
        <v>1394</v>
      </c>
      <c r="K130" s="374"/>
      <c r="L130" s="374"/>
      <c r="M130" s="374"/>
      <c r="N130" s="374"/>
      <c r="O130" s="374"/>
      <c r="P130" s="374"/>
      <c r="Q130" s="374"/>
      <c r="R130" s="374"/>
      <c r="S130" s="374"/>
      <c r="T130" s="374"/>
      <c r="U130" s="358"/>
      <c r="V130" s="354"/>
      <c r="W130" s="353" t="s">
        <v>1395</v>
      </c>
      <c r="X130" s="353" t="s">
        <v>1396</v>
      </c>
      <c r="Y130" s="340" t="s">
        <v>1322</v>
      </c>
    </row>
    <row r="131" spans="1:25" ht="22.5" customHeight="1" thickTop="1" thickBot="1">
      <c r="A131" s="368">
        <v>1</v>
      </c>
      <c r="B131" s="368" t="s">
        <v>1324</v>
      </c>
      <c r="C131" s="360" t="s">
        <v>1337</v>
      </c>
      <c r="D131" s="360" t="s">
        <v>1337</v>
      </c>
      <c r="E131" s="368" t="s">
        <v>1337</v>
      </c>
      <c r="F131" s="359" t="s">
        <v>1324</v>
      </c>
      <c r="G131" s="360"/>
      <c r="H131" s="360"/>
      <c r="I131" s="360"/>
      <c r="J131" s="361" t="s">
        <v>1397</v>
      </c>
      <c r="K131" s="375"/>
      <c r="L131" s="375"/>
      <c r="M131" s="375"/>
      <c r="N131" s="375"/>
      <c r="O131" s="375"/>
      <c r="P131" s="375"/>
      <c r="Q131" s="375"/>
      <c r="R131" s="375"/>
      <c r="S131" s="375"/>
      <c r="T131" s="375"/>
      <c r="U131" s="370"/>
      <c r="V131" s="359"/>
      <c r="W131" s="368" t="s">
        <v>1398</v>
      </c>
      <c r="X131" s="368"/>
      <c r="Y131" s="340" t="s">
        <v>1322</v>
      </c>
    </row>
    <row r="132" spans="1:25" ht="22.5" customHeight="1" thickTop="1" thickBot="1">
      <c r="A132" s="368">
        <v>1</v>
      </c>
      <c r="B132" s="368" t="s">
        <v>1324</v>
      </c>
      <c r="C132" s="360" t="s">
        <v>1337</v>
      </c>
      <c r="D132" s="360" t="s">
        <v>1337</v>
      </c>
      <c r="E132" s="368" t="s">
        <v>1337</v>
      </c>
      <c r="F132" s="360" t="s">
        <v>1324</v>
      </c>
      <c r="G132" s="359" t="s">
        <v>1324</v>
      </c>
      <c r="H132" s="360"/>
      <c r="I132" s="360"/>
      <c r="J132" s="365" t="s">
        <v>1399</v>
      </c>
      <c r="K132" s="376"/>
      <c r="L132" s="376"/>
      <c r="M132" s="376"/>
      <c r="N132" s="376"/>
      <c r="O132" s="376"/>
      <c r="P132" s="376"/>
      <c r="Q132" s="376"/>
      <c r="R132" s="376"/>
      <c r="S132" s="376"/>
      <c r="T132" s="376"/>
      <c r="U132" s="372"/>
      <c r="V132" s="359"/>
      <c r="W132" s="368"/>
      <c r="X132" s="368"/>
      <c r="Y132" s="340" t="s">
        <v>1322</v>
      </c>
    </row>
    <row r="133" spans="1:25" ht="22.5" customHeight="1" thickTop="1" thickBot="1">
      <c r="A133" s="368">
        <v>1</v>
      </c>
      <c r="B133" s="368" t="s">
        <v>1324</v>
      </c>
      <c r="C133" s="360" t="s">
        <v>1337</v>
      </c>
      <c r="D133" s="360" t="s">
        <v>1337</v>
      </c>
      <c r="E133" s="368" t="s">
        <v>1337</v>
      </c>
      <c r="F133" s="360" t="s">
        <v>1324</v>
      </c>
      <c r="G133" s="359" t="s">
        <v>1337</v>
      </c>
      <c r="H133" s="360"/>
      <c r="I133" s="360"/>
      <c r="J133" s="365" t="s">
        <v>1400</v>
      </c>
      <c r="K133" s="376"/>
      <c r="L133" s="376"/>
      <c r="M133" s="376"/>
      <c r="N133" s="376"/>
      <c r="O133" s="376"/>
      <c r="P133" s="376"/>
      <c r="Q133" s="376"/>
      <c r="R133" s="376"/>
      <c r="S133" s="376"/>
      <c r="T133" s="376"/>
      <c r="U133" s="372"/>
      <c r="V133" s="359"/>
      <c r="W133" s="368"/>
      <c r="X133" s="368"/>
      <c r="Y133" s="340" t="s">
        <v>1322</v>
      </c>
    </row>
    <row r="134" spans="1:25" ht="22.5" customHeight="1" thickTop="1" thickBot="1">
      <c r="A134" s="368">
        <v>1</v>
      </c>
      <c r="B134" s="368" t="s">
        <v>1324</v>
      </c>
      <c r="C134" s="360" t="s">
        <v>1337</v>
      </c>
      <c r="D134" s="360" t="s">
        <v>1337</v>
      </c>
      <c r="E134" s="368" t="s">
        <v>1337</v>
      </c>
      <c r="F134" s="360" t="s">
        <v>1324</v>
      </c>
      <c r="G134" s="359" t="s">
        <v>1361</v>
      </c>
      <c r="H134" s="360"/>
      <c r="I134" s="360"/>
      <c r="J134" s="365" t="s">
        <v>1737</v>
      </c>
      <c r="K134" s="376"/>
      <c r="L134" s="376"/>
      <c r="M134" s="376"/>
      <c r="N134" s="376"/>
      <c r="O134" s="376"/>
      <c r="P134" s="376"/>
      <c r="Q134" s="376"/>
      <c r="R134" s="376"/>
      <c r="S134" s="376"/>
      <c r="T134" s="376"/>
      <c r="U134" s="372"/>
      <c r="V134" s="359"/>
      <c r="W134" s="368"/>
      <c r="X134" s="368"/>
      <c r="Y134" s="340"/>
    </row>
    <row r="135" spans="1:25" ht="22.5" customHeight="1" thickTop="1" thickBot="1">
      <c r="A135" s="368">
        <v>1</v>
      </c>
      <c r="B135" s="368" t="s">
        <v>1324</v>
      </c>
      <c r="C135" s="360" t="s">
        <v>1337</v>
      </c>
      <c r="D135" s="360" t="s">
        <v>1337</v>
      </c>
      <c r="E135" s="368" t="s">
        <v>1337</v>
      </c>
      <c r="F135" s="360" t="s">
        <v>1324</v>
      </c>
      <c r="G135" s="359" t="s">
        <v>1365</v>
      </c>
      <c r="H135" s="360"/>
      <c r="I135" s="360"/>
      <c r="J135" s="365" t="s">
        <v>1738</v>
      </c>
      <c r="K135" s="376"/>
      <c r="L135" s="376"/>
      <c r="M135" s="376"/>
      <c r="N135" s="376"/>
      <c r="O135" s="376"/>
      <c r="P135" s="376"/>
      <c r="Q135" s="376"/>
      <c r="R135" s="376"/>
      <c r="S135" s="376"/>
      <c r="T135" s="376"/>
      <c r="U135" s="372"/>
      <c r="V135" s="359"/>
      <c r="W135" s="368"/>
      <c r="X135" s="368"/>
      <c r="Y135" s="340"/>
    </row>
    <row r="136" spans="1:25" ht="22.5" customHeight="1" thickTop="1" thickBot="1">
      <c r="A136" s="368">
        <v>1</v>
      </c>
      <c r="B136" s="368" t="s">
        <v>1324</v>
      </c>
      <c r="C136" s="360" t="s">
        <v>1337</v>
      </c>
      <c r="D136" s="360" t="s">
        <v>1337</v>
      </c>
      <c r="E136" s="368" t="s">
        <v>1337</v>
      </c>
      <c r="F136" s="360" t="s">
        <v>1324</v>
      </c>
      <c r="G136" s="359" t="s">
        <v>1390</v>
      </c>
      <c r="H136" s="360"/>
      <c r="I136" s="360"/>
      <c r="J136" s="365" t="s">
        <v>1739</v>
      </c>
      <c r="K136" s="376"/>
      <c r="L136" s="376"/>
      <c r="M136" s="376"/>
      <c r="N136" s="376"/>
      <c r="O136" s="376"/>
      <c r="P136" s="376"/>
      <c r="Q136" s="376"/>
      <c r="R136" s="376"/>
      <c r="S136" s="376"/>
      <c r="T136" s="376"/>
      <c r="U136" s="372"/>
      <c r="V136" s="359"/>
      <c r="W136" s="368"/>
      <c r="X136" s="368"/>
      <c r="Y136" s="340"/>
    </row>
    <row r="137" spans="1:25" ht="22.5" customHeight="1" thickTop="1" thickBot="1">
      <c r="A137" s="368">
        <v>1</v>
      </c>
      <c r="B137" s="368" t="s">
        <v>1324</v>
      </c>
      <c r="C137" s="360" t="s">
        <v>1337</v>
      </c>
      <c r="D137" s="360" t="s">
        <v>1337</v>
      </c>
      <c r="E137" s="368" t="s">
        <v>1337</v>
      </c>
      <c r="F137" s="360" t="s">
        <v>1324</v>
      </c>
      <c r="G137" s="359" t="s">
        <v>1413</v>
      </c>
      <c r="H137" s="360"/>
      <c r="I137" s="360"/>
      <c r="J137" s="365" t="s">
        <v>1740</v>
      </c>
      <c r="K137" s="376"/>
      <c r="L137" s="376"/>
      <c r="M137" s="376"/>
      <c r="N137" s="376"/>
      <c r="O137" s="376"/>
      <c r="P137" s="376"/>
      <c r="Q137" s="376"/>
      <c r="R137" s="376"/>
      <c r="S137" s="376"/>
      <c r="T137" s="376"/>
      <c r="U137" s="372"/>
      <c r="V137" s="359"/>
      <c r="W137" s="368"/>
      <c r="X137" s="368"/>
      <c r="Y137" s="340"/>
    </row>
    <row r="138" spans="1:25" ht="22.5" customHeight="1" thickTop="1" thickBot="1">
      <c r="A138" s="368">
        <v>1</v>
      </c>
      <c r="B138" s="368" t="s">
        <v>1324</v>
      </c>
      <c r="C138" s="360" t="s">
        <v>1337</v>
      </c>
      <c r="D138" s="360" t="s">
        <v>1337</v>
      </c>
      <c r="E138" s="368" t="s">
        <v>1337</v>
      </c>
      <c r="F138" s="360" t="s">
        <v>1324</v>
      </c>
      <c r="G138" s="359" t="s">
        <v>1417</v>
      </c>
      <c r="H138" s="360"/>
      <c r="I138" s="360"/>
      <c r="J138" s="365" t="s">
        <v>1741</v>
      </c>
      <c r="K138" s="376"/>
      <c r="L138" s="376"/>
      <c r="M138" s="376"/>
      <c r="N138" s="376"/>
      <c r="O138" s="376"/>
      <c r="P138" s="376"/>
      <c r="Q138" s="376"/>
      <c r="R138" s="376"/>
      <c r="S138" s="376"/>
      <c r="T138" s="376"/>
      <c r="U138" s="372"/>
      <c r="V138" s="359"/>
      <c r="W138" s="368"/>
      <c r="X138" s="368"/>
      <c r="Y138" s="340"/>
    </row>
    <row r="139" spans="1:25" ht="22.5" customHeight="1" thickTop="1" thickBot="1">
      <c r="A139" s="368">
        <v>1</v>
      </c>
      <c r="B139" s="368" t="s">
        <v>1324</v>
      </c>
      <c r="C139" s="360" t="s">
        <v>1337</v>
      </c>
      <c r="D139" s="360" t="s">
        <v>1337</v>
      </c>
      <c r="E139" s="368" t="s">
        <v>1337</v>
      </c>
      <c r="F139" s="360" t="s">
        <v>1324</v>
      </c>
      <c r="G139" s="359" t="s">
        <v>1421</v>
      </c>
      <c r="H139" s="360"/>
      <c r="I139" s="360"/>
      <c r="J139" s="365" t="s">
        <v>1738</v>
      </c>
      <c r="K139" s="376"/>
      <c r="L139" s="376"/>
      <c r="M139" s="376"/>
      <c r="N139" s="376"/>
      <c r="O139" s="376"/>
      <c r="P139" s="376"/>
      <c r="Q139" s="376"/>
      <c r="R139" s="376"/>
      <c r="S139" s="376"/>
      <c r="T139" s="376"/>
      <c r="U139" s="372"/>
      <c r="V139" s="359"/>
      <c r="W139" s="368"/>
      <c r="X139" s="368"/>
      <c r="Y139" s="340"/>
    </row>
    <row r="140" spans="1:25" ht="22.5" customHeight="1" thickTop="1" thickBot="1">
      <c r="A140" s="368">
        <v>1</v>
      </c>
      <c r="B140" s="368" t="s">
        <v>1324</v>
      </c>
      <c r="C140" s="360" t="s">
        <v>1337</v>
      </c>
      <c r="D140" s="360" t="s">
        <v>1337</v>
      </c>
      <c r="E140" s="368" t="s">
        <v>1337</v>
      </c>
      <c r="F140" s="359" t="s">
        <v>1337</v>
      </c>
      <c r="G140" s="360"/>
      <c r="H140" s="360"/>
      <c r="I140" s="360"/>
      <c r="J140" s="361" t="s">
        <v>1401</v>
      </c>
      <c r="K140" s="375"/>
      <c r="L140" s="375"/>
      <c r="M140" s="375"/>
      <c r="N140" s="375"/>
      <c r="O140" s="375"/>
      <c r="P140" s="375"/>
      <c r="Q140" s="375"/>
      <c r="R140" s="375"/>
      <c r="S140" s="375"/>
      <c r="T140" s="375"/>
      <c r="U140" s="370"/>
      <c r="V140" s="359"/>
      <c r="W140" s="368" t="s">
        <v>1398</v>
      </c>
      <c r="X140" s="368"/>
      <c r="Y140" s="340" t="s">
        <v>1322</v>
      </c>
    </row>
    <row r="141" spans="1:25" ht="22.5" customHeight="1" thickTop="1" thickBot="1">
      <c r="A141" s="368">
        <v>1</v>
      </c>
      <c r="B141" s="368" t="s">
        <v>1324</v>
      </c>
      <c r="C141" s="360" t="s">
        <v>1337</v>
      </c>
      <c r="D141" s="360" t="s">
        <v>1337</v>
      </c>
      <c r="E141" s="368" t="s">
        <v>1337</v>
      </c>
      <c r="F141" s="360" t="s">
        <v>1337</v>
      </c>
      <c r="G141" s="359" t="s">
        <v>1324</v>
      </c>
      <c r="H141" s="360"/>
      <c r="I141" s="360"/>
      <c r="J141" s="365" t="s">
        <v>1402</v>
      </c>
      <c r="K141" s="376"/>
      <c r="L141" s="376"/>
      <c r="M141" s="376"/>
      <c r="N141" s="376"/>
      <c r="O141" s="376"/>
      <c r="P141" s="376"/>
      <c r="Q141" s="376"/>
      <c r="R141" s="376"/>
      <c r="S141" s="376"/>
      <c r="T141" s="376"/>
      <c r="U141" s="372"/>
      <c r="V141" s="359"/>
      <c r="W141" s="368"/>
      <c r="X141" s="368"/>
      <c r="Y141" s="340" t="s">
        <v>1322</v>
      </c>
    </row>
    <row r="142" spans="1:25" ht="22.5" customHeight="1" thickTop="1" thickBot="1">
      <c r="A142" s="368">
        <v>1</v>
      </c>
      <c r="B142" s="368" t="s">
        <v>1324</v>
      </c>
      <c r="C142" s="360" t="s">
        <v>1337</v>
      </c>
      <c r="D142" s="360" t="s">
        <v>1337</v>
      </c>
      <c r="E142" s="368" t="s">
        <v>1337</v>
      </c>
      <c r="F142" s="360" t="s">
        <v>1337</v>
      </c>
      <c r="G142" s="359" t="s">
        <v>1337</v>
      </c>
      <c r="H142" s="360"/>
      <c r="I142" s="360"/>
      <c r="J142" s="365" t="s">
        <v>1403</v>
      </c>
      <c r="K142" s="376"/>
      <c r="L142" s="376"/>
      <c r="M142" s="376"/>
      <c r="N142" s="376"/>
      <c r="O142" s="376"/>
      <c r="P142" s="376"/>
      <c r="Q142" s="376"/>
      <c r="R142" s="376"/>
      <c r="S142" s="376"/>
      <c r="T142" s="376"/>
      <c r="U142" s="372"/>
      <c r="V142" s="359"/>
      <c r="W142" s="368"/>
      <c r="X142" s="368"/>
      <c r="Y142" s="340" t="s">
        <v>1322</v>
      </c>
    </row>
    <row r="143" spans="1:25" ht="22.5" customHeight="1" thickTop="1" thickBot="1">
      <c r="A143" s="368">
        <v>1</v>
      </c>
      <c r="B143" s="368" t="s">
        <v>1324</v>
      </c>
      <c r="C143" s="360" t="s">
        <v>1337</v>
      </c>
      <c r="D143" s="360" t="s">
        <v>1337</v>
      </c>
      <c r="E143" s="368" t="s">
        <v>1337</v>
      </c>
      <c r="F143" s="360" t="s">
        <v>1337</v>
      </c>
      <c r="G143" s="359" t="s">
        <v>1361</v>
      </c>
      <c r="H143" s="360"/>
      <c r="I143" s="360"/>
      <c r="J143" s="365" t="s">
        <v>1747</v>
      </c>
      <c r="K143" s="376"/>
      <c r="L143" s="376"/>
      <c r="M143" s="376"/>
      <c r="N143" s="376"/>
      <c r="O143" s="376"/>
      <c r="P143" s="376"/>
      <c r="Q143" s="376"/>
      <c r="R143" s="376"/>
      <c r="S143" s="376"/>
      <c r="T143" s="376"/>
      <c r="U143" s="372"/>
      <c r="V143" s="359"/>
      <c r="W143" s="368"/>
      <c r="X143" s="368"/>
      <c r="Y143" s="340"/>
    </row>
    <row r="144" spans="1:25" ht="22.5" customHeight="1" thickTop="1" thickBot="1">
      <c r="A144" s="368">
        <v>1</v>
      </c>
      <c r="B144" s="368" t="s">
        <v>1324</v>
      </c>
      <c r="C144" s="360" t="s">
        <v>1337</v>
      </c>
      <c r="D144" s="360" t="s">
        <v>1337</v>
      </c>
      <c r="E144" s="368" t="s">
        <v>1337</v>
      </c>
      <c r="F144" s="360" t="s">
        <v>1337</v>
      </c>
      <c r="G144" s="359" t="s">
        <v>1365</v>
      </c>
      <c r="H144" s="360"/>
      <c r="I144" s="360"/>
      <c r="J144" s="365" t="s">
        <v>1748</v>
      </c>
      <c r="K144" s="376"/>
      <c r="L144" s="376"/>
      <c r="M144" s="376"/>
      <c r="N144" s="376"/>
      <c r="O144" s="376"/>
      <c r="P144" s="376"/>
      <c r="Q144" s="376"/>
      <c r="R144" s="376"/>
      <c r="S144" s="376"/>
      <c r="T144" s="376"/>
      <c r="U144" s="372"/>
      <c r="V144" s="359"/>
      <c r="W144" s="368"/>
      <c r="X144" s="368"/>
      <c r="Y144" s="340"/>
    </row>
    <row r="145" spans="1:25" ht="22.5" customHeight="1" thickTop="1" thickBot="1">
      <c r="A145" s="368">
        <v>1</v>
      </c>
      <c r="B145" s="368" t="s">
        <v>1324</v>
      </c>
      <c r="C145" s="360" t="s">
        <v>1337</v>
      </c>
      <c r="D145" s="360" t="s">
        <v>1337</v>
      </c>
      <c r="E145" s="368" t="s">
        <v>1337</v>
      </c>
      <c r="F145" s="360" t="s">
        <v>1337</v>
      </c>
      <c r="G145" s="359" t="s">
        <v>1390</v>
      </c>
      <c r="H145" s="360"/>
      <c r="I145" s="360"/>
      <c r="J145" s="365" t="s">
        <v>1749</v>
      </c>
      <c r="K145" s="376"/>
      <c r="L145" s="376"/>
      <c r="M145" s="376"/>
      <c r="N145" s="376"/>
      <c r="O145" s="376"/>
      <c r="P145" s="376"/>
      <c r="Q145" s="376"/>
      <c r="R145" s="376"/>
      <c r="S145" s="376"/>
      <c r="T145" s="376"/>
      <c r="U145" s="372"/>
      <c r="V145" s="359"/>
      <c r="W145" s="368"/>
      <c r="X145" s="368"/>
      <c r="Y145" s="340"/>
    </row>
    <row r="146" spans="1:25" ht="22.5" customHeight="1" thickTop="1" thickBot="1">
      <c r="A146" s="368">
        <v>1</v>
      </c>
      <c r="B146" s="368" t="s">
        <v>1324</v>
      </c>
      <c r="C146" s="360" t="s">
        <v>1337</v>
      </c>
      <c r="D146" s="360" t="s">
        <v>1337</v>
      </c>
      <c r="E146" s="368" t="s">
        <v>1337</v>
      </c>
      <c r="F146" s="360" t="s">
        <v>1337</v>
      </c>
      <c r="G146" s="359" t="s">
        <v>1413</v>
      </c>
      <c r="H146" s="360"/>
      <c r="I146" s="360"/>
      <c r="J146" s="365" t="s">
        <v>1750</v>
      </c>
      <c r="K146" s="376"/>
      <c r="L146" s="376"/>
      <c r="M146" s="376"/>
      <c r="N146" s="376"/>
      <c r="O146" s="376"/>
      <c r="P146" s="376"/>
      <c r="Q146" s="376"/>
      <c r="R146" s="376"/>
      <c r="S146" s="376"/>
      <c r="T146" s="376"/>
      <c r="U146" s="372"/>
      <c r="V146" s="359"/>
      <c r="W146" s="368"/>
      <c r="X146" s="368"/>
      <c r="Y146" s="340"/>
    </row>
    <row r="147" spans="1:25" ht="22.5" customHeight="1" thickTop="1" thickBot="1">
      <c r="A147" s="368">
        <v>1</v>
      </c>
      <c r="B147" s="368" t="s">
        <v>1324</v>
      </c>
      <c r="C147" s="360" t="s">
        <v>1337</v>
      </c>
      <c r="D147" s="360" t="s">
        <v>1337</v>
      </c>
      <c r="E147" s="368" t="s">
        <v>1337</v>
      </c>
      <c r="F147" s="360" t="s">
        <v>1337</v>
      </c>
      <c r="G147" s="359" t="s">
        <v>1417</v>
      </c>
      <c r="H147" s="360"/>
      <c r="I147" s="360"/>
      <c r="J147" s="365" t="s">
        <v>1751</v>
      </c>
      <c r="K147" s="376"/>
      <c r="L147" s="376"/>
      <c r="M147" s="376"/>
      <c r="N147" s="376"/>
      <c r="O147" s="376"/>
      <c r="P147" s="376"/>
      <c r="Q147" s="376"/>
      <c r="R147" s="376"/>
      <c r="S147" s="376"/>
      <c r="T147" s="376"/>
      <c r="U147" s="372"/>
      <c r="V147" s="359"/>
      <c r="W147" s="368"/>
      <c r="X147" s="368"/>
      <c r="Y147" s="340"/>
    </row>
    <row r="148" spans="1:25" ht="22.5" customHeight="1" thickTop="1" thickBot="1">
      <c r="A148" s="368">
        <v>1</v>
      </c>
      <c r="B148" s="368" t="s">
        <v>1324</v>
      </c>
      <c r="C148" s="360" t="s">
        <v>1337</v>
      </c>
      <c r="D148" s="360" t="s">
        <v>1337</v>
      </c>
      <c r="E148" s="368" t="s">
        <v>1337</v>
      </c>
      <c r="F148" s="360" t="s">
        <v>1337</v>
      </c>
      <c r="G148" s="359" t="s">
        <v>1421</v>
      </c>
      <c r="H148" s="360"/>
      <c r="I148" s="360"/>
      <c r="J148" s="365" t="s">
        <v>1748</v>
      </c>
      <c r="K148" s="376"/>
      <c r="L148" s="376"/>
      <c r="M148" s="376"/>
      <c r="N148" s="376"/>
      <c r="O148" s="376"/>
      <c r="P148" s="376"/>
      <c r="Q148" s="376"/>
      <c r="R148" s="376"/>
      <c r="S148" s="376"/>
      <c r="T148" s="376"/>
      <c r="U148" s="372"/>
      <c r="V148" s="359"/>
      <c r="W148" s="368"/>
      <c r="X148" s="368"/>
      <c r="Y148" s="340"/>
    </row>
    <row r="149" spans="1:25" ht="22.5" customHeight="1" thickTop="1" thickBot="1">
      <c r="A149" s="368">
        <v>1</v>
      </c>
      <c r="B149" s="368" t="s">
        <v>1324</v>
      </c>
      <c r="C149" s="360" t="s">
        <v>1337</v>
      </c>
      <c r="D149" s="360" t="s">
        <v>1337</v>
      </c>
      <c r="E149" s="368" t="s">
        <v>1337</v>
      </c>
      <c r="F149" s="359" t="s">
        <v>1361</v>
      </c>
      <c r="G149" s="360"/>
      <c r="H149" s="360"/>
      <c r="I149" s="360"/>
      <c r="J149" s="361" t="s">
        <v>1404</v>
      </c>
      <c r="K149" s="375"/>
      <c r="L149" s="375"/>
      <c r="M149" s="375"/>
      <c r="N149" s="375"/>
      <c r="O149" s="375"/>
      <c r="P149" s="375"/>
      <c r="Q149" s="375"/>
      <c r="R149" s="375"/>
      <c r="S149" s="375"/>
      <c r="T149" s="375"/>
      <c r="U149" s="370"/>
      <c r="V149" s="359"/>
      <c r="W149" s="368"/>
      <c r="X149" s="368"/>
      <c r="Y149" s="340" t="s">
        <v>1322</v>
      </c>
    </row>
    <row r="150" spans="1:25" ht="22.5" customHeight="1" thickTop="1" thickBot="1">
      <c r="A150" s="368">
        <v>1</v>
      </c>
      <c r="B150" s="368" t="s">
        <v>1324</v>
      </c>
      <c r="C150" s="360" t="s">
        <v>1337</v>
      </c>
      <c r="D150" s="360" t="s">
        <v>1337</v>
      </c>
      <c r="E150" s="368" t="s">
        <v>1337</v>
      </c>
      <c r="F150" s="360" t="s">
        <v>1361</v>
      </c>
      <c r="G150" s="359" t="s">
        <v>1324</v>
      </c>
      <c r="H150" s="360"/>
      <c r="I150" s="360"/>
      <c r="J150" s="365" t="s">
        <v>1405</v>
      </c>
      <c r="K150" s="376"/>
      <c r="L150" s="376"/>
      <c r="M150" s="376"/>
      <c r="N150" s="376"/>
      <c r="O150" s="376"/>
      <c r="P150" s="376"/>
      <c r="Q150" s="376"/>
      <c r="R150" s="376"/>
      <c r="S150" s="376"/>
      <c r="T150" s="376"/>
      <c r="U150" s="372"/>
      <c r="V150" s="359"/>
      <c r="W150" s="368"/>
      <c r="X150" s="368"/>
      <c r="Y150" s="340" t="s">
        <v>1322</v>
      </c>
    </row>
    <row r="151" spans="1:25" ht="22.5" customHeight="1" thickTop="1" thickBot="1">
      <c r="A151" s="368">
        <v>1</v>
      </c>
      <c r="B151" s="368" t="s">
        <v>1324</v>
      </c>
      <c r="C151" s="360" t="s">
        <v>1337</v>
      </c>
      <c r="D151" s="360" t="s">
        <v>1337</v>
      </c>
      <c r="E151" s="368" t="s">
        <v>1337</v>
      </c>
      <c r="F151" s="360" t="s">
        <v>1361</v>
      </c>
      <c r="G151" s="359" t="s">
        <v>1337</v>
      </c>
      <c r="H151" s="360"/>
      <c r="I151" s="360"/>
      <c r="J151" s="365" t="s">
        <v>1406</v>
      </c>
      <c r="K151" s="376"/>
      <c r="L151" s="376"/>
      <c r="M151" s="376"/>
      <c r="N151" s="376"/>
      <c r="O151" s="376"/>
      <c r="P151" s="376"/>
      <c r="Q151" s="376"/>
      <c r="R151" s="376"/>
      <c r="S151" s="376"/>
      <c r="T151" s="376"/>
      <c r="U151" s="372"/>
      <c r="V151" s="359"/>
      <c r="W151" s="368"/>
      <c r="X151" s="368"/>
      <c r="Y151" s="340" t="s">
        <v>1322</v>
      </c>
    </row>
    <row r="152" spans="1:25" ht="22.5" customHeight="1" thickTop="1" thickBot="1">
      <c r="A152" s="368">
        <v>1</v>
      </c>
      <c r="B152" s="368" t="s">
        <v>1324</v>
      </c>
      <c r="C152" s="360" t="s">
        <v>1337</v>
      </c>
      <c r="D152" s="360" t="s">
        <v>1337</v>
      </c>
      <c r="E152" s="368" t="s">
        <v>1337</v>
      </c>
      <c r="F152" s="360" t="s">
        <v>1361</v>
      </c>
      <c r="G152" s="359" t="s">
        <v>1361</v>
      </c>
      <c r="H152" s="360"/>
      <c r="I152" s="360"/>
      <c r="J152" s="365" t="s">
        <v>1752</v>
      </c>
      <c r="K152" s="376"/>
      <c r="L152" s="376"/>
      <c r="M152" s="376"/>
      <c r="N152" s="376"/>
      <c r="O152" s="376"/>
      <c r="P152" s="376"/>
      <c r="Q152" s="376"/>
      <c r="R152" s="376"/>
      <c r="S152" s="376"/>
      <c r="T152" s="376"/>
      <c r="U152" s="372"/>
      <c r="V152" s="359"/>
      <c r="W152" s="368"/>
      <c r="X152" s="368"/>
      <c r="Y152" s="340"/>
    </row>
    <row r="153" spans="1:25" ht="22.5" customHeight="1" thickTop="1" thickBot="1">
      <c r="A153" s="368">
        <v>1</v>
      </c>
      <c r="B153" s="368" t="s">
        <v>1324</v>
      </c>
      <c r="C153" s="360" t="s">
        <v>1337</v>
      </c>
      <c r="D153" s="360" t="s">
        <v>1337</v>
      </c>
      <c r="E153" s="368" t="s">
        <v>1337</v>
      </c>
      <c r="F153" s="360" t="s">
        <v>1361</v>
      </c>
      <c r="G153" s="359" t="s">
        <v>1365</v>
      </c>
      <c r="H153" s="360"/>
      <c r="I153" s="360"/>
      <c r="J153" s="365" t="s">
        <v>1753</v>
      </c>
      <c r="K153" s="376"/>
      <c r="L153" s="376"/>
      <c r="M153" s="376"/>
      <c r="N153" s="376"/>
      <c r="O153" s="376"/>
      <c r="P153" s="376"/>
      <c r="Q153" s="376"/>
      <c r="R153" s="376"/>
      <c r="S153" s="376"/>
      <c r="T153" s="376"/>
      <c r="U153" s="372"/>
      <c r="V153" s="359"/>
      <c r="W153" s="368"/>
      <c r="X153" s="368"/>
      <c r="Y153" s="340"/>
    </row>
    <row r="154" spans="1:25" ht="22.5" customHeight="1" thickTop="1" thickBot="1">
      <c r="A154" s="368">
        <v>1</v>
      </c>
      <c r="B154" s="368" t="s">
        <v>1324</v>
      </c>
      <c r="C154" s="360" t="s">
        <v>1337</v>
      </c>
      <c r="D154" s="360" t="s">
        <v>1337</v>
      </c>
      <c r="E154" s="368" t="s">
        <v>1337</v>
      </c>
      <c r="F154" s="360" t="s">
        <v>1361</v>
      </c>
      <c r="G154" s="359" t="s">
        <v>1390</v>
      </c>
      <c r="H154" s="360"/>
      <c r="I154" s="360"/>
      <c r="J154" s="365" t="s">
        <v>1754</v>
      </c>
      <c r="K154" s="376"/>
      <c r="L154" s="376"/>
      <c r="M154" s="376"/>
      <c r="N154" s="376"/>
      <c r="O154" s="376"/>
      <c r="P154" s="376"/>
      <c r="Q154" s="376"/>
      <c r="R154" s="376"/>
      <c r="S154" s="376"/>
      <c r="T154" s="376"/>
      <c r="U154" s="372"/>
      <c r="V154" s="359"/>
      <c r="W154" s="368"/>
      <c r="X154" s="368"/>
      <c r="Y154" s="340"/>
    </row>
    <row r="155" spans="1:25" ht="22.5" customHeight="1" thickTop="1" thickBot="1">
      <c r="A155" s="368">
        <v>1</v>
      </c>
      <c r="B155" s="368" t="s">
        <v>1324</v>
      </c>
      <c r="C155" s="360" t="s">
        <v>1337</v>
      </c>
      <c r="D155" s="360" t="s">
        <v>1337</v>
      </c>
      <c r="E155" s="368" t="s">
        <v>1337</v>
      </c>
      <c r="F155" s="360" t="s">
        <v>1361</v>
      </c>
      <c r="G155" s="359" t="s">
        <v>1413</v>
      </c>
      <c r="H155" s="360"/>
      <c r="I155" s="360"/>
      <c r="J155" s="365" t="s">
        <v>1755</v>
      </c>
      <c r="K155" s="376"/>
      <c r="L155" s="376"/>
      <c r="M155" s="376"/>
      <c r="N155" s="376"/>
      <c r="O155" s="376"/>
      <c r="P155" s="376"/>
      <c r="Q155" s="376"/>
      <c r="R155" s="376"/>
      <c r="S155" s="376"/>
      <c r="T155" s="376"/>
      <c r="U155" s="372"/>
      <c r="V155" s="359"/>
      <c r="W155" s="368"/>
      <c r="X155" s="368"/>
      <c r="Y155" s="340"/>
    </row>
    <row r="156" spans="1:25" ht="22.5" customHeight="1" thickTop="1" thickBot="1">
      <c r="A156" s="368">
        <v>1</v>
      </c>
      <c r="B156" s="368" t="s">
        <v>1324</v>
      </c>
      <c r="C156" s="360" t="s">
        <v>1337</v>
      </c>
      <c r="D156" s="360" t="s">
        <v>1337</v>
      </c>
      <c r="E156" s="368" t="s">
        <v>1337</v>
      </c>
      <c r="F156" s="360" t="s">
        <v>1361</v>
      </c>
      <c r="G156" s="359" t="s">
        <v>1417</v>
      </c>
      <c r="H156" s="360"/>
      <c r="I156" s="360"/>
      <c r="J156" s="365" t="s">
        <v>1756</v>
      </c>
      <c r="K156" s="376"/>
      <c r="L156" s="376"/>
      <c r="M156" s="376"/>
      <c r="N156" s="376"/>
      <c r="O156" s="376"/>
      <c r="P156" s="376"/>
      <c r="Q156" s="376"/>
      <c r="R156" s="376"/>
      <c r="S156" s="376"/>
      <c r="T156" s="376"/>
      <c r="U156" s="372"/>
      <c r="V156" s="359"/>
      <c r="W156" s="368"/>
      <c r="X156" s="368"/>
      <c r="Y156" s="340"/>
    </row>
    <row r="157" spans="1:25" ht="22.5" customHeight="1" thickTop="1" thickBot="1">
      <c r="A157" s="368">
        <v>1</v>
      </c>
      <c r="B157" s="368" t="s">
        <v>1324</v>
      </c>
      <c r="C157" s="360" t="s">
        <v>1337</v>
      </c>
      <c r="D157" s="360" t="s">
        <v>1337</v>
      </c>
      <c r="E157" s="368" t="s">
        <v>1337</v>
      </c>
      <c r="F157" s="360" t="s">
        <v>1361</v>
      </c>
      <c r="G157" s="359" t="s">
        <v>1421</v>
      </c>
      <c r="H157" s="360"/>
      <c r="I157" s="360"/>
      <c r="J157" s="365" t="s">
        <v>1753</v>
      </c>
      <c r="K157" s="376"/>
      <c r="L157" s="376"/>
      <c r="M157" s="376"/>
      <c r="N157" s="376"/>
      <c r="O157" s="376"/>
      <c r="P157" s="376"/>
      <c r="Q157" s="376"/>
      <c r="R157" s="376"/>
      <c r="S157" s="376"/>
      <c r="T157" s="376"/>
      <c r="U157" s="372"/>
      <c r="V157" s="359"/>
      <c r="W157" s="368"/>
      <c r="X157" s="368"/>
      <c r="Y157" s="340"/>
    </row>
    <row r="158" spans="1:25" ht="22.5" customHeight="1" thickTop="1" thickBot="1">
      <c r="A158" s="368">
        <v>1</v>
      </c>
      <c r="B158" s="368" t="s">
        <v>1324</v>
      </c>
      <c r="C158" s="360" t="s">
        <v>1337</v>
      </c>
      <c r="D158" s="360" t="s">
        <v>1337</v>
      </c>
      <c r="E158" s="368" t="s">
        <v>1337</v>
      </c>
      <c r="F158" s="359" t="s">
        <v>1365</v>
      </c>
      <c r="G158" s="360"/>
      <c r="H158" s="360"/>
      <c r="I158" s="360"/>
      <c r="J158" s="361" t="s">
        <v>1407</v>
      </c>
      <c r="K158" s="375"/>
      <c r="L158" s="375"/>
      <c r="M158" s="375"/>
      <c r="N158" s="375"/>
      <c r="O158" s="375"/>
      <c r="P158" s="375"/>
      <c r="Q158" s="375"/>
      <c r="R158" s="375"/>
      <c r="S158" s="375"/>
      <c r="T158" s="375"/>
      <c r="U158" s="370"/>
      <c r="V158" s="359"/>
      <c r="W158" s="368"/>
      <c r="X158" s="368"/>
      <c r="Y158" s="340" t="s">
        <v>1322</v>
      </c>
    </row>
    <row r="159" spans="1:25" ht="22.5" customHeight="1" thickTop="1" thickBot="1">
      <c r="A159" s="368">
        <v>1</v>
      </c>
      <c r="B159" s="368" t="s">
        <v>1324</v>
      </c>
      <c r="C159" s="360" t="s">
        <v>1337</v>
      </c>
      <c r="D159" s="360" t="s">
        <v>1337</v>
      </c>
      <c r="E159" s="368" t="s">
        <v>1337</v>
      </c>
      <c r="F159" s="360" t="s">
        <v>1365</v>
      </c>
      <c r="G159" s="359" t="s">
        <v>1324</v>
      </c>
      <c r="H159" s="360"/>
      <c r="I159" s="360"/>
      <c r="J159" s="365" t="s">
        <v>1408</v>
      </c>
      <c r="K159" s="376"/>
      <c r="L159" s="376"/>
      <c r="M159" s="376"/>
      <c r="N159" s="376"/>
      <c r="O159" s="376"/>
      <c r="P159" s="376"/>
      <c r="Q159" s="376"/>
      <c r="R159" s="376"/>
      <c r="S159" s="376"/>
      <c r="T159" s="376"/>
      <c r="U159" s="372"/>
      <c r="V159" s="359"/>
      <c r="W159" s="368"/>
      <c r="X159" s="368"/>
      <c r="Y159" s="340" t="s">
        <v>1322</v>
      </c>
    </row>
    <row r="160" spans="1:25" ht="22.5" customHeight="1" thickTop="1" thickBot="1">
      <c r="A160" s="368">
        <v>1</v>
      </c>
      <c r="B160" s="368" t="s">
        <v>1324</v>
      </c>
      <c r="C160" s="360" t="s">
        <v>1337</v>
      </c>
      <c r="D160" s="360" t="s">
        <v>1337</v>
      </c>
      <c r="E160" s="368" t="s">
        <v>1337</v>
      </c>
      <c r="F160" s="360" t="s">
        <v>1365</v>
      </c>
      <c r="G160" s="359" t="s">
        <v>1337</v>
      </c>
      <c r="H160" s="360"/>
      <c r="I160" s="360"/>
      <c r="J160" s="365" t="s">
        <v>1409</v>
      </c>
      <c r="K160" s="376"/>
      <c r="L160" s="376"/>
      <c r="M160" s="376"/>
      <c r="N160" s="376"/>
      <c r="O160" s="376"/>
      <c r="P160" s="376"/>
      <c r="Q160" s="376"/>
      <c r="R160" s="376"/>
      <c r="S160" s="376"/>
      <c r="T160" s="376"/>
      <c r="U160" s="372"/>
      <c r="V160" s="359"/>
      <c r="W160" s="368"/>
      <c r="X160" s="368"/>
      <c r="Y160" s="340" t="s">
        <v>1322</v>
      </c>
    </row>
    <row r="161" spans="1:25" ht="22.5" customHeight="1" thickTop="1" thickBot="1">
      <c r="A161" s="368">
        <v>1</v>
      </c>
      <c r="B161" s="368" t="s">
        <v>1324</v>
      </c>
      <c r="C161" s="360" t="s">
        <v>1337</v>
      </c>
      <c r="D161" s="360" t="s">
        <v>1337</v>
      </c>
      <c r="E161" s="368" t="s">
        <v>1337</v>
      </c>
      <c r="F161" s="359" t="s">
        <v>1390</v>
      </c>
      <c r="G161" s="360"/>
      <c r="H161" s="360"/>
      <c r="I161" s="360"/>
      <c r="J161" s="361" t="s">
        <v>1410</v>
      </c>
      <c r="K161" s="375"/>
      <c r="L161" s="375"/>
      <c r="M161" s="375"/>
      <c r="N161" s="375"/>
      <c r="O161" s="375"/>
      <c r="P161" s="375"/>
      <c r="Q161" s="375"/>
      <c r="R161" s="375"/>
      <c r="S161" s="375"/>
      <c r="T161" s="375"/>
      <c r="U161" s="370"/>
      <c r="V161" s="359"/>
      <c r="W161" s="368"/>
      <c r="X161" s="368"/>
      <c r="Y161" s="340" t="s">
        <v>1322</v>
      </c>
    </row>
    <row r="162" spans="1:25" ht="22.5" customHeight="1" thickTop="1" thickBot="1">
      <c r="A162" s="368">
        <v>1</v>
      </c>
      <c r="B162" s="368" t="s">
        <v>1324</v>
      </c>
      <c r="C162" s="360" t="s">
        <v>1337</v>
      </c>
      <c r="D162" s="360" t="s">
        <v>1337</v>
      </c>
      <c r="E162" s="368" t="s">
        <v>1337</v>
      </c>
      <c r="F162" s="360" t="s">
        <v>1390</v>
      </c>
      <c r="G162" s="359" t="s">
        <v>1324</v>
      </c>
      <c r="H162" s="360"/>
      <c r="I162" s="360"/>
      <c r="J162" s="365" t="s">
        <v>1411</v>
      </c>
      <c r="K162" s="376"/>
      <c r="L162" s="376"/>
      <c r="M162" s="376"/>
      <c r="N162" s="376"/>
      <c r="O162" s="376"/>
      <c r="P162" s="376"/>
      <c r="Q162" s="376"/>
      <c r="R162" s="376"/>
      <c r="S162" s="376"/>
      <c r="T162" s="376"/>
      <c r="U162" s="372"/>
      <c r="V162" s="359"/>
      <c r="W162" s="368"/>
      <c r="X162" s="368"/>
      <c r="Y162" s="340" t="s">
        <v>1322</v>
      </c>
    </row>
    <row r="163" spans="1:25" ht="22.5" customHeight="1" thickTop="1" thickBot="1">
      <c r="A163" s="368">
        <v>1</v>
      </c>
      <c r="B163" s="368" t="s">
        <v>1324</v>
      </c>
      <c r="C163" s="360" t="s">
        <v>1337</v>
      </c>
      <c r="D163" s="360" t="s">
        <v>1337</v>
      </c>
      <c r="E163" s="368" t="s">
        <v>1337</v>
      </c>
      <c r="F163" s="360" t="s">
        <v>1390</v>
      </c>
      <c r="G163" s="359" t="s">
        <v>1337</v>
      </c>
      <c r="H163" s="360"/>
      <c r="I163" s="360"/>
      <c r="J163" s="365" t="s">
        <v>1412</v>
      </c>
      <c r="K163" s="376"/>
      <c r="L163" s="376"/>
      <c r="M163" s="376"/>
      <c r="N163" s="376"/>
      <c r="O163" s="376"/>
      <c r="P163" s="376"/>
      <c r="Q163" s="376"/>
      <c r="R163" s="376"/>
      <c r="S163" s="376"/>
      <c r="T163" s="376"/>
      <c r="U163" s="372"/>
      <c r="V163" s="359"/>
      <c r="W163" s="368"/>
      <c r="X163" s="368"/>
      <c r="Y163" s="340" t="s">
        <v>1322</v>
      </c>
    </row>
    <row r="164" spans="1:25" ht="22.5" customHeight="1" thickTop="1" thickBot="1">
      <c r="A164" s="368">
        <v>1</v>
      </c>
      <c r="B164" s="368" t="s">
        <v>1324</v>
      </c>
      <c r="C164" s="360" t="s">
        <v>1337</v>
      </c>
      <c r="D164" s="360" t="s">
        <v>1337</v>
      </c>
      <c r="E164" s="368" t="s">
        <v>1337</v>
      </c>
      <c r="F164" s="359" t="s">
        <v>1413</v>
      </c>
      <c r="G164" s="360"/>
      <c r="H164" s="360"/>
      <c r="I164" s="360"/>
      <c r="J164" s="361" t="s">
        <v>1414</v>
      </c>
      <c r="K164" s="375"/>
      <c r="L164" s="375"/>
      <c r="M164" s="375"/>
      <c r="N164" s="375"/>
      <c r="O164" s="375"/>
      <c r="P164" s="375"/>
      <c r="Q164" s="375"/>
      <c r="R164" s="375"/>
      <c r="S164" s="375"/>
      <c r="T164" s="375"/>
      <c r="U164" s="370"/>
      <c r="V164" s="359"/>
      <c r="W164" s="368"/>
      <c r="X164" s="368"/>
      <c r="Y164" s="340" t="s">
        <v>1322</v>
      </c>
    </row>
    <row r="165" spans="1:25" ht="22.5" customHeight="1" thickTop="1" thickBot="1">
      <c r="A165" s="368">
        <v>1</v>
      </c>
      <c r="B165" s="368" t="s">
        <v>1324</v>
      </c>
      <c r="C165" s="360" t="s">
        <v>1337</v>
      </c>
      <c r="D165" s="360" t="s">
        <v>1337</v>
      </c>
      <c r="E165" s="368" t="s">
        <v>1337</v>
      </c>
      <c r="F165" s="360" t="s">
        <v>1413</v>
      </c>
      <c r="G165" s="359" t="s">
        <v>1324</v>
      </c>
      <c r="H165" s="360"/>
      <c r="I165" s="360"/>
      <c r="J165" s="365" t="s">
        <v>1415</v>
      </c>
      <c r="K165" s="376"/>
      <c r="L165" s="376"/>
      <c r="M165" s="376"/>
      <c r="N165" s="376"/>
      <c r="O165" s="376"/>
      <c r="P165" s="376"/>
      <c r="Q165" s="376"/>
      <c r="R165" s="376"/>
      <c r="S165" s="376"/>
      <c r="T165" s="376"/>
      <c r="U165" s="372"/>
      <c r="V165" s="359"/>
      <c r="W165" s="368"/>
      <c r="X165" s="368"/>
      <c r="Y165" s="340" t="s">
        <v>1322</v>
      </c>
    </row>
    <row r="166" spans="1:25" ht="22.5" customHeight="1" thickTop="1" thickBot="1">
      <c r="A166" s="368">
        <v>1</v>
      </c>
      <c r="B166" s="368" t="s">
        <v>1324</v>
      </c>
      <c r="C166" s="360" t="s">
        <v>1337</v>
      </c>
      <c r="D166" s="360" t="s">
        <v>1337</v>
      </c>
      <c r="E166" s="368" t="s">
        <v>1337</v>
      </c>
      <c r="F166" s="360" t="s">
        <v>1413</v>
      </c>
      <c r="G166" s="359" t="s">
        <v>1337</v>
      </c>
      <c r="H166" s="360"/>
      <c r="I166" s="360"/>
      <c r="J166" s="365" t="s">
        <v>1416</v>
      </c>
      <c r="K166" s="376"/>
      <c r="L166" s="376"/>
      <c r="M166" s="376"/>
      <c r="N166" s="376"/>
      <c r="O166" s="376"/>
      <c r="P166" s="376"/>
      <c r="Q166" s="376"/>
      <c r="R166" s="376"/>
      <c r="S166" s="376"/>
      <c r="T166" s="376"/>
      <c r="U166" s="372"/>
      <c r="V166" s="359"/>
      <c r="W166" s="368"/>
      <c r="X166" s="368"/>
      <c r="Y166" s="340" t="s">
        <v>1322</v>
      </c>
    </row>
    <row r="167" spans="1:25" ht="22.5" customHeight="1" thickTop="1" thickBot="1">
      <c r="A167" s="368">
        <v>1</v>
      </c>
      <c r="B167" s="368" t="s">
        <v>1324</v>
      </c>
      <c r="C167" s="360" t="s">
        <v>1337</v>
      </c>
      <c r="D167" s="360" t="s">
        <v>1337</v>
      </c>
      <c r="E167" s="368" t="s">
        <v>1337</v>
      </c>
      <c r="F167" s="359" t="s">
        <v>1417</v>
      </c>
      <c r="G167" s="360"/>
      <c r="H167" s="360"/>
      <c r="I167" s="360"/>
      <c r="J167" s="361" t="s">
        <v>1418</v>
      </c>
      <c r="K167" s="375"/>
      <c r="L167" s="375"/>
      <c r="M167" s="375"/>
      <c r="N167" s="375"/>
      <c r="O167" s="375"/>
      <c r="P167" s="375"/>
      <c r="Q167" s="375"/>
      <c r="R167" s="375"/>
      <c r="S167" s="375"/>
      <c r="T167" s="375"/>
      <c r="U167" s="370"/>
      <c r="V167" s="359"/>
      <c r="W167" s="368"/>
      <c r="X167" s="368"/>
      <c r="Y167" s="340" t="s">
        <v>1322</v>
      </c>
    </row>
    <row r="168" spans="1:25" ht="22.5" customHeight="1" thickTop="1" thickBot="1">
      <c r="A168" s="368">
        <v>1</v>
      </c>
      <c r="B168" s="368" t="s">
        <v>1324</v>
      </c>
      <c r="C168" s="360" t="s">
        <v>1337</v>
      </c>
      <c r="D168" s="360" t="s">
        <v>1337</v>
      </c>
      <c r="E168" s="368" t="s">
        <v>1337</v>
      </c>
      <c r="F168" s="360" t="s">
        <v>1417</v>
      </c>
      <c r="G168" s="359" t="s">
        <v>1324</v>
      </c>
      <c r="H168" s="360"/>
      <c r="I168" s="360"/>
      <c r="J168" s="365" t="s">
        <v>1419</v>
      </c>
      <c r="K168" s="376"/>
      <c r="L168" s="376"/>
      <c r="M168" s="376"/>
      <c r="N168" s="376"/>
      <c r="O168" s="376"/>
      <c r="P168" s="376"/>
      <c r="Q168" s="376"/>
      <c r="R168" s="376"/>
      <c r="S168" s="376"/>
      <c r="T168" s="376"/>
      <c r="U168" s="372"/>
      <c r="V168" s="359"/>
      <c r="W168" s="368"/>
      <c r="X168" s="368"/>
      <c r="Y168" s="340" t="s">
        <v>1322</v>
      </c>
    </row>
    <row r="169" spans="1:25" ht="22.5" customHeight="1" thickTop="1" thickBot="1">
      <c r="A169" s="368">
        <v>1</v>
      </c>
      <c r="B169" s="368" t="s">
        <v>1324</v>
      </c>
      <c r="C169" s="360" t="s">
        <v>1337</v>
      </c>
      <c r="D169" s="360" t="s">
        <v>1337</v>
      </c>
      <c r="E169" s="368" t="s">
        <v>1337</v>
      </c>
      <c r="F169" s="360" t="s">
        <v>1417</v>
      </c>
      <c r="G169" s="359" t="s">
        <v>1337</v>
      </c>
      <c r="H169" s="360"/>
      <c r="I169" s="360"/>
      <c r="J169" s="365" t="s">
        <v>1420</v>
      </c>
      <c r="K169" s="376"/>
      <c r="L169" s="376"/>
      <c r="M169" s="376"/>
      <c r="N169" s="376"/>
      <c r="O169" s="376"/>
      <c r="P169" s="376"/>
      <c r="Q169" s="376"/>
      <c r="R169" s="376"/>
      <c r="S169" s="376"/>
      <c r="T169" s="376"/>
      <c r="U169" s="372"/>
      <c r="V169" s="359"/>
      <c r="W169" s="368"/>
      <c r="X169" s="368"/>
      <c r="Y169" s="340" t="s">
        <v>1322</v>
      </c>
    </row>
    <row r="170" spans="1:25" ht="22.5" customHeight="1" thickTop="1" thickBot="1">
      <c r="A170" s="368">
        <v>1</v>
      </c>
      <c r="B170" s="368" t="s">
        <v>1324</v>
      </c>
      <c r="C170" s="360" t="s">
        <v>1337</v>
      </c>
      <c r="D170" s="360" t="s">
        <v>1337</v>
      </c>
      <c r="E170" s="368" t="s">
        <v>1337</v>
      </c>
      <c r="F170" s="359" t="s">
        <v>1421</v>
      </c>
      <c r="G170" s="360"/>
      <c r="H170" s="360"/>
      <c r="I170" s="360"/>
      <c r="J170" s="361" t="s">
        <v>1422</v>
      </c>
      <c r="K170" s="375"/>
      <c r="L170" s="375"/>
      <c r="M170" s="375"/>
      <c r="N170" s="375"/>
      <c r="O170" s="375"/>
      <c r="P170" s="375"/>
      <c r="Q170" s="375"/>
      <c r="R170" s="375"/>
      <c r="S170" s="375"/>
      <c r="T170" s="375"/>
      <c r="U170" s="370"/>
      <c r="V170" s="359"/>
      <c r="W170" s="368"/>
      <c r="X170" s="368"/>
      <c r="Y170" s="340" t="s">
        <v>1322</v>
      </c>
    </row>
    <row r="171" spans="1:25" ht="22.5" customHeight="1" thickTop="1" thickBot="1">
      <c r="A171" s="368">
        <v>1</v>
      </c>
      <c r="B171" s="368" t="s">
        <v>1324</v>
      </c>
      <c r="C171" s="360" t="s">
        <v>1337</v>
      </c>
      <c r="D171" s="360" t="s">
        <v>1337</v>
      </c>
      <c r="E171" s="368" t="s">
        <v>1337</v>
      </c>
      <c r="F171" s="360" t="s">
        <v>1421</v>
      </c>
      <c r="G171" s="359" t="s">
        <v>1324</v>
      </c>
      <c r="H171" s="360"/>
      <c r="I171" s="360"/>
      <c r="J171" s="365" t="s">
        <v>1423</v>
      </c>
      <c r="K171" s="376"/>
      <c r="L171" s="376"/>
      <c r="M171" s="376"/>
      <c r="N171" s="376"/>
      <c r="O171" s="376"/>
      <c r="P171" s="376"/>
      <c r="Q171" s="376"/>
      <c r="R171" s="376"/>
      <c r="S171" s="376"/>
      <c r="T171" s="376"/>
      <c r="U171" s="372"/>
      <c r="V171" s="359"/>
      <c r="W171" s="368"/>
      <c r="X171" s="368"/>
      <c r="Y171" s="340" t="s">
        <v>1322</v>
      </c>
    </row>
    <row r="172" spans="1:25" ht="22.5" customHeight="1" thickTop="1" thickBot="1">
      <c r="A172" s="368">
        <v>1</v>
      </c>
      <c r="B172" s="368" t="s">
        <v>1324</v>
      </c>
      <c r="C172" s="360" t="s">
        <v>1337</v>
      </c>
      <c r="D172" s="360" t="s">
        <v>1337</v>
      </c>
      <c r="E172" s="368" t="s">
        <v>1337</v>
      </c>
      <c r="F172" s="360" t="s">
        <v>1421</v>
      </c>
      <c r="G172" s="359" t="s">
        <v>1337</v>
      </c>
      <c r="H172" s="360"/>
      <c r="I172" s="360"/>
      <c r="J172" s="365" t="s">
        <v>1424</v>
      </c>
      <c r="K172" s="376"/>
      <c r="L172" s="376"/>
      <c r="M172" s="376"/>
      <c r="N172" s="376"/>
      <c r="O172" s="376"/>
      <c r="P172" s="376"/>
      <c r="Q172" s="376"/>
      <c r="R172" s="376"/>
      <c r="S172" s="376"/>
      <c r="T172" s="376"/>
      <c r="U172" s="372"/>
      <c r="V172" s="359"/>
      <c r="W172" s="368"/>
      <c r="X172" s="368"/>
      <c r="Y172" s="340" t="s">
        <v>1322</v>
      </c>
    </row>
    <row r="173" spans="1:25" ht="22.5" customHeight="1" thickTop="1" thickBot="1">
      <c r="A173" s="353" t="s">
        <v>1320</v>
      </c>
      <c r="B173" s="354" t="s">
        <v>1324</v>
      </c>
      <c r="C173" s="354" t="s">
        <v>1337</v>
      </c>
      <c r="D173" s="354" t="s">
        <v>1361</v>
      </c>
      <c r="E173" s="354"/>
      <c r="F173" s="355"/>
      <c r="G173" s="355"/>
      <c r="H173" s="355"/>
      <c r="I173" s="355"/>
      <c r="J173" s="356" t="s">
        <v>1425</v>
      </c>
      <c r="K173" s="357"/>
      <c r="L173" s="357"/>
      <c r="M173" s="357"/>
      <c r="N173" s="357"/>
      <c r="O173" s="357"/>
      <c r="P173" s="357"/>
      <c r="Q173" s="357"/>
      <c r="R173" s="357"/>
      <c r="S173" s="357"/>
      <c r="T173" s="357"/>
      <c r="U173" s="358"/>
      <c r="V173" s="354"/>
      <c r="W173" s="353" t="s">
        <v>1426</v>
      </c>
      <c r="X173" s="353" t="s">
        <v>1427</v>
      </c>
      <c r="Y173" s="340" t="s">
        <v>1322</v>
      </c>
    </row>
    <row r="174" spans="1:25" s="147" customFormat="1" ht="22.5" customHeight="1" thickTop="1" thickBot="1">
      <c r="A174" s="359" t="s">
        <v>1320</v>
      </c>
      <c r="B174" s="359" t="s">
        <v>1324</v>
      </c>
      <c r="C174" s="359" t="s">
        <v>1337</v>
      </c>
      <c r="D174" s="359" t="s">
        <v>1361</v>
      </c>
      <c r="E174" s="359" t="s">
        <v>1324</v>
      </c>
      <c r="F174" s="359"/>
      <c r="G174" s="359"/>
      <c r="H174" s="360"/>
      <c r="I174" s="360"/>
      <c r="J174" s="361" t="s">
        <v>1246</v>
      </c>
      <c r="K174" s="375"/>
      <c r="L174" s="375"/>
      <c r="M174" s="375"/>
      <c r="N174" s="375"/>
      <c r="O174" s="375"/>
      <c r="P174" s="375"/>
      <c r="Q174" s="375"/>
      <c r="R174" s="375"/>
      <c r="S174" s="375"/>
      <c r="T174" s="375"/>
      <c r="U174" s="370"/>
      <c r="V174" s="364"/>
      <c r="W174" s="364" t="s">
        <v>1428</v>
      </c>
      <c r="X174" s="364" t="s">
        <v>1429</v>
      </c>
      <c r="Y174" s="340" t="s">
        <v>1322</v>
      </c>
    </row>
    <row r="175" spans="1:25" ht="22.5" customHeight="1" thickTop="1" thickBot="1">
      <c r="A175" s="368" t="s">
        <v>1320</v>
      </c>
      <c r="B175" s="360" t="s">
        <v>1324</v>
      </c>
      <c r="C175" s="360" t="s">
        <v>1337</v>
      </c>
      <c r="D175" s="360" t="s">
        <v>1361</v>
      </c>
      <c r="E175" s="360" t="s">
        <v>1324</v>
      </c>
      <c r="F175" s="359" t="s">
        <v>1324</v>
      </c>
      <c r="G175" s="360"/>
      <c r="H175" s="360"/>
      <c r="I175" s="360"/>
      <c r="J175" s="361" t="s">
        <v>1430</v>
      </c>
      <c r="K175" s="375"/>
      <c r="L175" s="375"/>
      <c r="M175" s="375"/>
      <c r="N175" s="375"/>
      <c r="O175" s="375"/>
      <c r="P175" s="375"/>
      <c r="Q175" s="375"/>
      <c r="R175" s="375"/>
      <c r="S175" s="375"/>
      <c r="T175" s="375"/>
      <c r="U175" s="370"/>
      <c r="V175" s="368"/>
      <c r="W175" s="368" t="s">
        <v>1431</v>
      </c>
      <c r="X175" s="368" t="s">
        <v>1432</v>
      </c>
      <c r="Y175" s="340" t="s">
        <v>1322</v>
      </c>
    </row>
    <row r="176" spans="1:25" ht="22.5" customHeight="1" thickTop="1" thickBot="1">
      <c r="A176" s="368" t="s">
        <v>1320</v>
      </c>
      <c r="B176" s="360" t="s">
        <v>1324</v>
      </c>
      <c r="C176" s="360" t="s">
        <v>1337</v>
      </c>
      <c r="D176" s="360" t="s">
        <v>1361</v>
      </c>
      <c r="E176" s="360" t="s">
        <v>1324</v>
      </c>
      <c r="F176" s="360" t="s">
        <v>1324</v>
      </c>
      <c r="G176" s="359" t="s">
        <v>1324</v>
      </c>
      <c r="H176" s="360"/>
      <c r="I176" s="360"/>
      <c r="J176" s="365" t="s">
        <v>1433</v>
      </c>
      <c r="K176" s="375"/>
      <c r="L176" s="375"/>
      <c r="M176" s="375"/>
      <c r="N176" s="375"/>
      <c r="O176" s="375"/>
      <c r="P176" s="375"/>
      <c r="Q176" s="375"/>
      <c r="R176" s="375"/>
      <c r="S176" s="375"/>
      <c r="T176" s="375"/>
      <c r="U176" s="370"/>
      <c r="V176" s="368"/>
      <c r="W176" s="368"/>
      <c r="X176" s="368"/>
      <c r="Y176" s="340" t="s">
        <v>1322</v>
      </c>
    </row>
    <row r="177" spans="1:25" ht="22.5" customHeight="1" thickTop="1" thickBot="1">
      <c r="A177" s="368" t="s">
        <v>1320</v>
      </c>
      <c r="B177" s="360" t="s">
        <v>1324</v>
      </c>
      <c r="C177" s="360" t="s">
        <v>1337</v>
      </c>
      <c r="D177" s="360" t="s">
        <v>1361</v>
      </c>
      <c r="E177" s="360" t="s">
        <v>1324</v>
      </c>
      <c r="F177" s="360" t="s">
        <v>1324</v>
      </c>
      <c r="G177" s="359" t="s">
        <v>1337</v>
      </c>
      <c r="H177" s="360"/>
      <c r="I177" s="360"/>
      <c r="J177" s="365" t="s">
        <v>1434</v>
      </c>
      <c r="K177" s="376"/>
      <c r="L177" s="376"/>
      <c r="M177" s="376"/>
      <c r="N177" s="376"/>
      <c r="O177" s="376"/>
      <c r="P177" s="376"/>
      <c r="Q177" s="376"/>
      <c r="R177" s="376"/>
      <c r="S177" s="376"/>
      <c r="T177" s="376"/>
      <c r="U177" s="372"/>
      <c r="V177" s="368"/>
      <c r="W177" s="368"/>
      <c r="X177" s="368"/>
      <c r="Y177" s="340" t="s">
        <v>1322</v>
      </c>
    </row>
    <row r="178" spans="1:25" ht="22.5" customHeight="1" thickTop="1" thickBot="1">
      <c r="A178" s="368" t="s">
        <v>1320</v>
      </c>
      <c r="B178" s="360" t="s">
        <v>1324</v>
      </c>
      <c r="C178" s="360" t="s">
        <v>1337</v>
      </c>
      <c r="D178" s="360" t="s">
        <v>1361</v>
      </c>
      <c r="E178" s="360" t="s">
        <v>1324</v>
      </c>
      <c r="F178" s="360" t="s">
        <v>1324</v>
      </c>
      <c r="G178" s="359" t="s">
        <v>1361</v>
      </c>
      <c r="H178" s="360"/>
      <c r="I178" s="360"/>
      <c r="J178" s="365" t="s">
        <v>1789</v>
      </c>
      <c r="K178" s="376"/>
      <c r="L178" s="376"/>
      <c r="M178" s="376"/>
      <c r="N178" s="376"/>
      <c r="O178" s="376"/>
      <c r="P178" s="376"/>
      <c r="Q178" s="376"/>
      <c r="R178" s="376"/>
      <c r="S178" s="376"/>
      <c r="T178" s="376"/>
      <c r="U178" s="372"/>
      <c r="V178" s="368"/>
      <c r="W178" s="368"/>
      <c r="X178" s="368"/>
      <c r="Y178" s="340"/>
    </row>
    <row r="179" spans="1:25" ht="22.5" customHeight="1" thickTop="1" thickBot="1">
      <c r="A179" s="368" t="s">
        <v>1320</v>
      </c>
      <c r="B179" s="360" t="s">
        <v>1324</v>
      </c>
      <c r="C179" s="360" t="s">
        <v>1337</v>
      </c>
      <c r="D179" s="360" t="s">
        <v>1361</v>
      </c>
      <c r="E179" s="360" t="s">
        <v>1324</v>
      </c>
      <c r="F179" s="360" t="s">
        <v>1324</v>
      </c>
      <c r="G179" s="359" t="s">
        <v>1365</v>
      </c>
      <c r="H179" s="360"/>
      <c r="I179" s="360"/>
      <c r="J179" s="365" t="s">
        <v>1790</v>
      </c>
      <c r="K179" s="376"/>
      <c r="L179" s="376"/>
      <c r="M179" s="376"/>
      <c r="N179" s="376"/>
      <c r="O179" s="376"/>
      <c r="P179" s="376"/>
      <c r="Q179" s="376"/>
      <c r="R179" s="376"/>
      <c r="S179" s="376"/>
      <c r="T179" s="376"/>
      <c r="U179" s="372"/>
      <c r="V179" s="368"/>
      <c r="W179" s="368"/>
      <c r="X179" s="368"/>
      <c r="Y179" s="340"/>
    </row>
    <row r="180" spans="1:25" ht="22.5" customHeight="1" thickTop="1" thickBot="1">
      <c r="A180" s="368" t="s">
        <v>1320</v>
      </c>
      <c r="B180" s="360" t="s">
        <v>1324</v>
      </c>
      <c r="C180" s="360" t="s">
        <v>1337</v>
      </c>
      <c r="D180" s="360" t="s">
        <v>1361</v>
      </c>
      <c r="E180" s="360" t="s">
        <v>1324</v>
      </c>
      <c r="F180" s="360" t="s">
        <v>1324</v>
      </c>
      <c r="G180" s="359" t="s">
        <v>1390</v>
      </c>
      <c r="H180" s="360"/>
      <c r="I180" s="360"/>
      <c r="J180" s="365" t="s">
        <v>1791</v>
      </c>
      <c r="K180" s="376"/>
      <c r="L180" s="376"/>
      <c r="M180" s="376"/>
      <c r="N180" s="376"/>
      <c r="O180" s="376"/>
      <c r="P180" s="376"/>
      <c r="Q180" s="376"/>
      <c r="R180" s="376"/>
      <c r="S180" s="376"/>
      <c r="T180" s="376"/>
      <c r="U180" s="372"/>
      <c r="V180" s="368"/>
      <c r="W180" s="368"/>
      <c r="X180" s="368"/>
      <c r="Y180" s="340"/>
    </row>
    <row r="181" spans="1:25" ht="22.5" customHeight="1" thickTop="1" thickBot="1">
      <c r="A181" s="368" t="s">
        <v>1320</v>
      </c>
      <c r="B181" s="360" t="s">
        <v>1324</v>
      </c>
      <c r="C181" s="360" t="s">
        <v>1337</v>
      </c>
      <c r="D181" s="360" t="s">
        <v>1361</v>
      </c>
      <c r="E181" s="360" t="s">
        <v>1324</v>
      </c>
      <c r="F181" s="360" t="s">
        <v>1324</v>
      </c>
      <c r="G181" s="359" t="s">
        <v>1413</v>
      </c>
      <c r="H181" s="360"/>
      <c r="I181" s="360"/>
      <c r="J181" s="365" t="s">
        <v>1792</v>
      </c>
      <c r="K181" s="376"/>
      <c r="L181" s="376"/>
      <c r="M181" s="376"/>
      <c r="N181" s="376"/>
      <c r="O181" s="376"/>
      <c r="P181" s="376"/>
      <c r="Q181" s="376"/>
      <c r="R181" s="376"/>
      <c r="S181" s="376"/>
      <c r="T181" s="376"/>
      <c r="U181" s="372"/>
      <c r="V181" s="368"/>
      <c r="W181" s="368"/>
      <c r="X181" s="368"/>
      <c r="Y181" s="340"/>
    </row>
    <row r="182" spans="1:25" ht="22.5" customHeight="1" thickTop="1" thickBot="1">
      <c r="A182" s="368" t="s">
        <v>1320</v>
      </c>
      <c r="B182" s="360" t="s">
        <v>1324</v>
      </c>
      <c r="C182" s="360" t="s">
        <v>1337</v>
      </c>
      <c r="D182" s="360" t="s">
        <v>1361</v>
      </c>
      <c r="E182" s="360" t="s">
        <v>1324</v>
      </c>
      <c r="F182" s="360" t="s">
        <v>1324</v>
      </c>
      <c r="G182" s="359" t="s">
        <v>1417</v>
      </c>
      <c r="H182" s="360"/>
      <c r="I182" s="360"/>
      <c r="J182" s="365" t="s">
        <v>1793</v>
      </c>
      <c r="K182" s="376"/>
      <c r="L182" s="376"/>
      <c r="M182" s="376"/>
      <c r="N182" s="376"/>
      <c r="O182" s="376"/>
      <c r="P182" s="376"/>
      <c r="Q182" s="376"/>
      <c r="R182" s="376"/>
      <c r="S182" s="376"/>
      <c r="T182" s="376"/>
      <c r="U182" s="372"/>
      <c r="V182" s="368"/>
      <c r="W182" s="368"/>
      <c r="X182" s="368"/>
      <c r="Y182" s="340"/>
    </row>
    <row r="183" spans="1:25" ht="22.5" customHeight="1" thickTop="1" thickBot="1">
      <c r="A183" s="368" t="s">
        <v>1320</v>
      </c>
      <c r="B183" s="360" t="s">
        <v>1324</v>
      </c>
      <c r="C183" s="360" t="s">
        <v>1337</v>
      </c>
      <c r="D183" s="360" t="s">
        <v>1361</v>
      </c>
      <c r="E183" s="360" t="s">
        <v>1324</v>
      </c>
      <c r="F183" s="360" t="s">
        <v>1324</v>
      </c>
      <c r="G183" s="359" t="s">
        <v>1421</v>
      </c>
      <c r="H183" s="360"/>
      <c r="I183" s="360"/>
      <c r="J183" s="365" t="s">
        <v>1790</v>
      </c>
      <c r="K183" s="376"/>
      <c r="L183" s="376"/>
      <c r="M183" s="376"/>
      <c r="N183" s="376"/>
      <c r="O183" s="376"/>
      <c r="P183" s="376"/>
      <c r="Q183" s="376"/>
      <c r="R183" s="376"/>
      <c r="S183" s="376"/>
      <c r="T183" s="376"/>
      <c r="U183" s="372"/>
      <c r="V183" s="368"/>
      <c r="W183" s="368"/>
      <c r="X183" s="368"/>
      <c r="Y183" s="340"/>
    </row>
    <row r="184" spans="1:25" s="419" customFormat="1" ht="22.5" customHeight="1" thickTop="1" thickBot="1">
      <c r="A184" s="412" t="s">
        <v>1320</v>
      </c>
      <c r="B184" s="413" t="s">
        <v>1324</v>
      </c>
      <c r="C184" s="413" t="s">
        <v>1337</v>
      </c>
      <c r="D184" s="413" t="s">
        <v>1361</v>
      </c>
      <c r="E184" s="413" t="s">
        <v>1324</v>
      </c>
      <c r="F184" s="414" t="s">
        <v>1337</v>
      </c>
      <c r="G184" s="413"/>
      <c r="H184" s="413"/>
      <c r="I184" s="413"/>
      <c r="J184" s="415" t="s">
        <v>1788</v>
      </c>
      <c r="K184" s="416"/>
      <c r="L184" s="416"/>
      <c r="M184" s="416"/>
      <c r="N184" s="416"/>
      <c r="O184" s="416"/>
      <c r="P184" s="416"/>
      <c r="Q184" s="416"/>
      <c r="R184" s="416"/>
      <c r="S184" s="416"/>
      <c r="T184" s="416"/>
      <c r="U184" s="417"/>
      <c r="V184" s="412"/>
      <c r="W184" s="412" t="s">
        <v>1435</v>
      </c>
      <c r="X184" s="412" t="s">
        <v>1436</v>
      </c>
      <c r="Y184" s="418" t="s">
        <v>1322</v>
      </c>
    </row>
    <row r="185" spans="1:25" ht="22.5" customHeight="1" thickTop="1" thickBot="1">
      <c r="A185" s="368"/>
      <c r="B185" s="360"/>
      <c r="C185" s="360"/>
      <c r="D185" s="360"/>
      <c r="E185" s="360"/>
      <c r="F185" s="360"/>
      <c r="G185" s="359"/>
      <c r="H185" s="360"/>
      <c r="I185" s="360"/>
      <c r="J185" s="365"/>
      <c r="K185" s="376"/>
      <c r="L185" s="376"/>
      <c r="M185" s="376"/>
      <c r="N185" s="376"/>
      <c r="O185" s="376"/>
      <c r="P185" s="376"/>
      <c r="Q185" s="376"/>
      <c r="R185" s="376"/>
      <c r="S185" s="376"/>
      <c r="T185" s="376"/>
      <c r="U185" s="372"/>
      <c r="V185" s="368"/>
      <c r="W185" s="368"/>
      <c r="X185" s="368"/>
      <c r="Y185" s="340"/>
    </row>
    <row r="186" spans="1:25" ht="22.5" customHeight="1" thickTop="1" thickBot="1">
      <c r="A186" s="353" t="s">
        <v>1320</v>
      </c>
      <c r="B186" s="354" t="s">
        <v>1324</v>
      </c>
      <c r="C186" s="354" t="s">
        <v>1337</v>
      </c>
      <c r="D186" s="354" t="s">
        <v>1365</v>
      </c>
      <c r="E186" s="354"/>
      <c r="F186" s="355"/>
      <c r="G186" s="355"/>
      <c r="H186" s="355"/>
      <c r="I186" s="355"/>
      <c r="J186" s="356" t="s">
        <v>1437</v>
      </c>
      <c r="K186" s="374"/>
      <c r="L186" s="374"/>
      <c r="M186" s="374"/>
      <c r="N186" s="374"/>
      <c r="O186" s="374"/>
      <c r="P186" s="374"/>
      <c r="Q186" s="374"/>
      <c r="R186" s="374"/>
      <c r="S186" s="374"/>
      <c r="T186" s="374"/>
      <c r="U186" s="358"/>
      <c r="V186" s="354"/>
      <c r="W186" s="353" t="s">
        <v>1395</v>
      </c>
      <c r="X186" s="353" t="s">
        <v>1396</v>
      </c>
      <c r="Y186" s="340" t="s">
        <v>1322</v>
      </c>
    </row>
    <row r="187" spans="1:25" s="147" customFormat="1" ht="22.5" customHeight="1" thickTop="1" thickBot="1">
      <c r="A187" s="364" t="s">
        <v>1320</v>
      </c>
      <c r="B187" s="364" t="s">
        <v>1324</v>
      </c>
      <c r="C187" s="359" t="s">
        <v>1337</v>
      </c>
      <c r="D187" s="359" t="s">
        <v>1365</v>
      </c>
      <c r="E187" s="359" t="s">
        <v>1324</v>
      </c>
      <c r="F187" s="359"/>
      <c r="G187" s="359"/>
      <c r="H187" s="360"/>
      <c r="I187" s="360"/>
      <c r="J187" s="361" t="s">
        <v>1438</v>
      </c>
      <c r="K187" s="375"/>
      <c r="L187" s="375"/>
      <c r="M187" s="375"/>
      <c r="N187" s="375"/>
      <c r="O187" s="375"/>
      <c r="P187" s="375"/>
      <c r="Q187" s="375"/>
      <c r="R187" s="375"/>
      <c r="S187" s="375"/>
      <c r="T187" s="375"/>
      <c r="U187" s="370"/>
      <c r="V187" s="359"/>
      <c r="W187" s="364" t="s">
        <v>1439</v>
      </c>
      <c r="X187" s="364"/>
      <c r="Y187" s="340" t="s">
        <v>1322</v>
      </c>
    </row>
    <row r="188" spans="1:25" s="147" customFormat="1" ht="22.5" customHeight="1" thickTop="1" thickBot="1">
      <c r="A188" s="368" t="s">
        <v>1320</v>
      </c>
      <c r="B188" s="368" t="s">
        <v>1324</v>
      </c>
      <c r="C188" s="360" t="s">
        <v>1337</v>
      </c>
      <c r="D188" s="360" t="s">
        <v>1365</v>
      </c>
      <c r="E188" s="368" t="s">
        <v>1324</v>
      </c>
      <c r="F188" s="359" t="s">
        <v>1324</v>
      </c>
      <c r="G188" s="359"/>
      <c r="H188" s="360"/>
      <c r="I188" s="360"/>
      <c r="J188" s="361" t="s">
        <v>1440</v>
      </c>
      <c r="K188" s="375"/>
      <c r="L188" s="375"/>
      <c r="M188" s="375"/>
      <c r="N188" s="375"/>
      <c r="O188" s="375"/>
      <c r="P188" s="375"/>
      <c r="Q188" s="375"/>
      <c r="R188" s="375"/>
      <c r="S188" s="375"/>
      <c r="T188" s="375"/>
      <c r="U188" s="370"/>
      <c r="V188" s="359"/>
      <c r="W188" s="364"/>
      <c r="X188" s="364"/>
      <c r="Y188" s="340"/>
    </row>
    <row r="189" spans="1:25" ht="22.5" customHeight="1" thickTop="1" thickBot="1">
      <c r="A189" s="368" t="s">
        <v>1320</v>
      </c>
      <c r="B189" s="368" t="s">
        <v>1324</v>
      </c>
      <c r="C189" s="360" t="s">
        <v>1337</v>
      </c>
      <c r="D189" s="360" t="s">
        <v>1365</v>
      </c>
      <c r="E189" s="368" t="s">
        <v>1324</v>
      </c>
      <c r="F189" s="360" t="s">
        <v>1324</v>
      </c>
      <c r="G189" s="359" t="s">
        <v>1324</v>
      </c>
      <c r="H189" s="360"/>
      <c r="I189" s="360"/>
      <c r="J189" s="361" t="s">
        <v>1441</v>
      </c>
      <c r="K189" s="375"/>
      <c r="L189" s="375"/>
      <c r="M189" s="375"/>
      <c r="N189" s="375"/>
      <c r="O189" s="375"/>
      <c r="P189" s="375"/>
      <c r="Q189" s="375"/>
      <c r="R189" s="375"/>
      <c r="S189" s="375"/>
      <c r="T189" s="375"/>
      <c r="U189" s="370"/>
      <c r="V189" s="359"/>
      <c r="W189" s="368" t="s">
        <v>1398</v>
      </c>
      <c r="X189" s="368"/>
      <c r="Y189" s="340" t="s">
        <v>1322</v>
      </c>
    </row>
    <row r="190" spans="1:25" ht="22.5" customHeight="1" thickTop="1" thickBot="1">
      <c r="A190" s="368" t="s">
        <v>1320</v>
      </c>
      <c r="B190" s="368" t="s">
        <v>1324</v>
      </c>
      <c r="C190" s="360" t="s">
        <v>1337</v>
      </c>
      <c r="D190" s="360" t="s">
        <v>1365</v>
      </c>
      <c r="E190" s="368" t="s">
        <v>1324</v>
      </c>
      <c r="F190" s="360" t="s">
        <v>1324</v>
      </c>
      <c r="G190" s="360" t="s">
        <v>1324</v>
      </c>
      <c r="H190" s="360" t="s">
        <v>1324</v>
      </c>
      <c r="I190" s="360"/>
      <c r="J190" s="361" t="s">
        <v>1442</v>
      </c>
      <c r="K190" s="376"/>
      <c r="L190" s="376"/>
      <c r="M190" s="376"/>
      <c r="N190" s="376"/>
      <c r="O190" s="376"/>
      <c r="P190" s="376"/>
      <c r="Q190" s="376"/>
      <c r="R190" s="376"/>
      <c r="S190" s="376"/>
      <c r="T190" s="376"/>
      <c r="U190" s="370"/>
      <c r="V190" s="359"/>
      <c r="W190" s="368"/>
      <c r="X190" s="368"/>
      <c r="Y190" s="340" t="s">
        <v>1322</v>
      </c>
    </row>
    <row r="191" spans="1:25" ht="22.5" customHeight="1" thickTop="1" thickBot="1">
      <c r="A191" s="368" t="s">
        <v>1320</v>
      </c>
      <c r="B191" s="368" t="s">
        <v>1324</v>
      </c>
      <c r="C191" s="360" t="s">
        <v>1337</v>
      </c>
      <c r="D191" s="360" t="s">
        <v>1365</v>
      </c>
      <c r="E191" s="368" t="s">
        <v>1324</v>
      </c>
      <c r="F191" s="360" t="s">
        <v>1324</v>
      </c>
      <c r="G191" s="360" t="s">
        <v>1324</v>
      </c>
      <c r="H191" s="360" t="s">
        <v>1324</v>
      </c>
      <c r="I191" s="360" t="s">
        <v>1324</v>
      </c>
      <c r="J191" s="365" t="s">
        <v>1443</v>
      </c>
      <c r="K191" s="376"/>
      <c r="L191" s="376"/>
      <c r="M191" s="376"/>
      <c r="N191" s="376"/>
      <c r="O191" s="376"/>
      <c r="P191" s="376"/>
      <c r="Q191" s="376"/>
      <c r="R191" s="376"/>
      <c r="S191" s="376"/>
      <c r="T191" s="376"/>
      <c r="U191" s="372"/>
      <c r="V191" s="359"/>
      <c r="W191" s="368"/>
      <c r="X191" s="368"/>
      <c r="Y191" s="340"/>
    </row>
    <row r="192" spans="1:25" ht="22.5" customHeight="1" thickTop="1" thickBot="1">
      <c r="A192" s="368" t="s">
        <v>1320</v>
      </c>
      <c r="B192" s="368" t="s">
        <v>1324</v>
      </c>
      <c r="C192" s="360" t="s">
        <v>1337</v>
      </c>
      <c r="D192" s="360" t="s">
        <v>1365</v>
      </c>
      <c r="E192" s="368" t="s">
        <v>1324</v>
      </c>
      <c r="F192" s="360" t="s">
        <v>1324</v>
      </c>
      <c r="G192" s="360" t="s">
        <v>1324</v>
      </c>
      <c r="H192" s="360" t="s">
        <v>1324</v>
      </c>
      <c r="I192" s="360" t="s">
        <v>1337</v>
      </c>
      <c r="J192" s="365" t="s">
        <v>1444</v>
      </c>
      <c r="K192" s="376"/>
      <c r="L192" s="376"/>
      <c r="M192" s="376"/>
      <c r="N192" s="376"/>
      <c r="O192" s="376"/>
      <c r="P192" s="376"/>
      <c r="Q192" s="376"/>
      <c r="R192" s="376"/>
      <c r="S192" s="376"/>
      <c r="T192" s="376"/>
      <c r="U192" s="372"/>
      <c r="V192" s="359"/>
      <c r="W192" s="368"/>
      <c r="X192" s="368"/>
      <c r="Y192" s="340"/>
    </row>
    <row r="193" spans="1:25" ht="22.5" customHeight="1" thickTop="1" thickBot="1">
      <c r="A193" s="368" t="s">
        <v>1320</v>
      </c>
      <c r="B193" s="368" t="s">
        <v>1324</v>
      </c>
      <c r="C193" s="360" t="s">
        <v>1337</v>
      </c>
      <c r="D193" s="360" t="s">
        <v>1365</v>
      </c>
      <c r="E193" s="368" t="s">
        <v>1324</v>
      </c>
      <c r="F193" s="360" t="s">
        <v>1324</v>
      </c>
      <c r="G193" s="360" t="s">
        <v>1324</v>
      </c>
      <c r="H193" s="360" t="s">
        <v>1337</v>
      </c>
      <c r="I193" s="360"/>
      <c r="J193" s="361" t="s">
        <v>1445</v>
      </c>
      <c r="K193" s="376"/>
      <c r="L193" s="376"/>
      <c r="M193" s="376"/>
      <c r="N193" s="376"/>
      <c r="O193" s="376"/>
      <c r="P193" s="376"/>
      <c r="Q193" s="376"/>
      <c r="R193" s="376"/>
      <c r="S193" s="376"/>
      <c r="T193" s="376"/>
      <c r="U193" s="370"/>
      <c r="V193" s="359"/>
      <c r="W193" s="368"/>
      <c r="X193" s="368"/>
      <c r="Y193" s="340" t="s">
        <v>1322</v>
      </c>
    </row>
    <row r="194" spans="1:25" ht="22.5" customHeight="1" thickTop="1" thickBot="1">
      <c r="A194" s="368" t="s">
        <v>1320</v>
      </c>
      <c r="B194" s="368" t="s">
        <v>1324</v>
      </c>
      <c r="C194" s="360" t="s">
        <v>1337</v>
      </c>
      <c r="D194" s="360" t="s">
        <v>1365</v>
      </c>
      <c r="E194" s="368" t="s">
        <v>1324</v>
      </c>
      <c r="F194" s="360" t="s">
        <v>1324</v>
      </c>
      <c r="G194" s="360" t="s">
        <v>1324</v>
      </c>
      <c r="H194" s="360" t="s">
        <v>1337</v>
      </c>
      <c r="I194" s="360" t="s">
        <v>1324</v>
      </c>
      <c r="J194" s="365" t="s">
        <v>1446</v>
      </c>
      <c r="K194" s="376"/>
      <c r="L194" s="376"/>
      <c r="M194" s="376"/>
      <c r="N194" s="376"/>
      <c r="O194" s="376"/>
      <c r="P194" s="376"/>
      <c r="Q194" s="376"/>
      <c r="R194" s="376"/>
      <c r="S194" s="376"/>
      <c r="T194" s="376"/>
      <c r="U194" s="372"/>
      <c r="V194" s="359"/>
      <c r="W194" s="368"/>
      <c r="X194" s="368"/>
      <c r="Y194" s="340"/>
    </row>
    <row r="195" spans="1:25" ht="22.5" customHeight="1" thickTop="1" thickBot="1">
      <c r="A195" s="368" t="s">
        <v>1320</v>
      </c>
      <c r="B195" s="368" t="s">
        <v>1324</v>
      </c>
      <c r="C195" s="360" t="s">
        <v>1337</v>
      </c>
      <c r="D195" s="360" t="s">
        <v>1365</v>
      </c>
      <c r="E195" s="368" t="s">
        <v>1324</v>
      </c>
      <c r="F195" s="360" t="s">
        <v>1324</v>
      </c>
      <c r="G195" s="360" t="s">
        <v>1324</v>
      </c>
      <c r="H195" s="360" t="s">
        <v>1337</v>
      </c>
      <c r="I195" s="360" t="s">
        <v>1337</v>
      </c>
      <c r="J195" s="365" t="s">
        <v>1447</v>
      </c>
      <c r="K195" s="376"/>
      <c r="L195" s="376"/>
      <c r="M195" s="376"/>
      <c r="N195" s="376"/>
      <c r="O195" s="376"/>
      <c r="P195" s="376"/>
      <c r="Q195" s="376"/>
      <c r="R195" s="376"/>
      <c r="S195" s="376"/>
      <c r="T195" s="376"/>
      <c r="U195" s="372"/>
      <c r="V195" s="359"/>
      <c r="W195" s="368"/>
      <c r="X195" s="368"/>
      <c r="Y195" s="340"/>
    </row>
    <row r="196" spans="1:25" ht="22.5" customHeight="1" thickTop="1" thickBot="1">
      <c r="A196" s="368" t="s">
        <v>1320</v>
      </c>
      <c r="B196" s="368" t="s">
        <v>1324</v>
      </c>
      <c r="C196" s="360" t="s">
        <v>1337</v>
      </c>
      <c r="D196" s="360" t="s">
        <v>1365</v>
      </c>
      <c r="E196" s="368" t="s">
        <v>1324</v>
      </c>
      <c r="F196" s="359" t="s">
        <v>1337</v>
      </c>
      <c r="G196" s="360"/>
      <c r="H196" s="360"/>
      <c r="I196" s="360"/>
      <c r="J196" s="361" t="s">
        <v>1448</v>
      </c>
      <c r="K196" s="376"/>
      <c r="L196" s="376"/>
      <c r="M196" s="376"/>
      <c r="N196" s="376"/>
      <c r="O196" s="376"/>
      <c r="P196" s="376"/>
      <c r="Q196" s="376"/>
      <c r="R196" s="376"/>
      <c r="S196" s="376"/>
      <c r="T196" s="376"/>
      <c r="U196" s="370"/>
      <c r="V196" s="359"/>
      <c r="W196" s="368"/>
      <c r="X196" s="368"/>
      <c r="Y196" s="340"/>
    </row>
    <row r="197" spans="1:25" ht="22.5" customHeight="1" thickTop="1" thickBot="1">
      <c r="A197" s="368" t="s">
        <v>1320</v>
      </c>
      <c r="B197" s="368" t="s">
        <v>1324</v>
      </c>
      <c r="C197" s="360" t="s">
        <v>1337</v>
      </c>
      <c r="D197" s="360" t="s">
        <v>1365</v>
      </c>
      <c r="E197" s="368" t="s">
        <v>1324</v>
      </c>
      <c r="F197" s="360" t="s">
        <v>1337</v>
      </c>
      <c r="G197" s="359" t="s">
        <v>1324</v>
      </c>
      <c r="H197" s="360"/>
      <c r="I197" s="360"/>
      <c r="J197" s="365" t="s">
        <v>1449</v>
      </c>
      <c r="K197" s="376"/>
      <c r="L197" s="376"/>
      <c r="M197" s="376"/>
      <c r="N197" s="376"/>
      <c r="O197" s="376"/>
      <c r="P197" s="376"/>
      <c r="Q197" s="376"/>
      <c r="R197" s="376"/>
      <c r="S197" s="376"/>
      <c r="T197" s="376"/>
      <c r="U197" s="372"/>
      <c r="V197" s="359"/>
      <c r="W197" s="368"/>
      <c r="X197" s="368"/>
      <c r="Y197" s="340"/>
    </row>
    <row r="198" spans="1:25" ht="22.5" customHeight="1" thickTop="1" thickBot="1">
      <c r="A198" s="368" t="s">
        <v>1320</v>
      </c>
      <c r="B198" s="368" t="s">
        <v>1324</v>
      </c>
      <c r="C198" s="360" t="s">
        <v>1337</v>
      </c>
      <c r="D198" s="360" t="s">
        <v>1365</v>
      </c>
      <c r="E198" s="368" t="s">
        <v>1324</v>
      </c>
      <c r="F198" s="360" t="s">
        <v>1337</v>
      </c>
      <c r="G198" s="359" t="s">
        <v>1337</v>
      </c>
      <c r="H198" s="360"/>
      <c r="I198" s="360"/>
      <c r="J198" s="365" t="s">
        <v>1450</v>
      </c>
      <c r="K198" s="376"/>
      <c r="L198" s="376"/>
      <c r="M198" s="376"/>
      <c r="N198" s="376"/>
      <c r="O198" s="376"/>
      <c r="P198" s="376"/>
      <c r="Q198" s="376"/>
      <c r="R198" s="376"/>
      <c r="S198" s="376"/>
      <c r="T198" s="376"/>
      <c r="U198" s="372"/>
      <c r="V198" s="359"/>
      <c r="W198" s="368"/>
      <c r="X198" s="368"/>
      <c r="Y198" s="340"/>
    </row>
    <row r="199" spans="1:25" s="147" customFormat="1" ht="22.5" customHeight="1" thickTop="1" thickBot="1">
      <c r="A199" s="364" t="s">
        <v>1320</v>
      </c>
      <c r="B199" s="364" t="s">
        <v>1324</v>
      </c>
      <c r="C199" s="359" t="s">
        <v>1337</v>
      </c>
      <c r="D199" s="359" t="s">
        <v>1365</v>
      </c>
      <c r="E199" s="359" t="s">
        <v>1337</v>
      </c>
      <c r="F199" s="359"/>
      <c r="G199" s="359"/>
      <c r="H199" s="360"/>
      <c r="I199" s="360"/>
      <c r="J199" s="361" t="s">
        <v>1451</v>
      </c>
      <c r="K199" s="377"/>
      <c r="L199" s="377"/>
      <c r="M199" s="377"/>
      <c r="N199" s="377"/>
      <c r="O199" s="377"/>
      <c r="P199" s="377"/>
      <c r="Q199" s="377"/>
      <c r="R199" s="377"/>
      <c r="S199" s="377"/>
      <c r="T199" s="377"/>
      <c r="U199" s="363"/>
      <c r="V199" s="359"/>
      <c r="W199" s="364" t="s">
        <v>1452</v>
      </c>
      <c r="X199" s="364"/>
      <c r="Y199" s="340" t="s">
        <v>1322</v>
      </c>
    </row>
    <row r="200" spans="1:25" ht="22.5" customHeight="1" thickTop="1" thickBot="1">
      <c r="A200" s="360" t="s">
        <v>1320</v>
      </c>
      <c r="B200" s="368" t="s">
        <v>1324</v>
      </c>
      <c r="C200" s="360" t="s">
        <v>1337</v>
      </c>
      <c r="D200" s="360" t="s">
        <v>1365</v>
      </c>
      <c r="E200" s="360" t="s">
        <v>1337</v>
      </c>
      <c r="F200" s="359" t="s">
        <v>1324</v>
      </c>
      <c r="G200" s="360"/>
      <c r="H200" s="360"/>
      <c r="I200" s="360"/>
      <c r="J200" s="361" t="s">
        <v>1453</v>
      </c>
      <c r="K200" s="375"/>
      <c r="L200" s="375"/>
      <c r="M200" s="375"/>
      <c r="N200" s="375"/>
      <c r="O200" s="375"/>
      <c r="P200" s="375"/>
      <c r="Q200" s="375"/>
      <c r="R200" s="375"/>
      <c r="S200" s="375"/>
      <c r="T200" s="375"/>
      <c r="U200" s="370"/>
      <c r="V200" s="359"/>
      <c r="W200" s="368" t="s">
        <v>1454</v>
      </c>
      <c r="X200" s="368" t="s">
        <v>1455</v>
      </c>
      <c r="Y200" s="340" t="s">
        <v>1322</v>
      </c>
    </row>
    <row r="201" spans="1:25" ht="22.5" customHeight="1" thickTop="1" thickBot="1">
      <c r="A201" s="368" t="s">
        <v>1320</v>
      </c>
      <c r="B201" s="368" t="s">
        <v>1324</v>
      </c>
      <c r="C201" s="360" t="s">
        <v>1337</v>
      </c>
      <c r="D201" s="360" t="s">
        <v>1365</v>
      </c>
      <c r="E201" s="360" t="s">
        <v>1337</v>
      </c>
      <c r="F201" s="360" t="s">
        <v>1324</v>
      </c>
      <c r="G201" s="359" t="s">
        <v>1324</v>
      </c>
      <c r="H201" s="360"/>
      <c r="I201" s="360"/>
      <c r="J201" s="365" t="s">
        <v>1456</v>
      </c>
      <c r="K201" s="376"/>
      <c r="L201" s="376"/>
      <c r="M201" s="376"/>
      <c r="N201" s="376"/>
      <c r="O201" s="376"/>
      <c r="P201" s="376"/>
      <c r="Q201" s="376"/>
      <c r="R201" s="376"/>
      <c r="S201" s="376"/>
      <c r="T201" s="376"/>
      <c r="U201" s="372"/>
      <c r="V201" s="359"/>
      <c r="W201" s="368"/>
      <c r="X201" s="368"/>
      <c r="Y201" s="340" t="s">
        <v>1322</v>
      </c>
    </row>
    <row r="202" spans="1:25" ht="22.5" customHeight="1" thickTop="1" thickBot="1">
      <c r="A202" s="368" t="s">
        <v>1320</v>
      </c>
      <c r="B202" s="368" t="s">
        <v>1324</v>
      </c>
      <c r="C202" s="360" t="s">
        <v>1337</v>
      </c>
      <c r="D202" s="360" t="s">
        <v>1365</v>
      </c>
      <c r="E202" s="360" t="s">
        <v>1337</v>
      </c>
      <c r="F202" s="360" t="s">
        <v>1324</v>
      </c>
      <c r="G202" s="359" t="s">
        <v>1337</v>
      </c>
      <c r="H202" s="360"/>
      <c r="I202" s="360"/>
      <c r="J202" s="365" t="s">
        <v>1457</v>
      </c>
      <c r="K202" s="376"/>
      <c r="L202" s="376"/>
      <c r="M202" s="376"/>
      <c r="N202" s="376"/>
      <c r="O202" s="376"/>
      <c r="P202" s="376"/>
      <c r="Q202" s="376"/>
      <c r="R202" s="376"/>
      <c r="S202" s="376"/>
      <c r="T202" s="376"/>
      <c r="U202" s="372"/>
      <c r="V202" s="359"/>
      <c r="W202" s="368"/>
      <c r="X202" s="368"/>
      <c r="Y202" s="340" t="s">
        <v>1322</v>
      </c>
    </row>
    <row r="203" spans="1:25" ht="22.5" customHeight="1" thickTop="1" thickBot="1">
      <c r="A203" s="368" t="s">
        <v>1320</v>
      </c>
      <c r="B203" s="368" t="s">
        <v>1324</v>
      </c>
      <c r="C203" s="360" t="s">
        <v>1337</v>
      </c>
      <c r="D203" s="360" t="s">
        <v>1365</v>
      </c>
      <c r="E203" s="360" t="s">
        <v>1337</v>
      </c>
      <c r="F203" s="359" t="s">
        <v>1337</v>
      </c>
      <c r="G203" s="360"/>
      <c r="H203" s="360"/>
      <c r="I203" s="360"/>
      <c r="J203" s="361" t="s">
        <v>1458</v>
      </c>
      <c r="K203" s="375"/>
      <c r="L203" s="375"/>
      <c r="M203" s="375"/>
      <c r="N203" s="375"/>
      <c r="O203" s="375"/>
      <c r="P203" s="375"/>
      <c r="Q203" s="375"/>
      <c r="R203" s="375"/>
      <c r="S203" s="375"/>
      <c r="T203" s="375"/>
      <c r="U203" s="370"/>
      <c r="V203" s="359"/>
      <c r="W203" s="368"/>
      <c r="X203" s="368"/>
      <c r="Y203" s="340" t="s">
        <v>1322</v>
      </c>
    </row>
    <row r="204" spans="1:25" ht="22.5" customHeight="1" thickTop="1" thickBot="1">
      <c r="A204" s="368" t="s">
        <v>1320</v>
      </c>
      <c r="B204" s="368" t="s">
        <v>1324</v>
      </c>
      <c r="C204" s="360" t="s">
        <v>1337</v>
      </c>
      <c r="D204" s="360" t="s">
        <v>1365</v>
      </c>
      <c r="E204" s="360" t="s">
        <v>1337</v>
      </c>
      <c r="F204" s="360" t="s">
        <v>1337</v>
      </c>
      <c r="G204" s="359" t="s">
        <v>1324</v>
      </c>
      <c r="H204" s="360"/>
      <c r="I204" s="360"/>
      <c r="J204" s="365" t="s">
        <v>1459</v>
      </c>
      <c r="K204" s="376"/>
      <c r="L204" s="376"/>
      <c r="M204" s="376"/>
      <c r="N204" s="376"/>
      <c r="O204" s="376"/>
      <c r="P204" s="376"/>
      <c r="Q204" s="376"/>
      <c r="R204" s="376"/>
      <c r="S204" s="376"/>
      <c r="T204" s="376"/>
      <c r="U204" s="372"/>
      <c r="V204" s="359"/>
      <c r="W204" s="368"/>
      <c r="X204" s="368"/>
      <c r="Y204" s="340" t="s">
        <v>1322</v>
      </c>
    </row>
    <row r="205" spans="1:25" ht="22.5" customHeight="1" thickTop="1" thickBot="1">
      <c r="A205" s="368" t="s">
        <v>1320</v>
      </c>
      <c r="B205" s="368" t="s">
        <v>1324</v>
      </c>
      <c r="C205" s="360" t="s">
        <v>1337</v>
      </c>
      <c r="D205" s="360" t="s">
        <v>1365</v>
      </c>
      <c r="E205" s="360" t="s">
        <v>1337</v>
      </c>
      <c r="F205" s="360" t="s">
        <v>1337</v>
      </c>
      <c r="G205" s="359" t="s">
        <v>1337</v>
      </c>
      <c r="H205" s="360"/>
      <c r="I205" s="360"/>
      <c r="J205" s="365" t="s">
        <v>1460</v>
      </c>
      <c r="K205" s="376"/>
      <c r="L205" s="376"/>
      <c r="M205" s="376"/>
      <c r="N205" s="376"/>
      <c r="O205" s="376"/>
      <c r="P205" s="376"/>
      <c r="Q205" s="376"/>
      <c r="R205" s="376"/>
      <c r="S205" s="376"/>
      <c r="T205" s="376"/>
      <c r="U205" s="372"/>
      <c r="V205" s="359"/>
      <c r="W205" s="368"/>
      <c r="X205" s="368"/>
      <c r="Y205" s="340" t="s">
        <v>1322</v>
      </c>
    </row>
    <row r="206" spans="1:25" ht="22.5" customHeight="1" thickTop="1" thickBot="1">
      <c r="A206" s="368" t="s">
        <v>1320</v>
      </c>
      <c r="B206" s="368" t="s">
        <v>1324</v>
      </c>
      <c r="C206" s="360" t="s">
        <v>1337</v>
      </c>
      <c r="D206" s="360" t="s">
        <v>1365</v>
      </c>
      <c r="E206" s="360" t="s">
        <v>1337</v>
      </c>
      <c r="F206" s="359" t="s">
        <v>1361</v>
      </c>
      <c r="G206" s="360"/>
      <c r="H206" s="360"/>
      <c r="I206" s="360"/>
      <c r="J206" s="361" t="s">
        <v>1461</v>
      </c>
      <c r="K206" s="375"/>
      <c r="L206" s="375"/>
      <c r="M206" s="375"/>
      <c r="N206" s="375"/>
      <c r="O206" s="375"/>
      <c r="P206" s="375"/>
      <c r="Q206" s="375"/>
      <c r="R206" s="375"/>
      <c r="S206" s="375"/>
      <c r="T206" s="375"/>
      <c r="U206" s="370"/>
      <c r="V206" s="359"/>
      <c r="W206" s="368"/>
      <c r="X206" s="368"/>
      <c r="Y206" s="340" t="s">
        <v>1322</v>
      </c>
    </row>
    <row r="207" spans="1:25" ht="22.5" customHeight="1" thickTop="1" thickBot="1">
      <c r="A207" s="368" t="s">
        <v>1320</v>
      </c>
      <c r="B207" s="368" t="s">
        <v>1324</v>
      </c>
      <c r="C207" s="360" t="s">
        <v>1337</v>
      </c>
      <c r="D207" s="360" t="s">
        <v>1365</v>
      </c>
      <c r="E207" s="360" t="s">
        <v>1337</v>
      </c>
      <c r="F207" s="360" t="s">
        <v>1361</v>
      </c>
      <c r="G207" s="359" t="s">
        <v>1324</v>
      </c>
      <c r="H207" s="360"/>
      <c r="I207" s="360"/>
      <c r="J207" s="365" t="s">
        <v>1462</v>
      </c>
      <c r="K207" s="376"/>
      <c r="L207" s="376"/>
      <c r="M207" s="376"/>
      <c r="N207" s="376"/>
      <c r="O207" s="376"/>
      <c r="P207" s="376"/>
      <c r="Q207" s="376"/>
      <c r="R207" s="376"/>
      <c r="S207" s="376"/>
      <c r="T207" s="376"/>
      <c r="U207" s="372"/>
      <c r="V207" s="359"/>
      <c r="W207" s="368"/>
      <c r="X207" s="368"/>
      <c r="Y207" s="340" t="s">
        <v>1322</v>
      </c>
    </row>
    <row r="208" spans="1:25" ht="22.5" customHeight="1" thickTop="1" thickBot="1">
      <c r="A208" s="368" t="s">
        <v>1320</v>
      </c>
      <c r="B208" s="368" t="s">
        <v>1324</v>
      </c>
      <c r="C208" s="360" t="s">
        <v>1337</v>
      </c>
      <c r="D208" s="360" t="s">
        <v>1365</v>
      </c>
      <c r="E208" s="360" t="s">
        <v>1337</v>
      </c>
      <c r="F208" s="360" t="s">
        <v>1361</v>
      </c>
      <c r="G208" s="359" t="s">
        <v>1337</v>
      </c>
      <c r="H208" s="360"/>
      <c r="I208" s="360"/>
      <c r="J208" s="365" t="s">
        <v>1463</v>
      </c>
      <c r="K208" s="376"/>
      <c r="L208" s="376"/>
      <c r="M208" s="376"/>
      <c r="N208" s="376"/>
      <c r="O208" s="376"/>
      <c r="P208" s="376"/>
      <c r="Q208" s="376"/>
      <c r="R208" s="376"/>
      <c r="S208" s="376"/>
      <c r="T208" s="376"/>
      <c r="U208" s="372"/>
      <c r="V208" s="359"/>
      <c r="W208" s="368"/>
      <c r="X208" s="368"/>
      <c r="Y208" s="340" t="s">
        <v>1322</v>
      </c>
    </row>
    <row r="209" spans="1:25" ht="22.5" customHeight="1" thickTop="1" thickBot="1">
      <c r="A209" s="368" t="s">
        <v>1320</v>
      </c>
      <c r="B209" s="368" t="s">
        <v>1324</v>
      </c>
      <c r="C209" s="360" t="s">
        <v>1337</v>
      </c>
      <c r="D209" s="360" t="s">
        <v>1365</v>
      </c>
      <c r="E209" s="360" t="s">
        <v>1337</v>
      </c>
      <c r="F209" s="359" t="s">
        <v>1365</v>
      </c>
      <c r="G209" s="360"/>
      <c r="H209" s="360"/>
      <c r="I209" s="360"/>
      <c r="J209" s="361" t="s">
        <v>1464</v>
      </c>
      <c r="K209" s="375"/>
      <c r="L209" s="375"/>
      <c r="M209" s="375"/>
      <c r="N209" s="375"/>
      <c r="O209" s="375"/>
      <c r="P209" s="375"/>
      <c r="Q209" s="375"/>
      <c r="R209" s="375"/>
      <c r="S209" s="375"/>
      <c r="T209" s="375"/>
      <c r="U209" s="370"/>
      <c r="V209" s="359"/>
      <c r="W209" s="368"/>
      <c r="X209" s="368"/>
      <c r="Y209" s="340" t="s">
        <v>1322</v>
      </c>
    </row>
    <row r="210" spans="1:25" ht="22.5" customHeight="1" thickTop="1" thickBot="1">
      <c r="A210" s="368" t="s">
        <v>1320</v>
      </c>
      <c r="B210" s="368" t="s">
        <v>1324</v>
      </c>
      <c r="C210" s="360" t="s">
        <v>1337</v>
      </c>
      <c r="D210" s="360" t="s">
        <v>1365</v>
      </c>
      <c r="E210" s="360" t="s">
        <v>1337</v>
      </c>
      <c r="F210" s="360" t="s">
        <v>1365</v>
      </c>
      <c r="G210" s="359" t="s">
        <v>1324</v>
      </c>
      <c r="H210" s="360"/>
      <c r="I210" s="360"/>
      <c r="J210" s="365" t="s">
        <v>1465</v>
      </c>
      <c r="K210" s="376"/>
      <c r="L210" s="376"/>
      <c r="M210" s="376"/>
      <c r="N210" s="376"/>
      <c r="O210" s="376"/>
      <c r="P210" s="376"/>
      <c r="Q210" s="376"/>
      <c r="R210" s="376"/>
      <c r="S210" s="376"/>
      <c r="T210" s="376"/>
      <c r="U210" s="372"/>
      <c r="V210" s="359"/>
      <c r="W210" s="368"/>
      <c r="X210" s="368"/>
      <c r="Y210" s="340" t="s">
        <v>1322</v>
      </c>
    </row>
    <row r="211" spans="1:25" ht="22.5" customHeight="1" thickTop="1" thickBot="1">
      <c r="A211" s="368" t="s">
        <v>1320</v>
      </c>
      <c r="B211" s="368" t="s">
        <v>1324</v>
      </c>
      <c r="C211" s="360" t="s">
        <v>1337</v>
      </c>
      <c r="D211" s="360" t="s">
        <v>1365</v>
      </c>
      <c r="E211" s="360" t="s">
        <v>1337</v>
      </c>
      <c r="F211" s="360" t="s">
        <v>1365</v>
      </c>
      <c r="G211" s="359" t="s">
        <v>1337</v>
      </c>
      <c r="H211" s="360"/>
      <c r="I211" s="360"/>
      <c r="J211" s="365" t="s">
        <v>1466</v>
      </c>
      <c r="K211" s="376"/>
      <c r="L211" s="376"/>
      <c r="M211" s="376"/>
      <c r="N211" s="376"/>
      <c r="O211" s="376"/>
      <c r="P211" s="376"/>
      <c r="Q211" s="376"/>
      <c r="R211" s="376"/>
      <c r="S211" s="376"/>
      <c r="T211" s="376"/>
      <c r="U211" s="372"/>
      <c r="V211" s="359"/>
      <c r="W211" s="368"/>
      <c r="X211" s="368"/>
      <c r="Y211" s="340" t="s">
        <v>1322</v>
      </c>
    </row>
    <row r="212" spans="1:25" s="423" customFormat="1" ht="22.5" customHeight="1" thickTop="1" thickBot="1">
      <c r="A212" s="420" t="s">
        <v>1320</v>
      </c>
      <c r="B212" s="414" t="s">
        <v>1324</v>
      </c>
      <c r="C212" s="414" t="s">
        <v>1337</v>
      </c>
      <c r="D212" s="414" t="s">
        <v>1390</v>
      </c>
      <c r="E212" s="414"/>
      <c r="F212" s="414"/>
      <c r="G212" s="414"/>
      <c r="H212" s="413"/>
      <c r="I212" s="413"/>
      <c r="J212" s="415" t="s">
        <v>1467</v>
      </c>
      <c r="K212" s="421"/>
      <c r="L212" s="421"/>
      <c r="M212" s="421"/>
      <c r="N212" s="421"/>
      <c r="O212" s="421"/>
      <c r="P212" s="421"/>
      <c r="Q212" s="421"/>
      <c r="R212" s="421"/>
      <c r="S212" s="421"/>
      <c r="T212" s="421"/>
      <c r="U212" s="422"/>
      <c r="V212" s="414"/>
      <c r="W212" s="414"/>
      <c r="X212" s="414"/>
      <c r="Y212" s="418" t="s">
        <v>1322</v>
      </c>
    </row>
    <row r="213" spans="1:25" s="423" customFormat="1" ht="22.5" customHeight="1" thickTop="1" thickBot="1">
      <c r="A213" s="420"/>
      <c r="B213" s="420"/>
      <c r="C213" s="414"/>
      <c r="D213" s="414"/>
      <c r="E213" s="414"/>
      <c r="F213" s="414"/>
      <c r="G213" s="414"/>
      <c r="H213" s="413"/>
      <c r="I213" s="413"/>
      <c r="J213" s="415"/>
      <c r="K213" s="421"/>
      <c r="L213" s="421"/>
      <c r="M213" s="421"/>
      <c r="N213" s="421"/>
      <c r="O213" s="421"/>
      <c r="P213" s="421"/>
      <c r="Q213" s="421"/>
      <c r="R213" s="421"/>
      <c r="S213" s="421"/>
      <c r="T213" s="421"/>
      <c r="U213" s="422"/>
      <c r="V213" s="414"/>
      <c r="W213" s="420"/>
      <c r="X213" s="420"/>
      <c r="Y213" s="418"/>
    </row>
    <row r="214" spans="1:25" s="419" customFormat="1" ht="22.5" customHeight="1" thickTop="1" thickBot="1">
      <c r="A214" s="412"/>
      <c r="B214" s="414"/>
      <c r="C214" s="414"/>
      <c r="D214" s="414"/>
      <c r="E214" s="414"/>
      <c r="F214" s="414"/>
      <c r="G214" s="414"/>
      <c r="H214" s="413"/>
      <c r="I214" s="413"/>
      <c r="J214" s="415"/>
      <c r="K214" s="421"/>
      <c r="L214" s="421"/>
      <c r="M214" s="421"/>
      <c r="N214" s="421"/>
      <c r="O214" s="421"/>
      <c r="P214" s="421"/>
      <c r="Q214" s="421"/>
      <c r="R214" s="421"/>
      <c r="S214" s="421"/>
      <c r="T214" s="421"/>
      <c r="U214" s="421"/>
      <c r="V214" s="414"/>
      <c r="W214" s="414"/>
      <c r="X214" s="414"/>
      <c r="Y214" s="418"/>
    </row>
    <row r="215" spans="1:25" s="147" customFormat="1" ht="22.5" customHeight="1" thickTop="1" thickBot="1">
      <c r="A215" s="341" t="s">
        <v>1320</v>
      </c>
      <c r="B215" s="342" t="s">
        <v>1337</v>
      </c>
      <c r="C215" s="342"/>
      <c r="D215" s="342"/>
      <c r="E215" s="342"/>
      <c r="F215" s="342"/>
      <c r="G215" s="342"/>
      <c r="H215" s="343"/>
      <c r="I215" s="343"/>
      <c r="J215" s="344" t="s">
        <v>1496</v>
      </c>
      <c r="K215" s="345"/>
      <c r="L215" s="345"/>
      <c r="M215" s="345"/>
      <c r="N215" s="345"/>
      <c r="O215" s="345"/>
      <c r="P215" s="345"/>
      <c r="Q215" s="345"/>
      <c r="R215" s="345"/>
      <c r="S215" s="345"/>
      <c r="T215" s="345"/>
      <c r="U215" s="346"/>
      <c r="V215" s="341"/>
      <c r="W215" s="341" t="s">
        <v>1497</v>
      </c>
      <c r="X215" s="341"/>
      <c r="Y215" s="340" t="s">
        <v>1322</v>
      </c>
    </row>
    <row r="216" spans="1:25" s="147" customFormat="1" ht="22.5" customHeight="1" thickTop="1" thickBot="1">
      <c r="A216" s="347" t="s">
        <v>1320</v>
      </c>
      <c r="B216" s="348" t="s">
        <v>1337</v>
      </c>
      <c r="C216" s="348" t="s">
        <v>1324</v>
      </c>
      <c r="D216" s="348"/>
      <c r="E216" s="348"/>
      <c r="F216" s="348"/>
      <c r="G216" s="348"/>
      <c r="H216" s="349"/>
      <c r="I216" s="349"/>
      <c r="J216" s="350" t="s">
        <v>1498</v>
      </c>
      <c r="K216" s="351"/>
      <c r="L216" s="351"/>
      <c r="M216" s="351"/>
      <c r="N216" s="351"/>
      <c r="O216" s="351"/>
      <c r="P216" s="351"/>
      <c r="Q216" s="351"/>
      <c r="R216" s="351"/>
      <c r="S216" s="351"/>
      <c r="T216" s="351"/>
      <c r="U216" s="352"/>
      <c r="V216" s="348"/>
      <c r="W216" s="347" t="s">
        <v>1499</v>
      </c>
      <c r="X216" s="348"/>
      <c r="Y216" s="340" t="s">
        <v>1322</v>
      </c>
    </row>
    <row r="217" spans="1:25" s="147" customFormat="1" ht="22.5" customHeight="1" thickTop="1" thickBot="1">
      <c r="A217" s="353" t="s">
        <v>1320</v>
      </c>
      <c r="B217" s="354" t="s">
        <v>1337</v>
      </c>
      <c r="C217" s="354" t="s">
        <v>1324</v>
      </c>
      <c r="D217" s="354" t="s">
        <v>1324</v>
      </c>
      <c r="E217" s="354"/>
      <c r="F217" s="354"/>
      <c r="G217" s="354"/>
      <c r="H217" s="355"/>
      <c r="I217" s="355"/>
      <c r="J217" s="356" t="s">
        <v>1500</v>
      </c>
      <c r="K217" s="357"/>
      <c r="L217" s="357"/>
      <c r="M217" s="357"/>
      <c r="N217" s="357"/>
      <c r="O217" s="357"/>
      <c r="P217" s="357"/>
      <c r="Q217" s="357"/>
      <c r="R217" s="357"/>
      <c r="S217" s="357"/>
      <c r="T217" s="357"/>
      <c r="U217" s="358"/>
      <c r="V217" s="354"/>
      <c r="W217" s="353" t="s">
        <v>1501</v>
      </c>
      <c r="X217" s="353"/>
      <c r="Y217" s="340" t="s">
        <v>1322</v>
      </c>
    </row>
    <row r="218" spans="1:25" s="147" customFormat="1" ht="22.5" customHeight="1" thickTop="1" thickBot="1">
      <c r="A218" s="364" t="s">
        <v>1320</v>
      </c>
      <c r="B218" s="359" t="s">
        <v>1337</v>
      </c>
      <c r="C218" s="359" t="s">
        <v>1324</v>
      </c>
      <c r="D218" s="359" t="s">
        <v>1324</v>
      </c>
      <c r="E218" s="359" t="s">
        <v>1324</v>
      </c>
      <c r="F218" s="359"/>
      <c r="G218" s="359"/>
      <c r="H218" s="360"/>
      <c r="I218" s="360"/>
      <c r="J218" s="361" t="s">
        <v>1502</v>
      </c>
      <c r="K218" s="362"/>
      <c r="L218" s="362"/>
      <c r="M218" s="362"/>
      <c r="N218" s="362"/>
      <c r="O218" s="362"/>
      <c r="P218" s="362"/>
      <c r="Q218" s="362"/>
      <c r="R218" s="362"/>
      <c r="S218" s="362"/>
      <c r="T218" s="362"/>
      <c r="U218" s="363"/>
      <c r="V218" s="359"/>
      <c r="W218" s="364" t="s">
        <v>1503</v>
      </c>
      <c r="X218" s="364"/>
      <c r="Y218" s="340" t="s">
        <v>1322</v>
      </c>
    </row>
    <row r="219" spans="1:25" ht="22.5" customHeight="1" thickTop="1" thickBot="1">
      <c r="A219" s="368" t="s">
        <v>1320</v>
      </c>
      <c r="B219" s="360" t="s">
        <v>1337</v>
      </c>
      <c r="C219" s="360" t="s">
        <v>1324</v>
      </c>
      <c r="D219" s="360" t="s">
        <v>1324</v>
      </c>
      <c r="E219" s="360" t="s">
        <v>1324</v>
      </c>
      <c r="F219" s="359" t="s">
        <v>1324</v>
      </c>
      <c r="G219" s="360"/>
      <c r="H219" s="360"/>
      <c r="I219" s="360"/>
      <c r="J219" s="365" t="s">
        <v>1504</v>
      </c>
      <c r="K219" s="366"/>
      <c r="L219" s="366"/>
      <c r="M219" s="366"/>
      <c r="N219" s="366"/>
      <c r="O219" s="366"/>
      <c r="P219" s="366"/>
      <c r="Q219" s="366"/>
      <c r="R219" s="366"/>
      <c r="S219" s="366"/>
      <c r="T219" s="366"/>
      <c r="U219" s="367"/>
      <c r="V219" s="359"/>
      <c r="W219" s="368" t="s">
        <v>1505</v>
      </c>
      <c r="X219" s="368"/>
      <c r="Y219" s="340" t="s">
        <v>1322</v>
      </c>
    </row>
    <row r="220" spans="1:25" ht="22.5" customHeight="1" thickTop="1" thickBot="1">
      <c r="A220" s="368" t="s">
        <v>1320</v>
      </c>
      <c r="B220" s="360" t="s">
        <v>1337</v>
      </c>
      <c r="C220" s="360" t="s">
        <v>1324</v>
      </c>
      <c r="D220" s="360" t="s">
        <v>1324</v>
      </c>
      <c r="E220" s="360" t="s">
        <v>1324</v>
      </c>
      <c r="F220" s="359" t="s">
        <v>1337</v>
      </c>
      <c r="G220" s="360"/>
      <c r="H220" s="360"/>
      <c r="I220" s="360"/>
      <c r="J220" s="365" t="s">
        <v>1506</v>
      </c>
      <c r="K220" s="366"/>
      <c r="L220" s="366"/>
      <c r="M220" s="366"/>
      <c r="N220" s="366"/>
      <c r="O220" s="366"/>
      <c r="P220" s="366"/>
      <c r="Q220" s="366"/>
      <c r="R220" s="366"/>
      <c r="S220" s="366"/>
      <c r="T220" s="366"/>
      <c r="U220" s="367"/>
      <c r="V220" s="359"/>
      <c r="W220" s="368" t="s">
        <v>1507</v>
      </c>
      <c r="X220" s="368"/>
      <c r="Y220" s="340" t="s">
        <v>1322</v>
      </c>
    </row>
    <row r="221" spans="1:25" ht="22.5" customHeight="1" thickTop="1" thickBot="1">
      <c r="A221" s="368" t="s">
        <v>1320</v>
      </c>
      <c r="B221" s="360" t="s">
        <v>1337</v>
      </c>
      <c r="C221" s="360" t="s">
        <v>1324</v>
      </c>
      <c r="D221" s="360" t="s">
        <v>1324</v>
      </c>
      <c r="E221" s="360" t="s">
        <v>1324</v>
      </c>
      <c r="F221" s="359" t="s">
        <v>1361</v>
      </c>
      <c r="G221" s="360"/>
      <c r="H221" s="360"/>
      <c r="I221" s="360"/>
      <c r="J221" s="365" t="s">
        <v>1508</v>
      </c>
      <c r="K221" s="366"/>
      <c r="L221" s="366"/>
      <c r="M221" s="366"/>
      <c r="N221" s="366"/>
      <c r="O221" s="366"/>
      <c r="P221" s="366"/>
      <c r="Q221" s="366"/>
      <c r="R221" s="366"/>
      <c r="S221" s="366"/>
      <c r="T221" s="366"/>
      <c r="U221" s="367"/>
      <c r="V221" s="359"/>
      <c r="W221" s="368" t="s">
        <v>1509</v>
      </c>
      <c r="X221" s="368"/>
      <c r="Y221" s="340" t="s">
        <v>1322</v>
      </c>
    </row>
    <row r="222" spans="1:25" ht="22.5" customHeight="1" thickTop="1" thickBot="1">
      <c r="A222" s="368" t="s">
        <v>1320</v>
      </c>
      <c r="B222" s="360" t="s">
        <v>1337</v>
      </c>
      <c r="C222" s="360" t="s">
        <v>1324</v>
      </c>
      <c r="D222" s="360" t="s">
        <v>1324</v>
      </c>
      <c r="E222" s="360" t="s">
        <v>1324</v>
      </c>
      <c r="F222" s="360" t="s">
        <v>1361</v>
      </c>
      <c r="G222" s="359" t="s">
        <v>1324</v>
      </c>
      <c r="H222" s="360"/>
      <c r="I222" s="360"/>
      <c r="J222" s="365" t="s">
        <v>1510</v>
      </c>
      <c r="K222" s="362"/>
      <c r="L222" s="362"/>
      <c r="M222" s="362"/>
      <c r="N222" s="362"/>
      <c r="O222" s="362"/>
      <c r="P222" s="362"/>
      <c r="Q222" s="362"/>
      <c r="R222" s="362"/>
      <c r="S222" s="362"/>
      <c r="T222" s="362"/>
      <c r="U222" s="363"/>
      <c r="V222" s="359"/>
      <c r="W222" s="368" t="s">
        <v>1511</v>
      </c>
      <c r="X222" s="368"/>
      <c r="Y222" s="340" t="s">
        <v>1322</v>
      </c>
    </row>
    <row r="223" spans="1:25" s="147" customFormat="1" ht="22.5" customHeight="1" thickTop="1" thickBot="1">
      <c r="A223" s="364" t="s">
        <v>1320</v>
      </c>
      <c r="B223" s="359" t="s">
        <v>1337</v>
      </c>
      <c r="C223" s="359" t="s">
        <v>1324</v>
      </c>
      <c r="D223" s="359" t="s">
        <v>1324</v>
      </c>
      <c r="E223" s="359" t="s">
        <v>1337</v>
      </c>
      <c r="F223" s="359"/>
      <c r="G223" s="359"/>
      <c r="H223" s="360"/>
      <c r="I223" s="360"/>
      <c r="J223" s="361" t="s">
        <v>1512</v>
      </c>
      <c r="K223" s="362"/>
      <c r="L223" s="362"/>
      <c r="M223" s="362"/>
      <c r="N223" s="362"/>
      <c r="O223" s="362"/>
      <c r="P223" s="362"/>
      <c r="Q223" s="362"/>
      <c r="R223" s="362"/>
      <c r="S223" s="362"/>
      <c r="T223" s="362"/>
      <c r="U223" s="363"/>
      <c r="V223" s="359"/>
      <c r="W223" s="364" t="s">
        <v>1513</v>
      </c>
      <c r="X223" s="364"/>
      <c r="Y223" s="340" t="s">
        <v>1322</v>
      </c>
    </row>
    <row r="224" spans="1:25" ht="22.5" customHeight="1" thickTop="1" thickBot="1">
      <c r="A224" s="368" t="s">
        <v>1320</v>
      </c>
      <c r="B224" s="360" t="s">
        <v>1337</v>
      </c>
      <c r="C224" s="360" t="s">
        <v>1324</v>
      </c>
      <c r="D224" s="360" t="s">
        <v>1324</v>
      </c>
      <c r="E224" s="360" t="s">
        <v>1337</v>
      </c>
      <c r="F224" s="359" t="s">
        <v>1324</v>
      </c>
      <c r="G224" s="360"/>
      <c r="H224" s="360"/>
      <c r="I224" s="360"/>
      <c r="J224" s="365" t="s">
        <v>1514</v>
      </c>
      <c r="K224" s="366"/>
      <c r="L224" s="366"/>
      <c r="M224" s="366"/>
      <c r="N224" s="366"/>
      <c r="O224" s="366"/>
      <c r="P224" s="366"/>
      <c r="Q224" s="366"/>
      <c r="R224" s="366"/>
      <c r="S224" s="366"/>
      <c r="T224" s="366"/>
      <c r="U224" s="367"/>
      <c r="V224" s="359"/>
      <c r="W224" s="368" t="s">
        <v>1515</v>
      </c>
      <c r="X224" s="368"/>
      <c r="Y224" s="340" t="s">
        <v>1322</v>
      </c>
    </row>
    <row r="225" spans="1:25" s="423" customFormat="1" ht="22.5" customHeight="1" thickTop="1" thickBot="1">
      <c r="A225" s="420" t="s">
        <v>1320</v>
      </c>
      <c r="B225" s="414" t="s">
        <v>1337</v>
      </c>
      <c r="C225" s="414" t="s">
        <v>1337</v>
      </c>
      <c r="D225" s="414"/>
      <c r="E225" s="414"/>
      <c r="F225" s="414"/>
      <c r="G225" s="414"/>
      <c r="H225" s="413"/>
      <c r="I225" s="413"/>
      <c r="J225" s="415" t="s">
        <v>1516</v>
      </c>
      <c r="K225" s="421"/>
      <c r="L225" s="421"/>
      <c r="M225" s="421"/>
      <c r="N225" s="421"/>
      <c r="O225" s="421"/>
      <c r="P225" s="421"/>
      <c r="Q225" s="421"/>
      <c r="R225" s="421"/>
      <c r="S225" s="421"/>
      <c r="T225" s="421"/>
      <c r="U225" s="422"/>
      <c r="V225" s="414"/>
      <c r="W225" s="414" t="s">
        <v>1517</v>
      </c>
      <c r="X225" s="414"/>
      <c r="Y225" s="418" t="s">
        <v>1322</v>
      </c>
    </row>
    <row r="226" spans="1:25" s="423" customFormat="1" ht="22.5" customHeight="1" thickTop="1" thickBot="1">
      <c r="A226" s="420"/>
      <c r="B226" s="414"/>
      <c r="C226" s="414"/>
      <c r="D226" s="414"/>
      <c r="E226" s="414"/>
      <c r="F226" s="414"/>
      <c r="G226" s="414"/>
      <c r="H226" s="413"/>
      <c r="I226" s="413"/>
      <c r="J226" s="415"/>
      <c r="K226" s="421"/>
      <c r="L226" s="421"/>
      <c r="M226" s="421"/>
      <c r="N226" s="421"/>
      <c r="O226" s="421"/>
      <c r="P226" s="421"/>
      <c r="Q226" s="421"/>
      <c r="R226" s="421"/>
      <c r="S226" s="421"/>
      <c r="T226" s="421"/>
      <c r="U226" s="422"/>
      <c r="V226" s="414"/>
      <c r="W226" s="420"/>
      <c r="X226" s="420"/>
      <c r="Y226" s="418"/>
    </row>
    <row r="227" spans="1:25" s="423" customFormat="1" ht="22.5" customHeight="1" thickTop="1" thickBot="1">
      <c r="A227" s="420"/>
      <c r="B227" s="414"/>
      <c r="C227" s="414"/>
      <c r="D227" s="414"/>
      <c r="E227" s="414"/>
      <c r="F227" s="414"/>
      <c r="G227" s="414"/>
      <c r="H227" s="413"/>
      <c r="I227" s="413"/>
      <c r="J227" s="415"/>
      <c r="K227" s="421"/>
      <c r="L227" s="421"/>
      <c r="M227" s="421"/>
      <c r="N227" s="421"/>
      <c r="O227" s="421"/>
      <c r="P227" s="421"/>
      <c r="Q227" s="421"/>
      <c r="R227" s="421"/>
      <c r="S227" s="421"/>
      <c r="T227" s="421"/>
      <c r="U227" s="422"/>
      <c r="V227" s="414"/>
      <c r="W227" s="420"/>
      <c r="X227" s="420"/>
      <c r="Y227" s="418"/>
    </row>
    <row r="228" spans="1:25" s="423" customFormat="1" ht="22.5" customHeight="1" thickTop="1" thickBot="1">
      <c r="A228" s="420"/>
      <c r="B228" s="414"/>
      <c r="C228" s="414"/>
      <c r="D228" s="414"/>
      <c r="E228" s="414"/>
      <c r="F228" s="414"/>
      <c r="G228" s="414"/>
      <c r="H228" s="413"/>
      <c r="I228" s="413"/>
      <c r="J228" s="415"/>
      <c r="K228" s="421"/>
      <c r="L228" s="421"/>
      <c r="M228" s="421"/>
      <c r="N228" s="421"/>
      <c r="O228" s="421"/>
      <c r="P228" s="421"/>
      <c r="Q228" s="421"/>
      <c r="R228" s="421"/>
      <c r="S228" s="421"/>
      <c r="T228" s="421"/>
      <c r="U228" s="422"/>
      <c r="V228" s="420"/>
      <c r="W228" s="420"/>
      <c r="X228" s="420"/>
      <c r="Y228" s="418"/>
    </row>
    <row r="229" spans="1:25" s="147" customFormat="1" ht="22.5" customHeight="1" thickTop="1" thickBot="1">
      <c r="A229" s="347" t="s">
        <v>1320</v>
      </c>
      <c r="B229" s="348" t="s">
        <v>1337</v>
      </c>
      <c r="C229" s="348" t="s">
        <v>1361</v>
      </c>
      <c r="D229" s="348"/>
      <c r="E229" s="348"/>
      <c r="F229" s="348"/>
      <c r="G229" s="348"/>
      <c r="H229" s="349"/>
      <c r="I229" s="349"/>
      <c r="J229" s="350" t="s">
        <v>1522</v>
      </c>
      <c r="K229" s="379"/>
      <c r="L229" s="379"/>
      <c r="M229" s="379"/>
      <c r="N229" s="379"/>
      <c r="O229" s="379"/>
      <c r="P229" s="379"/>
      <c r="Q229" s="379"/>
      <c r="R229" s="379"/>
      <c r="S229" s="379"/>
      <c r="T229" s="379"/>
      <c r="U229" s="352"/>
      <c r="V229" s="348"/>
      <c r="W229" s="348" t="s">
        <v>1523</v>
      </c>
      <c r="X229" s="348"/>
      <c r="Y229" s="340" t="s">
        <v>1322</v>
      </c>
    </row>
    <row r="230" spans="1:25" s="147" customFormat="1" ht="22.5" customHeight="1" thickTop="1" thickBot="1">
      <c r="A230" s="354" t="s">
        <v>1320</v>
      </c>
      <c r="B230" s="354" t="s">
        <v>1337</v>
      </c>
      <c r="C230" s="354" t="s">
        <v>1361</v>
      </c>
      <c r="D230" s="354" t="s">
        <v>1324</v>
      </c>
      <c r="E230" s="354"/>
      <c r="F230" s="354"/>
      <c r="G230" s="354"/>
      <c r="H230" s="355"/>
      <c r="I230" s="355"/>
      <c r="J230" s="356" t="s">
        <v>1524</v>
      </c>
      <c r="K230" s="374"/>
      <c r="L230" s="374"/>
      <c r="M230" s="374"/>
      <c r="N230" s="374"/>
      <c r="O230" s="374"/>
      <c r="P230" s="374"/>
      <c r="Q230" s="374"/>
      <c r="R230" s="374"/>
      <c r="S230" s="374"/>
      <c r="T230" s="374"/>
      <c r="U230" s="358"/>
      <c r="V230" s="354"/>
      <c r="W230" s="353" t="s">
        <v>1525</v>
      </c>
      <c r="X230" s="353" t="s">
        <v>1526</v>
      </c>
      <c r="Y230" s="340" t="s">
        <v>1322</v>
      </c>
    </row>
    <row r="231" spans="1:25" s="147" customFormat="1" ht="22.5" customHeight="1" thickTop="1" thickBot="1">
      <c r="A231" s="364" t="s">
        <v>1320</v>
      </c>
      <c r="B231" s="359" t="s">
        <v>1337</v>
      </c>
      <c r="C231" s="359" t="s">
        <v>1361</v>
      </c>
      <c r="D231" s="359" t="s">
        <v>1324</v>
      </c>
      <c r="E231" s="359" t="s">
        <v>1324</v>
      </c>
      <c r="F231" s="359"/>
      <c r="G231" s="359"/>
      <c r="H231" s="360"/>
      <c r="I231" s="360"/>
      <c r="J231" s="361" t="s">
        <v>1527</v>
      </c>
      <c r="K231" s="377"/>
      <c r="L231" s="377"/>
      <c r="M231" s="377"/>
      <c r="N231" s="377"/>
      <c r="O231" s="377"/>
      <c r="P231" s="377"/>
      <c r="Q231" s="377"/>
      <c r="R231" s="377"/>
      <c r="S231" s="377"/>
      <c r="T231" s="377"/>
      <c r="U231" s="363"/>
      <c r="V231" s="364"/>
      <c r="W231" s="364" t="s">
        <v>1528</v>
      </c>
      <c r="X231" s="364" t="s">
        <v>1529</v>
      </c>
      <c r="Y231" s="340" t="s">
        <v>1322</v>
      </c>
    </row>
    <row r="232" spans="1:25" s="147" customFormat="1" ht="22.5" customHeight="1" thickTop="1" thickBot="1">
      <c r="A232" s="364" t="s">
        <v>1320</v>
      </c>
      <c r="B232" s="359" t="s">
        <v>1337</v>
      </c>
      <c r="C232" s="359" t="s">
        <v>1361</v>
      </c>
      <c r="D232" s="359" t="s">
        <v>1324</v>
      </c>
      <c r="E232" s="359" t="s">
        <v>1337</v>
      </c>
      <c r="F232" s="359"/>
      <c r="G232" s="359"/>
      <c r="H232" s="360"/>
      <c r="I232" s="360"/>
      <c r="J232" s="361" t="s">
        <v>1530</v>
      </c>
      <c r="K232" s="377"/>
      <c r="L232" s="377"/>
      <c r="M232" s="377"/>
      <c r="N232" s="377"/>
      <c r="O232" s="377"/>
      <c r="P232" s="377"/>
      <c r="Q232" s="377"/>
      <c r="R232" s="377"/>
      <c r="S232" s="377"/>
      <c r="T232" s="377"/>
      <c r="U232" s="363"/>
      <c r="V232" s="359"/>
      <c r="W232" s="364" t="s">
        <v>1531</v>
      </c>
      <c r="X232" s="364"/>
      <c r="Y232" s="340" t="s">
        <v>1322</v>
      </c>
    </row>
    <row r="233" spans="1:25" s="147" customFormat="1" ht="22.5" customHeight="1" thickTop="1" thickBot="1">
      <c r="A233" s="353" t="s">
        <v>1320</v>
      </c>
      <c r="B233" s="354" t="s">
        <v>1337</v>
      </c>
      <c r="C233" s="354" t="s">
        <v>1361</v>
      </c>
      <c r="D233" s="354" t="s">
        <v>1337</v>
      </c>
      <c r="E233" s="354"/>
      <c r="F233" s="354"/>
      <c r="G233" s="354"/>
      <c r="H233" s="355"/>
      <c r="I233" s="355"/>
      <c r="J233" s="356" t="s">
        <v>1532</v>
      </c>
      <c r="K233" s="374"/>
      <c r="L233" s="374"/>
      <c r="M233" s="374"/>
      <c r="N233" s="374"/>
      <c r="O233" s="374"/>
      <c r="P233" s="374"/>
      <c r="Q233" s="374"/>
      <c r="R233" s="374"/>
      <c r="S233" s="374"/>
      <c r="T233" s="374"/>
      <c r="U233" s="358"/>
      <c r="V233" s="354"/>
      <c r="W233" s="353" t="s">
        <v>1533</v>
      </c>
      <c r="X233" s="353"/>
      <c r="Y233" s="340" t="s">
        <v>1322</v>
      </c>
    </row>
    <row r="234" spans="1:25" s="147" customFormat="1" ht="22.5" customHeight="1" thickTop="1" thickBot="1">
      <c r="A234" s="353" t="s">
        <v>1320</v>
      </c>
      <c r="B234" s="354" t="s">
        <v>1337</v>
      </c>
      <c r="C234" s="354" t="s">
        <v>1361</v>
      </c>
      <c r="D234" s="354" t="s">
        <v>1361</v>
      </c>
      <c r="E234" s="354"/>
      <c r="F234" s="354"/>
      <c r="G234" s="354"/>
      <c r="H234" s="355"/>
      <c r="I234" s="355"/>
      <c r="J234" s="356" t="s">
        <v>1534</v>
      </c>
      <c r="K234" s="374"/>
      <c r="L234" s="374"/>
      <c r="M234" s="374"/>
      <c r="N234" s="374"/>
      <c r="O234" s="374"/>
      <c r="P234" s="374"/>
      <c r="Q234" s="374"/>
      <c r="R234" s="374"/>
      <c r="S234" s="374"/>
      <c r="T234" s="374"/>
      <c r="U234" s="358"/>
      <c r="V234" s="354"/>
      <c r="W234" s="353" t="s">
        <v>1535</v>
      </c>
      <c r="X234" s="353" t="s">
        <v>1536</v>
      </c>
      <c r="Y234" s="340" t="s">
        <v>1322</v>
      </c>
    </row>
    <row r="235" spans="1:25" s="147" customFormat="1" ht="22.5" customHeight="1" thickTop="1" thickBot="1">
      <c r="A235" s="347" t="s">
        <v>1320</v>
      </c>
      <c r="B235" s="348" t="s">
        <v>1337</v>
      </c>
      <c r="C235" s="348" t="s">
        <v>1365</v>
      </c>
      <c r="D235" s="348"/>
      <c r="E235" s="348"/>
      <c r="F235" s="348"/>
      <c r="G235" s="348"/>
      <c r="H235" s="349"/>
      <c r="I235" s="349"/>
      <c r="J235" s="350" t="s">
        <v>1537</v>
      </c>
      <c r="K235" s="379"/>
      <c r="L235" s="379"/>
      <c r="M235" s="379"/>
      <c r="N235" s="379"/>
      <c r="O235" s="379"/>
      <c r="P235" s="379"/>
      <c r="Q235" s="379"/>
      <c r="R235" s="379"/>
      <c r="S235" s="379"/>
      <c r="T235" s="379"/>
      <c r="U235" s="352"/>
      <c r="V235" s="348"/>
      <c r="W235" s="348" t="s">
        <v>1538</v>
      </c>
      <c r="X235" s="348"/>
      <c r="Y235" s="340" t="s">
        <v>1322</v>
      </c>
    </row>
    <row r="236" spans="1:25" s="147" customFormat="1" ht="22.5" customHeight="1" thickTop="1" thickBot="1">
      <c r="A236" s="353" t="s">
        <v>1320</v>
      </c>
      <c r="B236" s="354" t="s">
        <v>1337</v>
      </c>
      <c r="C236" s="354" t="s">
        <v>1365</v>
      </c>
      <c r="D236" s="354" t="s">
        <v>1324</v>
      </c>
      <c r="E236" s="354"/>
      <c r="F236" s="354"/>
      <c r="G236" s="354"/>
      <c r="H236" s="355"/>
      <c r="I236" s="355"/>
      <c r="J236" s="356" t="s">
        <v>1539</v>
      </c>
      <c r="K236" s="374"/>
      <c r="L236" s="374"/>
      <c r="M236" s="374"/>
      <c r="N236" s="374"/>
      <c r="O236" s="374"/>
      <c r="P236" s="374"/>
      <c r="Q236" s="374"/>
      <c r="R236" s="374"/>
      <c r="S236" s="374"/>
      <c r="T236" s="374"/>
      <c r="U236" s="358"/>
      <c r="V236" s="354"/>
      <c r="W236" s="353" t="s">
        <v>1540</v>
      </c>
      <c r="X236" s="353" t="s">
        <v>1541</v>
      </c>
      <c r="Y236" s="340" t="s">
        <v>1322</v>
      </c>
    </row>
    <row r="237" spans="1:25" s="147" customFormat="1" ht="22.5" customHeight="1" thickTop="1" thickBot="1">
      <c r="A237" s="364" t="s">
        <v>1320</v>
      </c>
      <c r="B237" s="359" t="s">
        <v>1337</v>
      </c>
      <c r="C237" s="359" t="s">
        <v>1365</v>
      </c>
      <c r="D237" s="359" t="s">
        <v>1324</v>
      </c>
      <c r="E237" s="359" t="s">
        <v>1324</v>
      </c>
      <c r="F237" s="359"/>
      <c r="G237" s="359"/>
      <c r="H237" s="360"/>
      <c r="I237" s="360"/>
      <c r="J237" s="361" t="s">
        <v>1542</v>
      </c>
      <c r="K237" s="377"/>
      <c r="L237" s="377"/>
      <c r="M237" s="377"/>
      <c r="N237" s="377"/>
      <c r="O237" s="377"/>
      <c r="P237" s="377"/>
      <c r="Q237" s="377"/>
      <c r="R237" s="377"/>
      <c r="S237" s="377"/>
      <c r="T237" s="377"/>
      <c r="U237" s="363"/>
      <c r="V237" s="364"/>
      <c r="W237" s="364" t="s">
        <v>1543</v>
      </c>
      <c r="X237" s="364" t="s">
        <v>1529</v>
      </c>
      <c r="Y237" s="340" t="s">
        <v>1322</v>
      </c>
    </row>
    <row r="238" spans="1:25" ht="22.5" customHeight="1" thickTop="1" thickBot="1">
      <c r="A238" s="368" t="s">
        <v>1320</v>
      </c>
      <c r="B238" s="360" t="s">
        <v>1337</v>
      </c>
      <c r="C238" s="360" t="s">
        <v>1365</v>
      </c>
      <c r="D238" s="360" t="s">
        <v>1324</v>
      </c>
      <c r="E238" s="360" t="s">
        <v>1324</v>
      </c>
      <c r="F238" s="359" t="s">
        <v>1324</v>
      </c>
      <c r="G238" s="360"/>
      <c r="H238" s="360"/>
      <c r="I238" s="360"/>
      <c r="J238" s="365" t="s">
        <v>1544</v>
      </c>
      <c r="K238" s="378"/>
      <c r="L238" s="378"/>
      <c r="M238" s="378"/>
      <c r="N238" s="378"/>
      <c r="O238" s="378"/>
      <c r="P238" s="378"/>
      <c r="Q238" s="378"/>
      <c r="R238" s="378"/>
      <c r="S238" s="378"/>
      <c r="T238" s="378"/>
      <c r="U238" s="367"/>
      <c r="V238" s="360"/>
      <c r="W238" s="368" t="s">
        <v>1545</v>
      </c>
      <c r="X238" s="368"/>
      <c r="Y238" s="340" t="s">
        <v>1322</v>
      </c>
    </row>
    <row r="239" spans="1:25" ht="22.5" customHeight="1" thickTop="1" thickBot="1">
      <c r="A239" s="368" t="s">
        <v>1320</v>
      </c>
      <c r="B239" s="360" t="s">
        <v>1337</v>
      </c>
      <c r="C239" s="360" t="s">
        <v>1365</v>
      </c>
      <c r="D239" s="360" t="s">
        <v>1324</v>
      </c>
      <c r="E239" s="360" t="s">
        <v>1324</v>
      </c>
      <c r="F239" s="359" t="s">
        <v>1337</v>
      </c>
      <c r="G239" s="360"/>
      <c r="H239" s="360"/>
      <c r="I239" s="360"/>
      <c r="J239" s="365" t="s">
        <v>1546</v>
      </c>
      <c r="K239" s="378"/>
      <c r="L239" s="378"/>
      <c r="M239" s="378"/>
      <c r="N239" s="378"/>
      <c r="O239" s="378"/>
      <c r="P239" s="378"/>
      <c r="Q239" s="378"/>
      <c r="R239" s="378"/>
      <c r="S239" s="378"/>
      <c r="T239" s="378"/>
      <c r="U239" s="367"/>
      <c r="V239" s="368"/>
      <c r="W239" s="368" t="s">
        <v>1547</v>
      </c>
      <c r="X239" s="368"/>
      <c r="Y239" s="340" t="s">
        <v>1322</v>
      </c>
    </row>
    <row r="240" spans="1:25" s="147" customFormat="1" ht="22.5" customHeight="1" thickTop="1" thickBot="1">
      <c r="A240" s="364" t="s">
        <v>1320</v>
      </c>
      <c r="B240" s="359" t="s">
        <v>1337</v>
      </c>
      <c r="C240" s="359" t="s">
        <v>1365</v>
      </c>
      <c r="D240" s="359" t="s">
        <v>1324</v>
      </c>
      <c r="E240" s="359" t="s">
        <v>1337</v>
      </c>
      <c r="F240" s="359"/>
      <c r="G240" s="359"/>
      <c r="H240" s="360"/>
      <c r="I240" s="360"/>
      <c r="J240" s="361" t="s">
        <v>1548</v>
      </c>
      <c r="K240" s="377"/>
      <c r="L240" s="377"/>
      <c r="M240" s="377"/>
      <c r="N240" s="377"/>
      <c r="O240" s="377"/>
      <c r="P240" s="377"/>
      <c r="Q240" s="377"/>
      <c r="R240" s="377"/>
      <c r="S240" s="377"/>
      <c r="T240" s="377"/>
      <c r="U240" s="363"/>
      <c r="V240" s="364"/>
      <c r="W240" s="364" t="s">
        <v>1549</v>
      </c>
      <c r="X240" s="364"/>
      <c r="Y240" s="340" t="s">
        <v>1322</v>
      </c>
    </row>
    <row r="241" spans="1:25" ht="22.5" customHeight="1" thickTop="1" thickBot="1">
      <c r="A241" s="368" t="s">
        <v>1320</v>
      </c>
      <c r="B241" s="360" t="s">
        <v>1337</v>
      </c>
      <c r="C241" s="360" t="s">
        <v>1365</v>
      </c>
      <c r="D241" s="360" t="s">
        <v>1324</v>
      </c>
      <c r="E241" s="360" t="s">
        <v>1337</v>
      </c>
      <c r="F241" s="359" t="s">
        <v>1324</v>
      </c>
      <c r="G241" s="360"/>
      <c r="H241" s="360"/>
      <c r="I241" s="360"/>
      <c r="J241" s="365" t="s">
        <v>1550</v>
      </c>
      <c r="K241" s="378"/>
      <c r="L241" s="378"/>
      <c r="M241" s="378"/>
      <c r="N241" s="378"/>
      <c r="O241" s="378"/>
      <c r="P241" s="378"/>
      <c r="Q241" s="378"/>
      <c r="R241" s="378"/>
      <c r="S241" s="378"/>
      <c r="T241" s="378"/>
      <c r="U241" s="367"/>
      <c r="V241" s="368"/>
      <c r="W241" s="368" t="s">
        <v>1551</v>
      </c>
      <c r="X241" s="368"/>
      <c r="Y241" s="340" t="s">
        <v>1322</v>
      </c>
    </row>
    <row r="242" spans="1:25" ht="22.5" customHeight="1" thickTop="1" thickBot="1">
      <c r="A242" s="368" t="s">
        <v>1320</v>
      </c>
      <c r="B242" s="360" t="s">
        <v>1337</v>
      </c>
      <c r="C242" s="360" t="s">
        <v>1365</v>
      </c>
      <c r="D242" s="360" t="s">
        <v>1324</v>
      </c>
      <c r="E242" s="360" t="s">
        <v>1337</v>
      </c>
      <c r="F242" s="359" t="s">
        <v>1337</v>
      </c>
      <c r="G242" s="360"/>
      <c r="H242" s="360"/>
      <c r="I242" s="360"/>
      <c r="J242" s="365" t="s">
        <v>1552</v>
      </c>
      <c r="K242" s="378"/>
      <c r="L242" s="378"/>
      <c r="M242" s="378"/>
      <c r="N242" s="378"/>
      <c r="O242" s="378"/>
      <c r="P242" s="378"/>
      <c r="Q242" s="378"/>
      <c r="R242" s="378"/>
      <c r="S242" s="378"/>
      <c r="T242" s="378"/>
      <c r="U242" s="367"/>
      <c r="V242" s="368"/>
      <c r="W242" s="368" t="s">
        <v>1553</v>
      </c>
      <c r="X242" s="368"/>
      <c r="Y242" s="340" t="s">
        <v>1322</v>
      </c>
    </row>
    <row r="243" spans="1:25" ht="22.5" customHeight="1" thickTop="1" thickBot="1">
      <c r="A243" s="368" t="s">
        <v>1320</v>
      </c>
      <c r="B243" s="360" t="s">
        <v>1337</v>
      </c>
      <c r="C243" s="360" t="s">
        <v>1365</v>
      </c>
      <c r="D243" s="360" t="s">
        <v>1324</v>
      </c>
      <c r="E243" s="360" t="s">
        <v>1337</v>
      </c>
      <c r="F243" s="359" t="s">
        <v>1361</v>
      </c>
      <c r="G243" s="360"/>
      <c r="H243" s="360"/>
      <c r="I243" s="360"/>
      <c r="J243" s="365" t="s">
        <v>1554</v>
      </c>
      <c r="K243" s="378"/>
      <c r="L243" s="378"/>
      <c r="M243" s="378"/>
      <c r="N243" s="378"/>
      <c r="O243" s="378"/>
      <c r="P243" s="378"/>
      <c r="Q243" s="378"/>
      <c r="R243" s="378"/>
      <c r="S243" s="378"/>
      <c r="T243" s="378"/>
      <c r="U243" s="367"/>
      <c r="V243" s="368"/>
      <c r="W243" s="368" t="s">
        <v>1555</v>
      </c>
      <c r="X243" s="368"/>
      <c r="Y243" s="340" t="s">
        <v>1322</v>
      </c>
    </row>
    <row r="244" spans="1:25" ht="22.5" customHeight="1" thickTop="1" thickBot="1">
      <c r="A244" s="368" t="s">
        <v>1320</v>
      </c>
      <c r="B244" s="360" t="s">
        <v>1337</v>
      </c>
      <c r="C244" s="360" t="s">
        <v>1365</v>
      </c>
      <c r="D244" s="360" t="s">
        <v>1324</v>
      </c>
      <c r="E244" s="360" t="s">
        <v>1337</v>
      </c>
      <c r="F244" s="359" t="s">
        <v>1365</v>
      </c>
      <c r="G244" s="360"/>
      <c r="H244" s="360"/>
      <c r="I244" s="360"/>
      <c r="J244" s="365" t="s">
        <v>1556</v>
      </c>
      <c r="K244" s="378"/>
      <c r="L244" s="378"/>
      <c r="M244" s="378"/>
      <c r="N244" s="378"/>
      <c r="O244" s="378"/>
      <c r="P244" s="378"/>
      <c r="Q244" s="378"/>
      <c r="R244" s="378"/>
      <c r="S244" s="378"/>
      <c r="T244" s="378"/>
      <c r="U244" s="367"/>
      <c r="V244" s="368"/>
      <c r="W244" s="368" t="s">
        <v>1557</v>
      </c>
      <c r="X244" s="368"/>
      <c r="Y244" s="340" t="s">
        <v>1322</v>
      </c>
    </row>
    <row r="245" spans="1:25" ht="22.5" customHeight="1" thickTop="1" thickBot="1">
      <c r="A245" s="368" t="s">
        <v>1320</v>
      </c>
      <c r="B245" s="360" t="s">
        <v>1337</v>
      </c>
      <c r="C245" s="360" t="s">
        <v>1365</v>
      </c>
      <c r="D245" s="360" t="s">
        <v>1324</v>
      </c>
      <c r="E245" s="360" t="s">
        <v>1337</v>
      </c>
      <c r="F245" s="359" t="s">
        <v>1390</v>
      </c>
      <c r="G245" s="360"/>
      <c r="H245" s="360"/>
      <c r="I245" s="360"/>
      <c r="J245" s="365" t="s">
        <v>1558</v>
      </c>
      <c r="K245" s="378"/>
      <c r="L245" s="378"/>
      <c r="M245" s="378"/>
      <c r="N245" s="378"/>
      <c r="O245" s="378"/>
      <c r="P245" s="378"/>
      <c r="Q245" s="378"/>
      <c r="R245" s="378"/>
      <c r="S245" s="378"/>
      <c r="T245" s="378"/>
      <c r="U245" s="367"/>
      <c r="V245" s="368"/>
      <c r="W245" s="368" t="s">
        <v>1559</v>
      </c>
      <c r="X245" s="368" t="s">
        <v>1560</v>
      </c>
      <c r="Y245" s="340" t="s">
        <v>1322</v>
      </c>
    </row>
    <row r="246" spans="1:25" s="147" customFormat="1" ht="22.5" customHeight="1" thickTop="1" thickBot="1">
      <c r="A246" s="364" t="s">
        <v>1320</v>
      </c>
      <c r="B246" s="359" t="s">
        <v>1337</v>
      </c>
      <c r="C246" s="359" t="s">
        <v>1365</v>
      </c>
      <c r="D246" s="359" t="s">
        <v>1324</v>
      </c>
      <c r="E246" s="359" t="s">
        <v>1361</v>
      </c>
      <c r="F246" s="359"/>
      <c r="G246" s="359"/>
      <c r="H246" s="360"/>
      <c r="I246" s="360"/>
      <c r="J246" s="361" t="s">
        <v>1561</v>
      </c>
      <c r="K246" s="377"/>
      <c r="L246" s="377"/>
      <c r="M246" s="377"/>
      <c r="N246" s="377"/>
      <c r="O246" s="377"/>
      <c r="P246" s="377"/>
      <c r="Q246" s="377"/>
      <c r="R246" s="377"/>
      <c r="S246" s="377"/>
      <c r="T246" s="377"/>
      <c r="U246" s="363"/>
      <c r="V246" s="364"/>
      <c r="W246" s="364" t="s">
        <v>1562</v>
      </c>
      <c r="X246" s="364"/>
      <c r="Y246" s="340" t="s">
        <v>1322</v>
      </c>
    </row>
    <row r="247" spans="1:25" s="147" customFormat="1" ht="22.5" customHeight="1" thickTop="1" thickBot="1">
      <c r="A247" s="353" t="s">
        <v>1320</v>
      </c>
      <c r="B247" s="354" t="s">
        <v>1337</v>
      </c>
      <c r="C247" s="354" t="s">
        <v>1365</v>
      </c>
      <c r="D247" s="354" t="s">
        <v>1337</v>
      </c>
      <c r="E247" s="354"/>
      <c r="F247" s="354"/>
      <c r="G247" s="354"/>
      <c r="H247" s="355"/>
      <c r="I247" s="355"/>
      <c r="J247" s="356" t="s">
        <v>1563</v>
      </c>
      <c r="K247" s="374"/>
      <c r="L247" s="374"/>
      <c r="M247" s="374"/>
      <c r="N247" s="374"/>
      <c r="O247" s="374"/>
      <c r="P247" s="374"/>
      <c r="Q247" s="374"/>
      <c r="R247" s="374"/>
      <c r="S247" s="374"/>
      <c r="T247" s="374"/>
      <c r="U247" s="358"/>
      <c r="V247" s="354"/>
      <c r="W247" s="353" t="s">
        <v>1564</v>
      </c>
      <c r="X247" s="353" t="s">
        <v>1565</v>
      </c>
      <c r="Y247" s="340" t="s">
        <v>1322</v>
      </c>
    </row>
    <row r="248" spans="1:25" s="147" customFormat="1" ht="22.5" customHeight="1" thickTop="1" thickBot="1">
      <c r="A248" s="364" t="s">
        <v>1320</v>
      </c>
      <c r="B248" s="359" t="s">
        <v>1337</v>
      </c>
      <c r="C248" s="359" t="s">
        <v>1365</v>
      </c>
      <c r="D248" s="359" t="s">
        <v>1337</v>
      </c>
      <c r="E248" s="359" t="s">
        <v>1324</v>
      </c>
      <c r="F248" s="359"/>
      <c r="G248" s="359"/>
      <c r="H248" s="360"/>
      <c r="I248" s="360"/>
      <c r="J248" s="361" t="s">
        <v>1566</v>
      </c>
      <c r="K248" s="380"/>
      <c r="L248" s="380"/>
      <c r="M248" s="380"/>
      <c r="N248" s="380"/>
      <c r="O248" s="380"/>
      <c r="P248" s="380"/>
      <c r="Q248" s="380"/>
      <c r="R248" s="380"/>
      <c r="S248" s="380"/>
      <c r="T248" s="380"/>
      <c r="U248" s="381"/>
      <c r="V248" s="359"/>
      <c r="W248" s="364" t="s">
        <v>1567</v>
      </c>
      <c r="X248" s="364"/>
      <c r="Y248" s="340" t="s">
        <v>1322</v>
      </c>
    </row>
    <row r="249" spans="1:25" ht="22.5" customHeight="1" thickTop="1" thickBot="1">
      <c r="A249" s="368" t="s">
        <v>1320</v>
      </c>
      <c r="B249" s="360" t="s">
        <v>1337</v>
      </c>
      <c r="C249" s="360" t="s">
        <v>1365</v>
      </c>
      <c r="D249" s="360" t="s">
        <v>1337</v>
      </c>
      <c r="E249" s="360" t="s">
        <v>1324</v>
      </c>
      <c r="F249" s="359" t="s">
        <v>1324</v>
      </c>
      <c r="G249" s="360"/>
      <c r="H249" s="360"/>
      <c r="I249" s="360"/>
      <c r="J249" s="365" t="s">
        <v>1568</v>
      </c>
      <c r="K249" s="382"/>
      <c r="L249" s="382"/>
      <c r="M249" s="382"/>
      <c r="N249" s="382"/>
      <c r="O249" s="382"/>
      <c r="P249" s="382"/>
      <c r="Q249" s="382"/>
      <c r="R249" s="382"/>
      <c r="S249" s="382"/>
      <c r="T249" s="382"/>
      <c r="U249" s="383"/>
      <c r="V249" s="360"/>
      <c r="W249" s="368" t="s">
        <v>1569</v>
      </c>
      <c r="X249" s="368"/>
      <c r="Y249" s="340" t="s">
        <v>1322</v>
      </c>
    </row>
    <row r="250" spans="1:25" ht="22.5" customHeight="1" thickTop="1" thickBot="1">
      <c r="A250" s="368" t="s">
        <v>1320</v>
      </c>
      <c r="B250" s="360" t="s">
        <v>1337</v>
      </c>
      <c r="C250" s="360" t="s">
        <v>1365</v>
      </c>
      <c r="D250" s="360" t="s">
        <v>1337</v>
      </c>
      <c r="E250" s="360" t="s">
        <v>1324</v>
      </c>
      <c r="F250" s="359" t="s">
        <v>1337</v>
      </c>
      <c r="G250" s="360"/>
      <c r="H250" s="360"/>
      <c r="I250" s="360"/>
      <c r="J250" s="365" t="s">
        <v>1570</v>
      </c>
      <c r="K250" s="382"/>
      <c r="L250" s="382"/>
      <c r="M250" s="382"/>
      <c r="N250" s="382"/>
      <c r="O250" s="382"/>
      <c r="P250" s="382"/>
      <c r="Q250" s="382"/>
      <c r="R250" s="382"/>
      <c r="S250" s="382"/>
      <c r="T250" s="382"/>
      <c r="U250" s="383"/>
      <c r="V250" s="360"/>
      <c r="W250" s="368" t="s">
        <v>1571</v>
      </c>
      <c r="X250" s="368"/>
      <c r="Y250" s="340" t="s">
        <v>1322</v>
      </c>
    </row>
    <row r="251" spans="1:25" s="147" customFormat="1" ht="22.5" customHeight="1" thickTop="1" thickBot="1">
      <c r="A251" s="364" t="s">
        <v>1320</v>
      </c>
      <c r="B251" s="359" t="s">
        <v>1337</v>
      </c>
      <c r="C251" s="359" t="s">
        <v>1365</v>
      </c>
      <c r="D251" s="359" t="s">
        <v>1337</v>
      </c>
      <c r="E251" s="359" t="s">
        <v>1337</v>
      </c>
      <c r="F251" s="359"/>
      <c r="G251" s="359"/>
      <c r="H251" s="360"/>
      <c r="I251" s="360"/>
      <c r="J251" s="361" t="s">
        <v>1572</v>
      </c>
      <c r="K251" s="380"/>
      <c r="L251" s="380"/>
      <c r="M251" s="380"/>
      <c r="N251" s="380"/>
      <c r="O251" s="380"/>
      <c r="P251" s="380"/>
      <c r="Q251" s="380"/>
      <c r="R251" s="380"/>
      <c r="S251" s="380"/>
      <c r="T251" s="380"/>
      <c r="U251" s="381"/>
      <c r="V251" s="359"/>
      <c r="W251" s="364" t="s">
        <v>1573</v>
      </c>
      <c r="X251" s="364"/>
      <c r="Y251" s="340" t="s">
        <v>1322</v>
      </c>
    </row>
    <row r="252" spans="1:25" s="147" customFormat="1" ht="22.5" customHeight="1" thickTop="1" thickBot="1">
      <c r="A252" s="364" t="s">
        <v>1320</v>
      </c>
      <c r="B252" s="359" t="s">
        <v>1337</v>
      </c>
      <c r="C252" s="359" t="s">
        <v>1365</v>
      </c>
      <c r="D252" s="359" t="s">
        <v>1337</v>
      </c>
      <c r="E252" s="359" t="s">
        <v>1361</v>
      </c>
      <c r="F252" s="359"/>
      <c r="G252" s="359"/>
      <c r="H252" s="360"/>
      <c r="I252" s="360"/>
      <c r="J252" s="361" t="s">
        <v>1574</v>
      </c>
      <c r="K252" s="380"/>
      <c r="L252" s="380"/>
      <c r="M252" s="380"/>
      <c r="N252" s="380"/>
      <c r="O252" s="380"/>
      <c r="P252" s="380"/>
      <c r="Q252" s="380"/>
      <c r="R252" s="380"/>
      <c r="S252" s="380"/>
      <c r="T252" s="380"/>
      <c r="U252" s="381"/>
      <c r="V252" s="359"/>
      <c r="W252" s="364" t="s">
        <v>1575</v>
      </c>
      <c r="X252" s="364"/>
      <c r="Y252" s="340" t="s">
        <v>1322</v>
      </c>
    </row>
    <row r="253" spans="1:25" s="147" customFormat="1" ht="22.5" customHeight="1" thickTop="1" thickBot="1">
      <c r="A253" s="353" t="s">
        <v>1320</v>
      </c>
      <c r="B253" s="354" t="s">
        <v>1337</v>
      </c>
      <c r="C253" s="354" t="s">
        <v>1365</v>
      </c>
      <c r="D253" s="354" t="s">
        <v>1361</v>
      </c>
      <c r="E253" s="354"/>
      <c r="F253" s="354"/>
      <c r="G253" s="354"/>
      <c r="H253" s="355"/>
      <c r="I253" s="355"/>
      <c r="J253" s="356" t="s">
        <v>1534</v>
      </c>
      <c r="K253" s="384"/>
      <c r="L253" s="384"/>
      <c r="M253" s="384"/>
      <c r="N253" s="384"/>
      <c r="O253" s="384"/>
      <c r="P253" s="384"/>
      <c r="Q253" s="384"/>
      <c r="R253" s="384"/>
      <c r="S253" s="384"/>
      <c r="T253" s="384"/>
      <c r="U253" s="385"/>
      <c r="V253" s="354"/>
      <c r="W253" s="353" t="s">
        <v>1576</v>
      </c>
      <c r="X253" s="353" t="s">
        <v>1536</v>
      </c>
      <c r="Y253" s="340" t="s">
        <v>1322</v>
      </c>
    </row>
    <row r="254" spans="1:25" s="147" customFormat="1" ht="22.5" customHeight="1" thickTop="1" thickBot="1">
      <c r="A254" s="347" t="s">
        <v>1320</v>
      </c>
      <c r="B254" s="348" t="s">
        <v>1337</v>
      </c>
      <c r="C254" s="348" t="s">
        <v>1390</v>
      </c>
      <c r="D254" s="348"/>
      <c r="E254" s="348"/>
      <c r="F254" s="348"/>
      <c r="G254" s="348"/>
      <c r="H254" s="349"/>
      <c r="I254" s="349"/>
      <c r="J254" s="386" t="s">
        <v>1577</v>
      </c>
      <c r="K254" s="387"/>
      <c r="L254" s="387"/>
      <c r="M254" s="387"/>
      <c r="N254" s="387"/>
      <c r="O254" s="387"/>
      <c r="P254" s="387"/>
      <c r="Q254" s="387"/>
      <c r="R254" s="387"/>
      <c r="S254" s="387"/>
      <c r="T254" s="387"/>
      <c r="U254" s="388"/>
      <c r="V254" s="348"/>
      <c r="W254" s="348" t="s">
        <v>1578</v>
      </c>
      <c r="X254" s="348"/>
      <c r="Y254" s="340" t="s">
        <v>1322</v>
      </c>
    </row>
    <row r="255" spans="1:25" s="147" customFormat="1" ht="22.5" customHeight="1" thickTop="1" thickBot="1">
      <c r="A255" s="353" t="s">
        <v>1320</v>
      </c>
      <c r="B255" s="354" t="s">
        <v>1337</v>
      </c>
      <c r="C255" s="354" t="s">
        <v>1390</v>
      </c>
      <c r="D255" s="354" t="s">
        <v>1324</v>
      </c>
      <c r="E255" s="354"/>
      <c r="F255" s="354"/>
      <c r="G255" s="354"/>
      <c r="H255" s="355"/>
      <c r="I255" s="355"/>
      <c r="J255" s="356" t="s">
        <v>1245</v>
      </c>
      <c r="K255" s="384"/>
      <c r="L255" s="384"/>
      <c r="M255" s="384"/>
      <c r="N255" s="384"/>
      <c r="O255" s="384"/>
      <c r="P255" s="384"/>
      <c r="Q255" s="384"/>
      <c r="R255" s="384"/>
      <c r="S255" s="384"/>
      <c r="T255" s="384"/>
      <c r="U255" s="385"/>
      <c r="V255" s="354"/>
      <c r="W255" s="353"/>
      <c r="X255" s="353"/>
      <c r="Y255" s="340"/>
    </row>
    <row r="256" spans="1:25" ht="22.5" customHeight="1" thickTop="1" thickBot="1">
      <c r="A256" s="368" t="s">
        <v>1320</v>
      </c>
      <c r="B256" s="360" t="s">
        <v>1337</v>
      </c>
      <c r="C256" s="360" t="s">
        <v>1390</v>
      </c>
      <c r="D256" s="360" t="s">
        <v>1324</v>
      </c>
      <c r="E256" s="359" t="s">
        <v>1324</v>
      </c>
      <c r="F256" s="360"/>
      <c r="G256" s="360"/>
      <c r="H256" s="360"/>
      <c r="I256" s="360"/>
      <c r="J256" s="365" t="s">
        <v>1579</v>
      </c>
      <c r="K256" s="389"/>
      <c r="L256" s="389"/>
      <c r="M256" s="389"/>
      <c r="N256" s="389"/>
      <c r="O256" s="389"/>
      <c r="P256" s="389"/>
      <c r="Q256" s="389"/>
      <c r="R256" s="389"/>
      <c r="S256" s="389"/>
      <c r="T256" s="389"/>
      <c r="U256" s="390"/>
      <c r="V256" s="360"/>
      <c r="W256" s="368"/>
      <c r="X256" s="368"/>
      <c r="Y256" s="373"/>
    </row>
    <row r="257" spans="1:25" ht="22.5" customHeight="1" thickTop="1" thickBot="1">
      <c r="A257" s="368" t="s">
        <v>1320</v>
      </c>
      <c r="B257" s="360" t="s">
        <v>1337</v>
      </c>
      <c r="C257" s="360" t="s">
        <v>1390</v>
      </c>
      <c r="D257" s="360" t="s">
        <v>1324</v>
      </c>
      <c r="E257" s="359" t="s">
        <v>1337</v>
      </c>
      <c r="F257" s="360"/>
      <c r="G257" s="360"/>
      <c r="H257" s="360"/>
      <c r="I257" s="360"/>
      <c r="J257" s="365" t="s">
        <v>1580</v>
      </c>
      <c r="K257" s="389"/>
      <c r="L257" s="389"/>
      <c r="M257" s="389"/>
      <c r="N257" s="389"/>
      <c r="O257" s="389"/>
      <c r="P257" s="389"/>
      <c r="Q257" s="389"/>
      <c r="R257" s="389"/>
      <c r="S257" s="389"/>
      <c r="T257" s="389"/>
      <c r="U257" s="390"/>
      <c r="V257" s="360"/>
      <c r="W257" s="368"/>
      <c r="X257" s="368"/>
      <c r="Y257" s="373"/>
    </row>
    <row r="258" spans="1:25" ht="22.5" customHeight="1" thickTop="1" thickBot="1">
      <c r="A258" s="368" t="s">
        <v>1320</v>
      </c>
      <c r="B258" s="360" t="s">
        <v>1337</v>
      </c>
      <c r="C258" s="360" t="s">
        <v>1390</v>
      </c>
      <c r="D258" s="360" t="s">
        <v>1324</v>
      </c>
      <c r="E258" s="359" t="s">
        <v>1361</v>
      </c>
      <c r="F258" s="360"/>
      <c r="G258" s="360"/>
      <c r="H258" s="360"/>
      <c r="I258" s="360"/>
      <c r="J258" s="365" t="s">
        <v>1581</v>
      </c>
      <c r="K258" s="389"/>
      <c r="L258" s="389"/>
      <c r="M258" s="389"/>
      <c r="N258" s="389"/>
      <c r="O258" s="389"/>
      <c r="P258" s="389"/>
      <c r="Q258" s="389"/>
      <c r="R258" s="389"/>
      <c r="S258" s="389"/>
      <c r="T258" s="389"/>
      <c r="U258" s="390"/>
      <c r="V258" s="360"/>
      <c r="W258" s="368"/>
      <c r="X258" s="368"/>
      <c r="Y258" s="373"/>
    </row>
    <row r="259" spans="1:25" s="147" customFormat="1" ht="22.5" customHeight="1" thickTop="1" thickBot="1">
      <c r="A259" s="353" t="s">
        <v>1320</v>
      </c>
      <c r="B259" s="354" t="s">
        <v>1337</v>
      </c>
      <c r="C259" s="354" t="s">
        <v>1390</v>
      </c>
      <c r="D259" s="354" t="s">
        <v>1337</v>
      </c>
      <c r="E259" s="354"/>
      <c r="F259" s="354"/>
      <c r="G259" s="354"/>
      <c r="H259" s="355"/>
      <c r="I259" s="355"/>
      <c r="J259" s="356" t="s">
        <v>1468</v>
      </c>
      <c r="K259" s="384"/>
      <c r="L259" s="384"/>
      <c r="M259" s="384"/>
      <c r="N259" s="384"/>
      <c r="O259" s="384"/>
      <c r="P259" s="384"/>
      <c r="Q259" s="384"/>
      <c r="R259" s="384"/>
      <c r="S259" s="384"/>
      <c r="T259" s="384"/>
      <c r="U259" s="385"/>
      <c r="V259" s="354"/>
      <c r="W259" s="353"/>
      <c r="X259" s="353"/>
      <c r="Y259" s="340" t="s">
        <v>1322</v>
      </c>
    </row>
    <row r="260" spans="1:25" s="147" customFormat="1" ht="22.5" customHeight="1" thickTop="1" thickBot="1">
      <c r="A260" s="364" t="s">
        <v>1320</v>
      </c>
      <c r="B260" s="359" t="s">
        <v>1337</v>
      </c>
      <c r="C260" s="359" t="s">
        <v>1390</v>
      </c>
      <c r="D260" s="359" t="s">
        <v>1337</v>
      </c>
      <c r="E260" s="359" t="s">
        <v>1324</v>
      </c>
      <c r="F260" s="359"/>
      <c r="G260" s="359"/>
      <c r="H260" s="360"/>
      <c r="I260" s="360"/>
      <c r="J260" s="361" t="s">
        <v>1582</v>
      </c>
      <c r="K260" s="380"/>
      <c r="L260" s="380"/>
      <c r="M260" s="380"/>
      <c r="N260" s="380"/>
      <c r="O260" s="380"/>
      <c r="P260" s="380"/>
      <c r="Q260" s="380"/>
      <c r="R260" s="380"/>
      <c r="S260" s="380"/>
      <c r="T260" s="380"/>
      <c r="U260" s="381"/>
      <c r="V260" s="359"/>
      <c r="W260" s="364"/>
      <c r="X260" s="364"/>
      <c r="Y260" s="340" t="s">
        <v>1322</v>
      </c>
    </row>
    <row r="261" spans="1:25" s="147" customFormat="1" ht="22.5" customHeight="1" thickTop="1" thickBot="1">
      <c r="A261" s="353" t="s">
        <v>1320</v>
      </c>
      <c r="B261" s="354" t="s">
        <v>1337</v>
      </c>
      <c r="C261" s="354" t="s">
        <v>1390</v>
      </c>
      <c r="D261" s="354" t="s">
        <v>1361</v>
      </c>
      <c r="E261" s="354"/>
      <c r="F261" s="354"/>
      <c r="G261" s="354"/>
      <c r="H261" s="355"/>
      <c r="I261" s="355"/>
      <c r="J261" s="356" t="s">
        <v>1583</v>
      </c>
      <c r="K261" s="384"/>
      <c r="L261" s="384"/>
      <c r="M261" s="384"/>
      <c r="N261" s="384"/>
      <c r="O261" s="384"/>
      <c r="P261" s="384"/>
      <c r="Q261" s="384"/>
      <c r="R261" s="384"/>
      <c r="S261" s="384"/>
      <c r="T261" s="384"/>
      <c r="U261" s="385"/>
      <c r="V261" s="354"/>
      <c r="W261" s="353"/>
      <c r="X261" s="353"/>
      <c r="Y261" s="340" t="s">
        <v>1322</v>
      </c>
    </row>
    <row r="262" spans="1:25" s="147" customFormat="1" ht="22.5" customHeight="1" thickTop="1" thickBot="1">
      <c r="A262" s="353" t="s">
        <v>1320</v>
      </c>
      <c r="B262" s="354" t="s">
        <v>1337</v>
      </c>
      <c r="C262" s="354" t="s">
        <v>1390</v>
      </c>
      <c r="D262" s="354" t="s">
        <v>1365</v>
      </c>
      <c r="E262" s="354"/>
      <c r="F262" s="354"/>
      <c r="G262" s="354"/>
      <c r="H262" s="355"/>
      <c r="I262" s="355"/>
      <c r="J262" s="356" t="s">
        <v>1584</v>
      </c>
      <c r="K262" s="384"/>
      <c r="L262" s="384"/>
      <c r="M262" s="384"/>
      <c r="N262" s="384"/>
      <c r="O262" s="384"/>
      <c r="P262" s="384"/>
      <c r="Q262" s="384"/>
      <c r="R262" s="384"/>
      <c r="S262" s="384"/>
      <c r="T262" s="384"/>
      <c r="U262" s="385"/>
      <c r="V262" s="354"/>
      <c r="W262" s="353"/>
      <c r="X262" s="353"/>
      <c r="Y262" s="340" t="s">
        <v>1322</v>
      </c>
    </row>
    <row r="263" spans="1:25" s="147" customFormat="1" ht="22.5" customHeight="1" thickTop="1" thickBot="1">
      <c r="A263" s="353" t="s">
        <v>1320</v>
      </c>
      <c r="B263" s="354" t="s">
        <v>1337</v>
      </c>
      <c r="C263" s="354" t="s">
        <v>1390</v>
      </c>
      <c r="D263" s="354" t="s">
        <v>1390</v>
      </c>
      <c r="E263" s="354"/>
      <c r="F263" s="354"/>
      <c r="G263" s="354"/>
      <c r="H263" s="355"/>
      <c r="I263" s="355"/>
      <c r="J263" s="356" t="s">
        <v>1585</v>
      </c>
      <c r="K263" s="384"/>
      <c r="L263" s="384"/>
      <c r="M263" s="384"/>
      <c r="N263" s="384"/>
      <c r="O263" s="384"/>
      <c r="P263" s="384"/>
      <c r="Q263" s="384"/>
      <c r="R263" s="384"/>
      <c r="S263" s="384"/>
      <c r="T263" s="384"/>
      <c r="U263" s="385"/>
      <c r="V263" s="354"/>
      <c r="W263" s="353"/>
      <c r="X263" s="353"/>
      <c r="Y263" s="340" t="s">
        <v>1322</v>
      </c>
    </row>
    <row r="264" spans="1:25" s="147" customFormat="1" ht="22.5" customHeight="1" thickTop="1" thickBot="1">
      <c r="A264" s="364" t="s">
        <v>1320</v>
      </c>
      <c r="B264" s="359" t="s">
        <v>1337</v>
      </c>
      <c r="C264" s="359" t="s">
        <v>1390</v>
      </c>
      <c r="D264" s="359" t="s">
        <v>1390</v>
      </c>
      <c r="E264" s="359" t="s">
        <v>1324</v>
      </c>
      <c r="F264" s="359"/>
      <c r="G264" s="359"/>
      <c r="H264" s="360"/>
      <c r="I264" s="360"/>
      <c r="J264" s="361" t="s">
        <v>1586</v>
      </c>
      <c r="K264" s="380"/>
      <c r="L264" s="380"/>
      <c r="M264" s="380"/>
      <c r="N264" s="380"/>
      <c r="O264" s="380"/>
      <c r="P264" s="380"/>
      <c r="Q264" s="380"/>
      <c r="R264" s="380"/>
      <c r="S264" s="380"/>
      <c r="T264" s="380"/>
      <c r="U264" s="381"/>
      <c r="V264" s="359"/>
      <c r="W264" s="364"/>
      <c r="X264" s="364"/>
      <c r="Y264" s="340" t="s">
        <v>1322</v>
      </c>
    </row>
    <row r="265" spans="1:25" s="147" customFormat="1" ht="22.5" customHeight="1" thickTop="1" thickBot="1">
      <c r="A265" s="364" t="s">
        <v>1320</v>
      </c>
      <c r="B265" s="359" t="s">
        <v>1337</v>
      </c>
      <c r="C265" s="359" t="s">
        <v>1390</v>
      </c>
      <c r="D265" s="359" t="s">
        <v>1390</v>
      </c>
      <c r="E265" s="359" t="s">
        <v>1337</v>
      </c>
      <c r="F265" s="359"/>
      <c r="G265" s="359"/>
      <c r="H265" s="360"/>
      <c r="I265" s="360"/>
      <c r="J265" s="361" t="s">
        <v>1587</v>
      </c>
      <c r="K265" s="380"/>
      <c r="L265" s="380"/>
      <c r="M265" s="380"/>
      <c r="N265" s="380"/>
      <c r="O265" s="380"/>
      <c r="P265" s="380"/>
      <c r="Q265" s="380"/>
      <c r="R265" s="380"/>
      <c r="S265" s="380"/>
      <c r="T265" s="380"/>
      <c r="U265" s="381"/>
      <c r="V265" s="364"/>
      <c r="W265" s="364"/>
      <c r="X265" s="364"/>
      <c r="Y265" s="340" t="s">
        <v>1322</v>
      </c>
    </row>
    <row r="266" spans="1:25" s="147" customFormat="1" ht="22.5" customHeight="1" thickTop="1" thickBot="1">
      <c r="A266" s="353" t="s">
        <v>1320</v>
      </c>
      <c r="B266" s="354" t="s">
        <v>1337</v>
      </c>
      <c r="C266" s="354" t="s">
        <v>1390</v>
      </c>
      <c r="D266" s="354" t="s">
        <v>1413</v>
      </c>
      <c r="E266" s="354"/>
      <c r="F266" s="354"/>
      <c r="G266" s="354"/>
      <c r="H266" s="355"/>
      <c r="I266" s="355"/>
      <c r="J266" s="356" t="s">
        <v>1588</v>
      </c>
      <c r="K266" s="384"/>
      <c r="L266" s="384"/>
      <c r="M266" s="384"/>
      <c r="N266" s="384"/>
      <c r="O266" s="384"/>
      <c r="P266" s="384"/>
      <c r="Q266" s="384"/>
      <c r="R266" s="384"/>
      <c r="S266" s="384"/>
      <c r="T266" s="384"/>
      <c r="U266" s="385"/>
      <c r="V266" s="354"/>
      <c r="W266" s="353"/>
      <c r="X266" s="353"/>
      <c r="Y266" s="340" t="s">
        <v>1322</v>
      </c>
    </row>
    <row r="267" spans="1:25" s="147" customFormat="1" ht="22.5" customHeight="1" thickTop="1" thickBot="1">
      <c r="A267" s="353" t="s">
        <v>1320</v>
      </c>
      <c r="B267" s="354" t="s">
        <v>1337</v>
      </c>
      <c r="C267" s="354" t="s">
        <v>1390</v>
      </c>
      <c r="D267" s="354" t="s">
        <v>1417</v>
      </c>
      <c r="E267" s="354"/>
      <c r="F267" s="354"/>
      <c r="G267" s="354"/>
      <c r="H267" s="355"/>
      <c r="I267" s="355"/>
      <c r="J267" s="356" t="s">
        <v>1589</v>
      </c>
      <c r="K267" s="384"/>
      <c r="L267" s="384"/>
      <c r="M267" s="384"/>
      <c r="N267" s="384"/>
      <c r="O267" s="384"/>
      <c r="P267" s="384"/>
      <c r="Q267" s="384"/>
      <c r="R267" s="384"/>
      <c r="S267" s="384"/>
      <c r="T267" s="384"/>
      <c r="U267" s="385"/>
      <c r="V267" s="354"/>
      <c r="W267" s="353"/>
      <c r="X267" s="353"/>
      <c r="Y267" s="340" t="s">
        <v>1322</v>
      </c>
    </row>
    <row r="268" spans="1:25" s="147" customFormat="1" ht="22.5" customHeight="1" thickTop="1" thickBot="1">
      <c r="A268" s="353" t="s">
        <v>1320</v>
      </c>
      <c r="B268" s="354" t="s">
        <v>1337</v>
      </c>
      <c r="C268" s="354" t="s">
        <v>1390</v>
      </c>
      <c r="D268" s="354" t="s">
        <v>1421</v>
      </c>
      <c r="E268" s="354"/>
      <c r="F268" s="354"/>
      <c r="G268" s="354"/>
      <c r="H268" s="355"/>
      <c r="I268" s="355"/>
      <c r="J268" s="356" t="s">
        <v>1590</v>
      </c>
      <c r="K268" s="384"/>
      <c r="L268" s="384"/>
      <c r="M268" s="384"/>
      <c r="N268" s="384"/>
      <c r="O268" s="384"/>
      <c r="P268" s="384"/>
      <c r="Q268" s="384"/>
      <c r="R268" s="384"/>
      <c r="S268" s="384"/>
      <c r="T268" s="384"/>
      <c r="U268" s="385"/>
      <c r="V268" s="354"/>
      <c r="W268" s="353"/>
      <c r="X268" s="353"/>
      <c r="Y268" s="340" t="s">
        <v>1322</v>
      </c>
    </row>
    <row r="269" spans="1:25" s="147" customFormat="1" ht="22.5" customHeight="1" thickTop="1" thickBot="1">
      <c r="A269" s="353" t="s">
        <v>1320</v>
      </c>
      <c r="B269" s="354" t="s">
        <v>1337</v>
      </c>
      <c r="C269" s="354" t="s">
        <v>1390</v>
      </c>
      <c r="D269" s="354" t="s">
        <v>1518</v>
      </c>
      <c r="E269" s="354"/>
      <c r="F269" s="354"/>
      <c r="G269" s="354"/>
      <c r="H269" s="355"/>
      <c r="I269" s="355"/>
      <c r="J269" s="356" t="s">
        <v>1591</v>
      </c>
      <c r="K269" s="384"/>
      <c r="L269" s="384"/>
      <c r="M269" s="384"/>
      <c r="N269" s="384"/>
      <c r="O269" s="384"/>
      <c r="P269" s="384"/>
      <c r="Q269" s="384"/>
      <c r="R269" s="384"/>
      <c r="S269" s="384"/>
      <c r="T269" s="384"/>
      <c r="U269" s="385"/>
      <c r="V269" s="354"/>
      <c r="W269" s="353"/>
      <c r="X269" s="353"/>
      <c r="Y269" s="340" t="s">
        <v>1322</v>
      </c>
    </row>
    <row r="270" spans="1:25" s="147" customFormat="1" ht="22.5" customHeight="1" thickTop="1" thickBot="1">
      <c r="A270" s="353" t="s">
        <v>1320</v>
      </c>
      <c r="B270" s="354" t="s">
        <v>1337</v>
      </c>
      <c r="C270" s="354" t="s">
        <v>1390</v>
      </c>
      <c r="D270" s="354" t="s">
        <v>1519</v>
      </c>
      <c r="E270" s="354"/>
      <c r="F270" s="354"/>
      <c r="G270" s="354"/>
      <c r="H270" s="355"/>
      <c r="I270" s="355"/>
      <c r="J270" s="356" t="s">
        <v>1592</v>
      </c>
      <c r="K270" s="384"/>
      <c r="L270" s="384"/>
      <c r="M270" s="384"/>
      <c r="N270" s="384"/>
      <c r="O270" s="384"/>
      <c r="P270" s="384"/>
      <c r="Q270" s="384"/>
      <c r="R270" s="384"/>
      <c r="S270" s="384"/>
      <c r="T270" s="384"/>
      <c r="U270" s="385"/>
      <c r="V270" s="354"/>
      <c r="W270" s="353"/>
      <c r="X270" s="353"/>
      <c r="Y270" s="340" t="s">
        <v>1322</v>
      </c>
    </row>
    <row r="271" spans="1:25" s="147" customFormat="1" ht="22.5" customHeight="1" thickTop="1" thickBot="1">
      <c r="A271" s="353" t="s">
        <v>1320</v>
      </c>
      <c r="B271" s="354" t="s">
        <v>1337</v>
      </c>
      <c r="C271" s="354" t="s">
        <v>1390</v>
      </c>
      <c r="D271" s="354" t="s">
        <v>1520</v>
      </c>
      <c r="E271" s="354"/>
      <c r="F271" s="354"/>
      <c r="G271" s="354"/>
      <c r="H271" s="355"/>
      <c r="I271" s="355"/>
      <c r="J271" s="356" t="s">
        <v>1593</v>
      </c>
      <c r="K271" s="384"/>
      <c r="L271" s="384"/>
      <c r="M271" s="384"/>
      <c r="N271" s="384"/>
      <c r="O271" s="384"/>
      <c r="P271" s="384"/>
      <c r="Q271" s="384"/>
      <c r="R271" s="384"/>
      <c r="S271" s="384"/>
      <c r="T271" s="384"/>
      <c r="U271" s="385"/>
      <c r="V271" s="354"/>
      <c r="W271" s="353" t="s">
        <v>1594</v>
      </c>
      <c r="X271" s="353"/>
      <c r="Y271" s="340" t="s">
        <v>1322</v>
      </c>
    </row>
    <row r="272" spans="1:25" s="147" customFormat="1" ht="22.5" customHeight="1" thickTop="1" thickBot="1">
      <c r="A272" s="353" t="s">
        <v>1320</v>
      </c>
      <c r="B272" s="354" t="s">
        <v>1337</v>
      </c>
      <c r="C272" s="354" t="s">
        <v>1390</v>
      </c>
      <c r="D272" s="354" t="s">
        <v>1521</v>
      </c>
      <c r="E272" s="354"/>
      <c r="F272" s="354"/>
      <c r="G272" s="354"/>
      <c r="H272" s="355"/>
      <c r="I272" s="355"/>
      <c r="J272" s="356" t="s">
        <v>1247</v>
      </c>
      <c r="K272" s="384"/>
      <c r="L272" s="384"/>
      <c r="M272" s="384"/>
      <c r="N272" s="384"/>
      <c r="O272" s="384"/>
      <c r="P272" s="384"/>
      <c r="Q272" s="384"/>
      <c r="R272" s="384"/>
      <c r="S272" s="384"/>
      <c r="T272" s="384"/>
      <c r="U272" s="385"/>
      <c r="V272" s="354"/>
      <c r="W272" s="353" t="s">
        <v>1595</v>
      </c>
      <c r="X272" s="353"/>
      <c r="Y272" s="340" t="s">
        <v>1322</v>
      </c>
    </row>
    <row r="273" spans="1:25" s="147" customFormat="1" ht="22.5" customHeight="1" thickTop="1" thickBot="1">
      <c r="A273" s="364" t="s">
        <v>1320</v>
      </c>
      <c r="B273" s="359" t="s">
        <v>1337</v>
      </c>
      <c r="C273" s="359" t="s">
        <v>1390</v>
      </c>
      <c r="D273" s="359" t="s">
        <v>1521</v>
      </c>
      <c r="E273" s="359" t="s">
        <v>1324</v>
      </c>
      <c r="F273" s="359"/>
      <c r="G273" s="359"/>
      <c r="H273" s="360"/>
      <c r="I273" s="360"/>
      <c r="J273" s="361" t="s">
        <v>1596</v>
      </c>
      <c r="K273" s="380"/>
      <c r="L273" s="380"/>
      <c r="M273" s="380"/>
      <c r="N273" s="380"/>
      <c r="O273" s="380"/>
      <c r="P273" s="380"/>
      <c r="Q273" s="380"/>
      <c r="R273" s="380"/>
      <c r="S273" s="380"/>
      <c r="T273" s="380"/>
      <c r="U273" s="381"/>
      <c r="V273" s="364"/>
      <c r="W273" s="364" t="s">
        <v>1597</v>
      </c>
      <c r="X273" s="364"/>
      <c r="Y273" s="340" t="s">
        <v>1322</v>
      </c>
    </row>
    <row r="274" spans="1:25" s="147" customFormat="1" ht="22.5" customHeight="1" thickTop="1" thickBot="1">
      <c r="A274" s="364" t="s">
        <v>1320</v>
      </c>
      <c r="B274" s="359" t="s">
        <v>1337</v>
      </c>
      <c r="C274" s="359" t="s">
        <v>1390</v>
      </c>
      <c r="D274" s="359" t="s">
        <v>1521</v>
      </c>
      <c r="E274" s="359" t="s">
        <v>1337</v>
      </c>
      <c r="F274" s="359"/>
      <c r="G274" s="359"/>
      <c r="H274" s="360"/>
      <c r="I274" s="360"/>
      <c r="J274" s="361" t="s">
        <v>1598</v>
      </c>
      <c r="K274" s="380"/>
      <c r="L274" s="380"/>
      <c r="M274" s="380"/>
      <c r="N274" s="380"/>
      <c r="O274" s="380"/>
      <c r="P274" s="380"/>
      <c r="Q274" s="380"/>
      <c r="R274" s="380"/>
      <c r="S274" s="380"/>
      <c r="T274" s="380"/>
      <c r="U274" s="381"/>
      <c r="V274" s="359"/>
      <c r="W274" s="364" t="s">
        <v>1599</v>
      </c>
      <c r="X274" s="364"/>
      <c r="Y274" s="340" t="s">
        <v>1322</v>
      </c>
    </row>
    <row r="275" spans="1:25" s="147" customFormat="1" ht="22.5" customHeight="1" thickTop="1" thickBot="1">
      <c r="A275" s="364" t="s">
        <v>1320</v>
      </c>
      <c r="B275" s="359" t="s">
        <v>1337</v>
      </c>
      <c r="C275" s="359" t="s">
        <v>1390</v>
      </c>
      <c r="D275" s="359" t="s">
        <v>1521</v>
      </c>
      <c r="E275" s="359" t="s">
        <v>1361</v>
      </c>
      <c r="F275" s="359"/>
      <c r="G275" s="359"/>
      <c r="H275" s="360"/>
      <c r="I275" s="360"/>
      <c r="J275" s="361" t="s">
        <v>1600</v>
      </c>
      <c r="K275" s="380"/>
      <c r="L275" s="380"/>
      <c r="M275" s="380"/>
      <c r="N275" s="380"/>
      <c r="O275" s="380"/>
      <c r="P275" s="380"/>
      <c r="Q275" s="380"/>
      <c r="R275" s="380"/>
      <c r="S275" s="380"/>
      <c r="T275" s="380"/>
      <c r="U275" s="381"/>
      <c r="V275" s="364"/>
      <c r="W275" s="364" t="s">
        <v>1601</v>
      </c>
      <c r="X275" s="364"/>
      <c r="Y275" s="340" t="s">
        <v>1322</v>
      </c>
    </row>
    <row r="276" spans="1:25" s="147" customFormat="1" ht="22.5" customHeight="1" thickTop="1" thickBot="1">
      <c r="A276" s="353" t="s">
        <v>1320</v>
      </c>
      <c r="B276" s="354" t="s">
        <v>1337</v>
      </c>
      <c r="C276" s="354" t="s">
        <v>1390</v>
      </c>
      <c r="D276" s="354" t="s">
        <v>1602</v>
      </c>
      <c r="E276" s="354"/>
      <c r="F276" s="354"/>
      <c r="G276" s="354"/>
      <c r="H276" s="355"/>
      <c r="I276" s="355"/>
      <c r="J276" s="356" t="s">
        <v>1603</v>
      </c>
      <c r="K276" s="384"/>
      <c r="L276" s="384"/>
      <c r="M276" s="384"/>
      <c r="N276" s="384"/>
      <c r="O276" s="384"/>
      <c r="P276" s="384"/>
      <c r="Q276" s="384"/>
      <c r="R276" s="384"/>
      <c r="S276" s="384"/>
      <c r="T276" s="384"/>
      <c r="U276" s="385"/>
      <c r="V276" s="354"/>
      <c r="W276" s="354" t="s">
        <v>1604</v>
      </c>
      <c r="X276" s="354"/>
      <c r="Y276" s="340" t="s">
        <v>1322</v>
      </c>
    </row>
    <row r="277" spans="1:25" s="147" customFormat="1" ht="22.5" customHeight="1" thickTop="1" thickBot="1">
      <c r="A277" s="364" t="s">
        <v>1320</v>
      </c>
      <c r="B277" s="359" t="s">
        <v>1337</v>
      </c>
      <c r="C277" s="359" t="s">
        <v>1390</v>
      </c>
      <c r="D277" s="359" t="s">
        <v>1602</v>
      </c>
      <c r="E277" s="359" t="s">
        <v>1324</v>
      </c>
      <c r="F277" s="359"/>
      <c r="G277" s="359"/>
      <c r="H277" s="360"/>
      <c r="I277" s="360"/>
      <c r="J277" s="361" t="s">
        <v>1605</v>
      </c>
      <c r="K277" s="391"/>
      <c r="L277" s="391"/>
      <c r="M277" s="391"/>
      <c r="N277" s="391"/>
      <c r="O277" s="391"/>
      <c r="P277" s="391"/>
      <c r="Q277" s="391"/>
      <c r="R277" s="391"/>
      <c r="S277" s="391"/>
      <c r="T277" s="391"/>
      <c r="U277" s="392"/>
      <c r="V277" s="359"/>
      <c r="W277" s="359" t="s">
        <v>1606</v>
      </c>
      <c r="X277" s="359"/>
      <c r="Y277" s="340" t="s">
        <v>1322</v>
      </c>
    </row>
    <row r="278" spans="1:25" ht="22.5" customHeight="1" thickTop="1" thickBot="1">
      <c r="A278" s="368" t="s">
        <v>1320</v>
      </c>
      <c r="B278" s="360" t="s">
        <v>1337</v>
      </c>
      <c r="C278" s="360" t="s">
        <v>1390</v>
      </c>
      <c r="D278" s="360" t="s">
        <v>1602</v>
      </c>
      <c r="E278" s="360" t="s">
        <v>1324</v>
      </c>
      <c r="F278" s="359" t="s">
        <v>1324</v>
      </c>
      <c r="G278" s="360"/>
      <c r="H278" s="360"/>
      <c r="I278" s="360"/>
      <c r="J278" s="365" t="s">
        <v>1607</v>
      </c>
      <c r="K278" s="391"/>
      <c r="L278" s="391"/>
      <c r="M278" s="391"/>
      <c r="N278" s="391"/>
      <c r="O278" s="391"/>
      <c r="P278" s="391"/>
      <c r="Q278" s="391"/>
      <c r="R278" s="391"/>
      <c r="S278" s="391"/>
      <c r="T278" s="391"/>
      <c r="U278" s="392"/>
      <c r="V278" s="359"/>
      <c r="W278" s="359"/>
      <c r="X278" s="359"/>
      <c r="Y278" s="340"/>
    </row>
    <row r="279" spans="1:25" ht="22.5" customHeight="1" thickTop="1" thickBot="1">
      <c r="A279" s="368" t="s">
        <v>1320</v>
      </c>
      <c r="B279" s="360" t="s">
        <v>1337</v>
      </c>
      <c r="C279" s="360" t="s">
        <v>1390</v>
      </c>
      <c r="D279" s="360" t="s">
        <v>1602</v>
      </c>
      <c r="E279" s="360" t="s">
        <v>1324</v>
      </c>
      <c r="F279" s="359" t="s">
        <v>1337</v>
      </c>
      <c r="G279" s="360"/>
      <c r="H279" s="360"/>
      <c r="I279" s="360"/>
      <c r="J279" s="365" t="s">
        <v>1608</v>
      </c>
      <c r="K279" s="391"/>
      <c r="L279" s="391"/>
      <c r="M279" s="391"/>
      <c r="N279" s="391"/>
      <c r="O279" s="391"/>
      <c r="P279" s="391"/>
      <c r="Q279" s="391"/>
      <c r="R279" s="391"/>
      <c r="S279" s="391"/>
      <c r="T279" s="391"/>
      <c r="U279" s="392"/>
      <c r="V279" s="359"/>
      <c r="W279" s="359"/>
      <c r="X279" s="359"/>
      <c r="Y279" s="340"/>
    </row>
    <row r="280" spans="1:25" s="147" customFormat="1" ht="22.5" customHeight="1" thickTop="1" thickBot="1">
      <c r="A280" s="364" t="s">
        <v>1320</v>
      </c>
      <c r="B280" s="359" t="s">
        <v>1337</v>
      </c>
      <c r="C280" s="359" t="s">
        <v>1390</v>
      </c>
      <c r="D280" s="359" t="s">
        <v>1602</v>
      </c>
      <c r="E280" s="359" t="s">
        <v>1337</v>
      </c>
      <c r="F280" s="359"/>
      <c r="G280" s="359"/>
      <c r="H280" s="360"/>
      <c r="I280" s="360"/>
      <c r="J280" s="361" t="s">
        <v>1609</v>
      </c>
      <c r="K280" s="391"/>
      <c r="L280" s="391"/>
      <c r="M280" s="391"/>
      <c r="N280" s="391"/>
      <c r="O280" s="391"/>
      <c r="P280" s="391"/>
      <c r="Q280" s="391"/>
      <c r="R280" s="391"/>
      <c r="S280" s="391"/>
      <c r="T280" s="391"/>
      <c r="U280" s="392"/>
      <c r="V280" s="359"/>
      <c r="W280" s="359"/>
      <c r="X280" s="359"/>
      <c r="Y280" s="340" t="s">
        <v>1322</v>
      </c>
    </row>
    <row r="281" spans="1:25" s="147" customFormat="1" ht="22.5" customHeight="1" thickTop="1" thickBot="1">
      <c r="A281" s="353">
        <v>1</v>
      </c>
      <c r="B281" s="354" t="s">
        <v>1337</v>
      </c>
      <c r="C281" s="354" t="s">
        <v>1390</v>
      </c>
      <c r="D281" s="354" t="s">
        <v>1610</v>
      </c>
      <c r="E281" s="354"/>
      <c r="F281" s="354"/>
      <c r="G281" s="354"/>
      <c r="H281" s="355"/>
      <c r="I281" s="355"/>
      <c r="J281" s="356" t="s">
        <v>1611</v>
      </c>
      <c r="K281" s="384"/>
      <c r="L281" s="384"/>
      <c r="M281" s="384"/>
      <c r="N281" s="384"/>
      <c r="O281" s="384"/>
      <c r="P281" s="384"/>
      <c r="Q281" s="384"/>
      <c r="R281" s="384"/>
      <c r="S281" s="384"/>
      <c r="T281" s="384"/>
      <c r="U281" s="385"/>
      <c r="V281" s="354"/>
      <c r="W281" s="354"/>
      <c r="X281" s="354"/>
      <c r="Y281" s="340"/>
    </row>
    <row r="282" spans="1:25" ht="22.5" customHeight="1" thickTop="1" thickBot="1">
      <c r="A282" s="368">
        <v>1</v>
      </c>
      <c r="B282" s="360" t="s">
        <v>1337</v>
      </c>
      <c r="C282" s="360" t="s">
        <v>1390</v>
      </c>
      <c r="D282" s="360" t="s">
        <v>1610</v>
      </c>
      <c r="E282" s="359" t="s">
        <v>1324</v>
      </c>
      <c r="F282" s="360"/>
      <c r="G282" s="360"/>
      <c r="H282" s="360"/>
      <c r="I282" s="360"/>
      <c r="J282" s="365" t="s">
        <v>1612</v>
      </c>
      <c r="K282" s="389"/>
      <c r="L282" s="389"/>
      <c r="M282" s="389"/>
      <c r="N282" s="389"/>
      <c r="O282" s="389"/>
      <c r="P282" s="389"/>
      <c r="Q282" s="389"/>
      <c r="R282" s="389"/>
      <c r="S282" s="389"/>
      <c r="T282" s="389"/>
      <c r="U282" s="390"/>
      <c r="V282" s="360"/>
      <c r="W282" s="360"/>
      <c r="X282" s="360"/>
      <c r="Y282" s="373"/>
    </row>
    <row r="283" spans="1:25" ht="22.5" customHeight="1" thickTop="1" thickBot="1">
      <c r="A283" s="368">
        <v>1</v>
      </c>
      <c r="B283" s="360" t="s">
        <v>1337</v>
      </c>
      <c r="C283" s="360" t="s">
        <v>1390</v>
      </c>
      <c r="D283" s="360" t="s">
        <v>1610</v>
      </c>
      <c r="E283" s="359" t="s">
        <v>1337</v>
      </c>
      <c r="F283" s="360"/>
      <c r="G283" s="360"/>
      <c r="H283" s="360"/>
      <c r="I283" s="360"/>
      <c r="J283" s="365" t="s">
        <v>1613</v>
      </c>
      <c r="K283" s="389"/>
      <c r="L283" s="389"/>
      <c r="M283" s="389"/>
      <c r="N283" s="389"/>
      <c r="O283" s="389"/>
      <c r="P283" s="389"/>
      <c r="Q283" s="389"/>
      <c r="R283" s="389"/>
      <c r="S283" s="389"/>
      <c r="T283" s="389"/>
      <c r="U283" s="390"/>
      <c r="V283" s="360"/>
      <c r="W283" s="360"/>
      <c r="X283" s="360"/>
      <c r="Y283" s="373"/>
    </row>
    <row r="284" spans="1:25" s="147" customFormat="1" ht="22.5" customHeight="1" thickTop="1" thickBot="1">
      <c r="A284" s="347" t="s">
        <v>1320</v>
      </c>
      <c r="B284" s="348" t="s">
        <v>1337</v>
      </c>
      <c r="C284" s="348" t="s">
        <v>1413</v>
      </c>
      <c r="D284" s="348"/>
      <c r="E284" s="348"/>
      <c r="F284" s="348"/>
      <c r="G284" s="348"/>
      <c r="H284" s="349"/>
      <c r="I284" s="349"/>
      <c r="J284" s="350" t="s">
        <v>1614</v>
      </c>
      <c r="K284" s="393"/>
      <c r="L284" s="393"/>
      <c r="M284" s="393"/>
      <c r="N284" s="393"/>
      <c r="O284" s="393"/>
      <c r="P284" s="393"/>
      <c r="Q284" s="393"/>
      <c r="R284" s="393"/>
      <c r="S284" s="393"/>
      <c r="T284" s="393"/>
      <c r="U284" s="394"/>
      <c r="V284" s="348"/>
      <c r="W284" s="348" t="s">
        <v>1615</v>
      </c>
      <c r="X284" s="348" t="s">
        <v>1616</v>
      </c>
      <c r="Y284" s="340" t="s">
        <v>1322</v>
      </c>
    </row>
    <row r="285" spans="1:25" s="147" customFormat="1" ht="22.5" customHeight="1" thickTop="1" thickBot="1">
      <c r="A285" s="353" t="s">
        <v>1320</v>
      </c>
      <c r="B285" s="354" t="s">
        <v>1337</v>
      </c>
      <c r="C285" s="354" t="s">
        <v>1413</v>
      </c>
      <c r="D285" s="354" t="s">
        <v>1324</v>
      </c>
      <c r="E285" s="354"/>
      <c r="F285" s="354"/>
      <c r="G285" s="354"/>
      <c r="H285" s="355"/>
      <c r="I285" s="355"/>
      <c r="J285" s="356" t="s">
        <v>1617</v>
      </c>
      <c r="K285" s="384"/>
      <c r="L285" s="384"/>
      <c r="M285" s="384"/>
      <c r="N285" s="384"/>
      <c r="O285" s="384"/>
      <c r="P285" s="384"/>
      <c r="Q285" s="384"/>
      <c r="R285" s="384"/>
      <c r="S285" s="384"/>
      <c r="T285" s="384"/>
      <c r="U285" s="385"/>
      <c r="V285" s="354"/>
      <c r="W285" s="353"/>
      <c r="X285" s="353"/>
      <c r="Y285" s="340" t="s">
        <v>1322</v>
      </c>
    </row>
    <row r="286" spans="1:25" s="147" customFormat="1" ht="22.5" customHeight="1" thickTop="1" thickBot="1">
      <c r="A286" s="364" t="s">
        <v>1320</v>
      </c>
      <c r="B286" s="359" t="s">
        <v>1337</v>
      </c>
      <c r="C286" s="359" t="s">
        <v>1413</v>
      </c>
      <c r="D286" s="359" t="s">
        <v>1324</v>
      </c>
      <c r="E286" s="359" t="s">
        <v>1324</v>
      </c>
      <c r="F286" s="359"/>
      <c r="G286" s="359"/>
      <c r="H286" s="360"/>
      <c r="I286" s="360"/>
      <c r="J286" s="361" t="s">
        <v>1618</v>
      </c>
      <c r="K286" s="380"/>
      <c r="L286" s="380"/>
      <c r="M286" s="380"/>
      <c r="N286" s="380"/>
      <c r="O286" s="380"/>
      <c r="P286" s="380"/>
      <c r="Q286" s="380"/>
      <c r="R286" s="380"/>
      <c r="S286" s="380"/>
      <c r="T286" s="380"/>
      <c r="U286" s="381"/>
      <c r="V286" s="359"/>
      <c r="W286" s="364"/>
      <c r="X286" s="364"/>
      <c r="Y286" s="340" t="s">
        <v>1322</v>
      </c>
    </row>
    <row r="287" spans="1:25" s="147" customFormat="1" ht="22.5" customHeight="1" thickTop="1" thickBot="1">
      <c r="A287" s="353" t="s">
        <v>1320</v>
      </c>
      <c r="B287" s="354" t="s">
        <v>1337</v>
      </c>
      <c r="C287" s="354" t="s">
        <v>1413</v>
      </c>
      <c r="D287" s="354" t="s">
        <v>1337</v>
      </c>
      <c r="E287" s="354"/>
      <c r="F287" s="354"/>
      <c r="G287" s="354"/>
      <c r="H287" s="355"/>
      <c r="I287" s="355"/>
      <c r="J287" s="356" t="s">
        <v>1619</v>
      </c>
      <c r="K287" s="384"/>
      <c r="L287" s="384"/>
      <c r="M287" s="384"/>
      <c r="N287" s="384"/>
      <c r="O287" s="384"/>
      <c r="P287" s="384"/>
      <c r="Q287" s="384"/>
      <c r="R287" s="384"/>
      <c r="S287" s="384"/>
      <c r="T287" s="384"/>
      <c r="U287" s="385"/>
      <c r="V287" s="354"/>
      <c r="W287" s="353"/>
      <c r="X287" s="353"/>
      <c r="Y287" s="340" t="s">
        <v>1322</v>
      </c>
    </row>
    <row r="288" spans="1:25" s="147" customFormat="1" ht="22.5" customHeight="1" thickTop="1" thickBot="1">
      <c r="A288" s="353" t="s">
        <v>1320</v>
      </c>
      <c r="B288" s="354" t="s">
        <v>1337</v>
      </c>
      <c r="C288" s="354" t="s">
        <v>1413</v>
      </c>
      <c r="D288" s="354" t="s">
        <v>1361</v>
      </c>
      <c r="E288" s="354"/>
      <c r="F288" s="354"/>
      <c r="G288" s="354"/>
      <c r="H288" s="355"/>
      <c r="I288" s="355"/>
      <c r="J288" s="356" t="s">
        <v>1620</v>
      </c>
      <c r="K288" s="384"/>
      <c r="L288" s="384"/>
      <c r="M288" s="384"/>
      <c r="N288" s="384"/>
      <c r="O288" s="384"/>
      <c r="P288" s="384"/>
      <c r="Q288" s="384"/>
      <c r="R288" s="384"/>
      <c r="S288" s="384"/>
      <c r="T288" s="384"/>
      <c r="U288" s="385"/>
      <c r="V288" s="354"/>
      <c r="W288" s="353"/>
      <c r="X288" s="353"/>
      <c r="Y288" s="340" t="s">
        <v>1322</v>
      </c>
    </row>
    <row r="289" spans="1:25" ht="22.5" customHeight="1" thickTop="1" thickBot="1">
      <c r="A289" s="368" t="s">
        <v>1320</v>
      </c>
      <c r="B289" s="360" t="s">
        <v>1337</v>
      </c>
      <c r="C289" s="360" t="s">
        <v>1413</v>
      </c>
      <c r="D289" s="360" t="s">
        <v>1361</v>
      </c>
      <c r="E289" s="359" t="s">
        <v>1324</v>
      </c>
      <c r="F289" s="360"/>
      <c r="G289" s="360"/>
      <c r="H289" s="360"/>
      <c r="I289" s="360"/>
      <c r="J289" s="365" t="s">
        <v>1621</v>
      </c>
      <c r="K289" s="382"/>
      <c r="L289" s="382"/>
      <c r="M289" s="382"/>
      <c r="N289" s="382"/>
      <c r="O289" s="382"/>
      <c r="P289" s="382"/>
      <c r="Q289" s="382"/>
      <c r="R289" s="382"/>
      <c r="S289" s="382"/>
      <c r="T289" s="382"/>
      <c r="U289" s="383"/>
      <c r="V289" s="368"/>
      <c r="W289" s="368"/>
      <c r="X289" s="368"/>
      <c r="Y289" s="373" t="s">
        <v>1322</v>
      </c>
    </row>
    <row r="290" spans="1:25" ht="22.5" customHeight="1" thickTop="1" thickBot="1">
      <c r="A290" s="368" t="s">
        <v>1320</v>
      </c>
      <c r="B290" s="360" t="s">
        <v>1337</v>
      </c>
      <c r="C290" s="360" t="s">
        <v>1413</v>
      </c>
      <c r="D290" s="360" t="s">
        <v>1361</v>
      </c>
      <c r="E290" s="359" t="s">
        <v>1337</v>
      </c>
      <c r="F290" s="360"/>
      <c r="G290" s="360"/>
      <c r="H290" s="360"/>
      <c r="I290" s="360"/>
      <c r="J290" s="365" t="s">
        <v>1622</v>
      </c>
      <c r="K290" s="382"/>
      <c r="L290" s="382"/>
      <c r="M290" s="382"/>
      <c r="N290" s="382"/>
      <c r="O290" s="382"/>
      <c r="P290" s="382"/>
      <c r="Q290" s="382"/>
      <c r="R290" s="382"/>
      <c r="S290" s="382"/>
      <c r="T290" s="382"/>
      <c r="U290" s="383"/>
      <c r="V290" s="368"/>
      <c r="W290" s="368"/>
      <c r="X290" s="368"/>
      <c r="Y290" s="373" t="s">
        <v>1322</v>
      </c>
    </row>
    <row r="291" spans="1:25" ht="22.5" customHeight="1" thickTop="1" thickBot="1">
      <c r="A291" s="368" t="s">
        <v>1320</v>
      </c>
      <c r="B291" s="360" t="s">
        <v>1337</v>
      </c>
      <c r="C291" s="360" t="s">
        <v>1413</v>
      </c>
      <c r="D291" s="360" t="s">
        <v>1361</v>
      </c>
      <c r="E291" s="359" t="s">
        <v>1361</v>
      </c>
      <c r="F291" s="360"/>
      <c r="G291" s="360"/>
      <c r="H291" s="360"/>
      <c r="I291" s="360"/>
      <c r="J291" s="365" t="s">
        <v>1623</v>
      </c>
      <c r="K291" s="382"/>
      <c r="L291" s="382"/>
      <c r="M291" s="382"/>
      <c r="N291" s="382"/>
      <c r="O291" s="382"/>
      <c r="P291" s="382"/>
      <c r="Q291" s="382"/>
      <c r="R291" s="382"/>
      <c r="S291" s="382"/>
      <c r="T291" s="382"/>
      <c r="U291" s="383"/>
      <c r="V291" s="368"/>
      <c r="W291" s="368"/>
      <c r="X291" s="368"/>
      <c r="Y291" s="373" t="s">
        <v>1322</v>
      </c>
    </row>
    <row r="292" spans="1:25" ht="22.5" customHeight="1" thickTop="1" thickBot="1">
      <c r="A292" s="368" t="s">
        <v>1320</v>
      </c>
      <c r="B292" s="360" t="s">
        <v>1337</v>
      </c>
      <c r="C292" s="360" t="s">
        <v>1413</v>
      </c>
      <c r="D292" s="360" t="s">
        <v>1361</v>
      </c>
      <c r="E292" s="359" t="s">
        <v>1365</v>
      </c>
      <c r="F292" s="360"/>
      <c r="G292" s="360"/>
      <c r="H292" s="360"/>
      <c r="I292" s="360"/>
      <c r="J292" s="365" t="s">
        <v>1624</v>
      </c>
      <c r="K292" s="382"/>
      <c r="L292" s="382"/>
      <c r="M292" s="382"/>
      <c r="N292" s="382"/>
      <c r="O292" s="382"/>
      <c r="P292" s="382"/>
      <c r="Q292" s="382"/>
      <c r="R292" s="382"/>
      <c r="S292" s="382"/>
      <c r="T292" s="382"/>
      <c r="U292" s="383"/>
      <c r="V292" s="368"/>
      <c r="W292" s="368"/>
      <c r="X292" s="368"/>
      <c r="Y292" s="373" t="s">
        <v>1322</v>
      </c>
    </row>
    <row r="293" spans="1:25" ht="22.5" customHeight="1" thickTop="1" thickBot="1">
      <c r="A293" s="368" t="s">
        <v>1320</v>
      </c>
      <c r="B293" s="360" t="s">
        <v>1337</v>
      </c>
      <c r="C293" s="360" t="s">
        <v>1413</v>
      </c>
      <c r="D293" s="360" t="s">
        <v>1361</v>
      </c>
      <c r="E293" s="359" t="s">
        <v>1390</v>
      </c>
      <c r="F293" s="360"/>
      <c r="G293" s="360"/>
      <c r="H293" s="360"/>
      <c r="I293" s="360"/>
      <c r="J293" s="365" t="s">
        <v>1625</v>
      </c>
      <c r="K293" s="382"/>
      <c r="L293" s="382"/>
      <c r="M293" s="382"/>
      <c r="N293" s="382"/>
      <c r="O293" s="382"/>
      <c r="P293" s="382"/>
      <c r="Q293" s="382"/>
      <c r="R293" s="382"/>
      <c r="S293" s="382"/>
      <c r="T293" s="382"/>
      <c r="U293" s="383"/>
      <c r="V293" s="368"/>
      <c r="W293" s="368"/>
      <c r="X293" s="368"/>
      <c r="Y293" s="373" t="s">
        <v>1322</v>
      </c>
    </row>
    <row r="294" spans="1:25" s="147" customFormat="1" ht="22.5" customHeight="1" thickTop="1" thickBot="1">
      <c r="A294" s="353" t="s">
        <v>1320</v>
      </c>
      <c r="B294" s="354" t="s">
        <v>1337</v>
      </c>
      <c r="C294" s="354" t="s">
        <v>1413</v>
      </c>
      <c r="D294" s="354" t="s">
        <v>1365</v>
      </c>
      <c r="E294" s="354"/>
      <c r="F294" s="354"/>
      <c r="G294" s="354"/>
      <c r="H294" s="355"/>
      <c r="I294" s="355"/>
      <c r="J294" s="356" t="s">
        <v>1626</v>
      </c>
      <c r="K294" s="384"/>
      <c r="L294" s="384"/>
      <c r="M294" s="384"/>
      <c r="N294" s="384"/>
      <c r="O294" s="384"/>
      <c r="P294" s="384"/>
      <c r="Q294" s="384"/>
      <c r="R294" s="384"/>
      <c r="S294" s="384"/>
      <c r="T294" s="384"/>
      <c r="U294" s="385"/>
      <c r="V294" s="354"/>
      <c r="W294" s="353"/>
      <c r="X294" s="353"/>
      <c r="Y294" s="340" t="s">
        <v>1322</v>
      </c>
    </row>
    <row r="295" spans="1:25" s="147" customFormat="1" ht="22.5" customHeight="1" thickTop="1" thickBot="1">
      <c r="A295" s="353" t="s">
        <v>1320</v>
      </c>
      <c r="B295" s="354" t="s">
        <v>1337</v>
      </c>
      <c r="C295" s="354" t="s">
        <v>1413</v>
      </c>
      <c r="D295" s="354" t="s">
        <v>1390</v>
      </c>
      <c r="E295" s="354"/>
      <c r="F295" s="354"/>
      <c r="G295" s="354"/>
      <c r="H295" s="355"/>
      <c r="I295" s="355"/>
      <c r="J295" s="356" t="s">
        <v>1627</v>
      </c>
      <c r="K295" s="384"/>
      <c r="L295" s="384"/>
      <c r="M295" s="384"/>
      <c r="N295" s="384"/>
      <c r="O295" s="384"/>
      <c r="P295" s="384"/>
      <c r="Q295" s="384"/>
      <c r="R295" s="384"/>
      <c r="S295" s="384"/>
      <c r="T295" s="384"/>
      <c r="U295" s="385"/>
      <c r="V295" s="354"/>
      <c r="W295" s="353"/>
      <c r="X295" s="353"/>
      <c r="Y295" s="340" t="s">
        <v>1322</v>
      </c>
    </row>
    <row r="296" spans="1:25" s="147" customFormat="1" ht="22.5" customHeight="1" thickTop="1" thickBot="1">
      <c r="A296" s="353">
        <v>1</v>
      </c>
      <c r="B296" s="354" t="s">
        <v>1337</v>
      </c>
      <c r="C296" s="354" t="s">
        <v>1413</v>
      </c>
      <c r="D296" s="354" t="s">
        <v>1413</v>
      </c>
      <c r="E296" s="354"/>
      <c r="F296" s="354"/>
      <c r="G296" s="354"/>
      <c r="H296" s="355"/>
      <c r="I296" s="355"/>
      <c r="J296" s="356" t="s">
        <v>1628</v>
      </c>
      <c r="K296" s="384"/>
      <c r="L296" s="384"/>
      <c r="M296" s="384"/>
      <c r="N296" s="384"/>
      <c r="O296" s="384"/>
      <c r="P296" s="384"/>
      <c r="Q296" s="384"/>
      <c r="R296" s="384"/>
      <c r="S296" s="384"/>
      <c r="T296" s="384"/>
      <c r="U296" s="385"/>
      <c r="V296" s="354"/>
      <c r="W296" s="353"/>
      <c r="X296" s="353"/>
      <c r="Y296" s="340"/>
    </row>
    <row r="297" spans="1:25" s="423" customFormat="1" ht="22.5" customHeight="1" thickTop="1" thickBot="1">
      <c r="A297" s="420" t="s">
        <v>1320</v>
      </c>
      <c r="B297" s="414" t="s">
        <v>1337</v>
      </c>
      <c r="C297" s="414" t="s">
        <v>1417</v>
      </c>
      <c r="D297" s="414"/>
      <c r="E297" s="414"/>
      <c r="F297" s="414"/>
      <c r="G297" s="414"/>
      <c r="H297" s="413"/>
      <c r="I297" s="413"/>
      <c r="J297" s="415" t="s">
        <v>1629</v>
      </c>
      <c r="K297" s="421"/>
      <c r="L297" s="421"/>
      <c r="M297" s="421"/>
      <c r="N297" s="421"/>
      <c r="O297" s="421"/>
      <c r="P297" s="421"/>
      <c r="Q297" s="421"/>
      <c r="R297" s="421"/>
      <c r="S297" s="421"/>
      <c r="T297" s="421"/>
      <c r="U297" s="422"/>
      <c r="V297" s="414"/>
      <c r="W297" s="414" t="s">
        <v>1630</v>
      </c>
      <c r="X297" s="414"/>
      <c r="Y297" s="418" t="s">
        <v>1322</v>
      </c>
    </row>
    <row r="298" spans="1:25" s="423" customFormat="1" ht="22.5" customHeight="1" thickTop="1" thickBot="1">
      <c r="A298" s="420"/>
      <c r="B298" s="414"/>
      <c r="C298" s="414"/>
      <c r="D298" s="414"/>
      <c r="E298" s="414"/>
      <c r="F298" s="414"/>
      <c r="G298" s="414"/>
      <c r="H298" s="413"/>
      <c r="I298" s="413"/>
      <c r="J298" s="415"/>
      <c r="K298" s="421"/>
      <c r="L298" s="421"/>
      <c r="M298" s="421"/>
      <c r="N298" s="421"/>
      <c r="O298" s="421"/>
      <c r="P298" s="421"/>
      <c r="Q298" s="421"/>
      <c r="R298" s="421"/>
      <c r="S298" s="421"/>
      <c r="T298" s="421"/>
      <c r="U298" s="422"/>
      <c r="V298" s="414"/>
      <c r="W298" s="414"/>
      <c r="X298" s="414"/>
      <c r="Y298" s="418"/>
    </row>
    <row r="299" spans="1:25" s="423" customFormat="1" ht="22.5" customHeight="1" thickTop="1" thickBot="1">
      <c r="A299" s="420"/>
      <c r="B299" s="414"/>
      <c r="C299" s="414"/>
      <c r="D299" s="414"/>
      <c r="E299" s="414"/>
      <c r="F299" s="414"/>
      <c r="G299" s="414"/>
      <c r="H299" s="413"/>
      <c r="I299" s="413"/>
      <c r="J299" s="415"/>
      <c r="K299" s="421"/>
      <c r="L299" s="421"/>
      <c r="M299" s="421"/>
      <c r="N299" s="421"/>
      <c r="O299" s="421"/>
      <c r="P299" s="421"/>
      <c r="Q299" s="421"/>
      <c r="R299" s="421"/>
      <c r="S299" s="421"/>
      <c r="T299" s="421"/>
      <c r="U299" s="422"/>
      <c r="V299" s="414"/>
      <c r="W299" s="420"/>
      <c r="X299" s="420"/>
      <c r="Y299" s="418"/>
    </row>
    <row r="300" spans="1:25" s="147" customFormat="1" ht="22.5" customHeight="1" thickTop="1" thickBot="1">
      <c r="A300" s="353" t="s">
        <v>1320</v>
      </c>
      <c r="B300" s="354" t="s">
        <v>1337</v>
      </c>
      <c r="C300" s="354" t="s">
        <v>1417</v>
      </c>
      <c r="D300" s="354" t="s">
        <v>1361</v>
      </c>
      <c r="E300" s="354"/>
      <c r="F300" s="354"/>
      <c r="G300" s="354"/>
      <c r="H300" s="355"/>
      <c r="I300" s="355"/>
      <c r="J300" s="356" t="s">
        <v>1631</v>
      </c>
      <c r="K300" s="357"/>
      <c r="L300" s="357"/>
      <c r="M300" s="357"/>
      <c r="N300" s="357"/>
      <c r="O300" s="357"/>
      <c r="P300" s="357"/>
      <c r="Q300" s="357"/>
      <c r="R300" s="357"/>
      <c r="S300" s="357"/>
      <c r="T300" s="357"/>
      <c r="U300" s="358"/>
      <c r="V300" s="354"/>
      <c r="W300" s="354"/>
      <c r="X300" s="354"/>
      <c r="Y300" s="340" t="s">
        <v>1322</v>
      </c>
    </row>
    <row r="301" spans="1:25" s="147" customFormat="1" ht="22.5" customHeight="1" thickTop="1" thickBot="1">
      <c r="A301" s="364" t="s">
        <v>1320</v>
      </c>
      <c r="B301" s="359" t="s">
        <v>1337</v>
      </c>
      <c r="C301" s="359" t="s">
        <v>1417</v>
      </c>
      <c r="D301" s="359" t="s">
        <v>1361</v>
      </c>
      <c r="E301" s="359" t="s">
        <v>1324</v>
      </c>
      <c r="F301" s="359"/>
      <c r="G301" s="359"/>
      <c r="H301" s="360"/>
      <c r="I301" s="360"/>
      <c r="J301" s="361" t="s">
        <v>1632</v>
      </c>
      <c r="K301" s="362"/>
      <c r="L301" s="362"/>
      <c r="M301" s="362"/>
      <c r="N301" s="362"/>
      <c r="O301" s="362"/>
      <c r="P301" s="362"/>
      <c r="Q301" s="362"/>
      <c r="R301" s="362"/>
      <c r="S301" s="362"/>
      <c r="T301" s="362"/>
      <c r="U301" s="363"/>
      <c r="V301" s="359"/>
      <c r="W301" s="364"/>
      <c r="X301" s="364"/>
      <c r="Y301" s="340" t="s">
        <v>1322</v>
      </c>
    </row>
    <row r="302" spans="1:25" ht="22.5" customHeight="1" thickTop="1" thickBot="1">
      <c r="A302" s="368" t="s">
        <v>1320</v>
      </c>
      <c r="B302" s="360" t="s">
        <v>1337</v>
      </c>
      <c r="C302" s="360" t="s">
        <v>1417</v>
      </c>
      <c r="D302" s="360" t="s">
        <v>1361</v>
      </c>
      <c r="E302" s="360" t="s">
        <v>1324</v>
      </c>
      <c r="F302" s="359" t="s">
        <v>1324</v>
      </c>
      <c r="G302" s="360"/>
      <c r="H302" s="360"/>
      <c r="I302" s="360"/>
      <c r="J302" s="365" t="s">
        <v>1633</v>
      </c>
      <c r="K302" s="366"/>
      <c r="L302" s="366"/>
      <c r="M302" s="366"/>
      <c r="N302" s="362"/>
      <c r="O302" s="366"/>
      <c r="P302" s="366"/>
      <c r="Q302" s="366"/>
      <c r="R302" s="366"/>
      <c r="S302" s="362"/>
      <c r="T302" s="366"/>
      <c r="U302" s="367"/>
      <c r="V302" s="360"/>
      <c r="W302" s="368"/>
      <c r="X302" s="368"/>
      <c r="Y302" s="340" t="s">
        <v>1322</v>
      </c>
    </row>
    <row r="303" spans="1:25" s="147" customFormat="1" ht="22.5" customHeight="1" thickTop="1" thickBot="1">
      <c r="A303" s="364" t="s">
        <v>1320</v>
      </c>
      <c r="B303" s="359" t="s">
        <v>1337</v>
      </c>
      <c r="C303" s="359" t="s">
        <v>1417</v>
      </c>
      <c r="D303" s="359" t="s">
        <v>1361</v>
      </c>
      <c r="E303" s="359" t="s">
        <v>1337</v>
      </c>
      <c r="F303" s="359"/>
      <c r="G303" s="359"/>
      <c r="H303" s="360"/>
      <c r="I303" s="360"/>
      <c r="J303" s="361" t="s">
        <v>1634</v>
      </c>
      <c r="K303" s="362"/>
      <c r="L303" s="362"/>
      <c r="M303" s="362"/>
      <c r="N303" s="362"/>
      <c r="O303" s="362"/>
      <c r="P303" s="362"/>
      <c r="Q303" s="362"/>
      <c r="R303" s="362"/>
      <c r="S303" s="362"/>
      <c r="T303" s="362"/>
      <c r="U303" s="363"/>
      <c r="V303" s="359"/>
      <c r="W303" s="364"/>
      <c r="X303" s="364"/>
      <c r="Y303" s="340" t="s">
        <v>1322</v>
      </c>
    </row>
    <row r="304" spans="1:25" s="147" customFormat="1" ht="22.5" customHeight="1" thickTop="1" thickBot="1">
      <c r="A304" s="364" t="s">
        <v>1320</v>
      </c>
      <c r="B304" s="359" t="s">
        <v>1337</v>
      </c>
      <c r="C304" s="359" t="s">
        <v>1417</v>
      </c>
      <c r="D304" s="359" t="s">
        <v>1361</v>
      </c>
      <c r="E304" s="359" t="s">
        <v>1361</v>
      </c>
      <c r="F304" s="359"/>
      <c r="G304" s="359"/>
      <c r="H304" s="360"/>
      <c r="I304" s="360"/>
      <c r="J304" s="361" t="s">
        <v>1635</v>
      </c>
      <c r="K304" s="362"/>
      <c r="L304" s="362"/>
      <c r="M304" s="362"/>
      <c r="N304" s="362"/>
      <c r="O304" s="362"/>
      <c r="P304" s="362"/>
      <c r="Q304" s="362"/>
      <c r="R304" s="362"/>
      <c r="S304" s="362"/>
      <c r="T304" s="362"/>
      <c r="U304" s="363"/>
      <c r="V304" s="359"/>
      <c r="W304" s="364"/>
      <c r="X304" s="364"/>
      <c r="Y304" s="340" t="s">
        <v>1322</v>
      </c>
    </row>
    <row r="305" spans="1:25" ht="22.5" customHeight="1" thickTop="1" thickBot="1">
      <c r="A305" s="368" t="s">
        <v>1320</v>
      </c>
      <c r="B305" s="360" t="s">
        <v>1337</v>
      </c>
      <c r="C305" s="360" t="s">
        <v>1417</v>
      </c>
      <c r="D305" s="360" t="s">
        <v>1361</v>
      </c>
      <c r="E305" s="360" t="s">
        <v>1361</v>
      </c>
      <c r="F305" s="359" t="s">
        <v>1324</v>
      </c>
      <c r="G305" s="360"/>
      <c r="H305" s="360"/>
      <c r="I305" s="360"/>
      <c r="J305" s="365" t="s">
        <v>1636</v>
      </c>
      <c r="K305" s="366"/>
      <c r="L305" s="366"/>
      <c r="M305" s="366"/>
      <c r="N305" s="362"/>
      <c r="O305" s="366"/>
      <c r="P305" s="366"/>
      <c r="Q305" s="366"/>
      <c r="R305" s="366"/>
      <c r="S305" s="362"/>
      <c r="T305" s="366"/>
      <c r="U305" s="367"/>
      <c r="V305" s="360"/>
      <c r="W305" s="368"/>
      <c r="X305" s="368"/>
      <c r="Y305" s="340" t="s">
        <v>1322</v>
      </c>
    </row>
    <row r="306" spans="1:25" ht="22.5" customHeight="1" thickTop="1" thickBot="1">
      <c r="A306" s="368" t="s">
        <v>1320</v>
      </c>
      <c r="B306" s="360" t="s">
        <v>1337</v>
      </c>
      <c r="C306" s="360" t="s">
        <v>1417</v>
      </c>
      <c r="D306" s="360" t="s">
        <v>1361</v>
      </c>
      <c r="E306" s="360" t="s">
        <v>1361</v>
      </c>
      <c r="F306" s="359" t="s">
        <v>1337</v>
      </c>
      <c r="G306" s="360"/>
      <c r="H306" s="360"/>
      <c r="I306" s="360"/>
      <c r="J306" s="365" t="s">
        <v>1637</v>
      </c>
      <c r="K306" s="366"/>
      <c r="L306" s="366"/>
      <c r="M306" s="366"/>
      <c r="N306" s="362"/>
      <c r="O306" s="366"/>
      <c r="P306" s="366"/>
      <c r="Q306" s="366"/>
      <c r="R306" s="366"/>
      <c r="S306" s="362"/>
      <c r="T306" s="366"/>
      <c r="U306" s="367"/>
      <c r="V306" s="360"/>
      <c r="W306" s="368"/>
      <c r="X306" s="368"/>
      <c r="Y306" s="340" t="s">
        <v>1322</v>
      </c>
    </row>
    <row r="307" spans="1:25" ht="22.5" customHeight="1" thickTop="1" thickBot="1">
      <c r="A307" s="368" t="s">
        <v>1320</v>
      </c>
      <c r="B307" s="360" t="s">
        <v>1337</v>
      </c>
      <c r="C307" s="360" t="s">
        <v>1417</v>
      </c>
      <c r="D307" s="360" t="s">
        <v>1361</v>
      </c>
      <c r="E307" s="360" t="s">
        <v>1361</v>
      </c>
      <c r="F307" s="359" t="s">
        <v>1361</v>
      </c>
      <c r="G307" s="360"/>
      <c r="H307" s="360"/>
      <c r="I307" s="360"/>
      <c r="J307" s="365" t="s">
        <v>1638</v>
      </c>
      <c r="K307" s="366"/>
      <c r="L307" s="366"/>
      <c r="M307" s="366"/>
      <c r="N307" s="362"/>
      <c r="O307" s="366"/>
      <c r="P307" s="366"/>
      <c r="Q307" s="366"/>
      <c r="R307" s="366"/>
      <c r="S307" s="362"/>
      <c r="T307" s="366"/>
      <c r="U307" s="367"/>
      <c r="V307" s="360"/>
      <c r="W307" s="368"/>
      <c r="X307" s="368"/>
      <c r="Y307" s="340" t="s">
        <v>1322</v>
      </c>
    </row>
    <row r="308" spans="1:25" ht="22.5" customHeight="1" thickTop="1" thickBot="1">
      <c r="A308" s="368" t="s">
        <v>1320</v>
      </c>
      <c r="B308" s="360" t="s">
        <v>1337</v>
      </c>
      <c r="C308" s="360" t="s">
        <v>1417</v>
      </c>
      <c r="D308" s="360" t="s">
        <v>1361</v>
      </c>
      <c r="E308" s="360" t="s">
        <v>1361</v>
      </c>
      <c r="F308" s="359" t="s">
        <v>1365</v>
      </c>
      <c r="G308" s="360"/>
      <c r="H308" s="360"/>
      <c r="I308" s="360"/>
      <c r="J308" s="365" t="s">
        <v>1639</v>
      </c>
      <c r="K308" s="366"/>
      <c r="L308" s="366"/>
      <c r="M308" s="366"/>
      <c r="N308" s="362"/>
      <c r="O308" s="366"/>
      <c r="P308" s="366"/>
      <c r="Q308" s="366"/>
      <c r="R308" s="366"/>
      <c r="S308" s="362"/>
      <c r="T308" s="366"/>
      <c r="U308" s="367"/>
      <c r="V308" s="360"/>
      <c r="W308" s="368"/>
      <c r="X308" s="368"/>
      <c r="Y308" s="340" t="s">
        <v>1322</v>
      </c>
    </row>
    <row r="309" spans="1:25" ht="22.5" customHeight="1" thickTop="1" thickBot="1">
      <c r="A309" s="368" t="s">
        <v>1320</v>
      </c>
      <c r="B309" s="360" t="s">
        <v>1337</v>
      </c>
      <c r="C309" s="360" t="s">
        <v>1417</v>
      </c>
      <c r="D309" s="360" t="s">
        <v>1361</v>
      </c>
      <c r="E309" s="360" t="s">
        <v>1361</v>
      </c>
      <c r="F309" s="359" t="s">
        <v>1390</v>
      </c>
      <c r="G309" s="360"/>
      <c r="H309" s="360"/>
      <c r="I309" s="360"/>
      <c r="J309" s="365" t="s">
        <v>1640</v>
      </c>
      <c r="K309" s="366"/>
      <c r="L309" s="366"/>
      <c r="M309" s="366"/>
      <c r="N309" s="362"/>
      <c r="O309" s="366"/>
      <c r="P309" s="366"/>
      <c r="Q309" s="366"/>
      <c r="R309" s="366"/>
      <c r="S309" s="362"/>
      <c r="T309" s="366"/>
      <c r="U309" s="367"/>
      <c r="V309" s="360"/>
      <c r="W309" s="368"/>
      <c r="X309" s="368"/>
      <c r="Y309" s="340" t="s">
        <v>1322</v>
      </c>
    </row>
    <row r="310" spans="1:25" s="147" customFormat="1" ht="22.5" customHeight="1" thickTop="1" thickBot="1">
      <c r="A310" s="364" t="s">
        <v>1320</v>
      </c>
      <c r="B310" s="359" t="s">
        <v>1337</v>
      </c>
      <c r="C310" s="359" t="s">
        <v>1417</v>
      </c>
      <c r="D310" s="359" t="s">
        <v>1361</v>
      </c>
      <c r="E310" s="359" t="s">
        <v>1365</v>
      </c>
      <c r="F310" s="359"/>
      <c r="G310" s="359"/>
      <c r="H310" s="360"/>
      <c r="I310" s="360"/>
      <c r="J310" s="361" t="s">
        <v>1641</v>
      </c>
      <c r="K310" s="362"/>
      <c r="L310" s="362"/>
      <c r="M310" s="362"/>
      <c r="N310" s="362"/>
      <c r="O310" s="362"/>
      <c r="P310" s="362"/>
      <c r="Q310" s="362"/>
      <c r="R310" s="362"/>
      <c r="S310" s="362"/>
      <c r="T310" s="362"/>
      <c r="U310" s="363"/>
      <c r="V310" s="359"/>
      <c r="W310" s="364"/>
      <c r="X310" s="364"/>
      <c r="Y310" s="340" t="s">
        <v>1322</v>
      </c>
    </row>
    <row r="311" spans="1:25" s="147" customFormat="1" ht="22.5" customHeight="1" thickTop="1" thickBot="1">
      <c r="A311" s="364" t="s">
        <v>1320</v>
      </c>
      <c r="B311" s="359" t="s">
        <v>1337</v>
      </c>
      <c r="C311" s="359" t="s">
        <v>1417</v>
      </c>
      <c r="D311" s="359" t="s">
        <v>1361</v>
      </c>
      <c r="E311" s="359" t="s">
        <v>1390</v>
      </c>
      <c r="F311" s="359"/>
      <c r="G311" s="359"/>
      <c r="H311" s="360"/>
      <c r="I311" s="360"/>
      <c r="J311" s="361" t="s">
        <v>1642</v>
      </c>
      <c r="K311" s="362"/>
      <c r="L311" s="362"/>
      <c r="M311" s="362"/>
      <c r="N311" s="362"/>
      <c r="O311" s="362"/>
      <c r="P311" s="362"/>
      <c r="Q311" s="362"/>
      <c r="R311" s="362"/>
      <c r="S311" s="362"/>
      <c r="T311" s="362"/>
      <c r="U311" s="363"/>
      <c r="V311" s="359"/>
      <c r="W311" s="364"/>
      <c r="X311" s="364"/>
      <c r="Y311" s="340" t="s">
        <v>1322</v>
      </c>
    </row>
    <row r="312" spans="1:25" ht="22.5" customHeight="1" thickTop="1" thickBot="1">
      <c r="A312" s="364" t="s">
        <v>1320</v>
      </c>
      <c r="B312" s="359" t="s">
        <v>1337</v>
      </c>
      <c r="C312" s="359" t="s">
        <v>1417</v>
      </c>
      <c r="D312" s="359" t="s">
        <v>1361</v>
      </c>
      <c r="E312" s="359" t="s">
        <v>1413</v>
      </c>
      <c r="F312" s="360"/>
      <c r="G312" s="360"/>
      <c r="H312" s="360"/>
      <c r="I312" s="360"/>
      <c r="J312" s="361" t="s">
        <v>1643</v>
      </c>
      <c r="K312" s="362"/>
      <c r="L312" s="362"/>
      <c r="M312" s="362"/>
      <c r="N312" s="362"/>
      <c r="O312" s="362"/>
      <c r="P312" s="362"/>
      <c r="Q312" s="362"/>
      <c r="R312" s="362"/>
      <c r="S312" s="362"/>
      <c r="T312" s="362"/>
      <c r="U312" s="363"/>
      <c r="V312" s="359"/>
      <c r="W312" s="364"/>
      <c r="X312" s="364"/>
    </row>
    <row r="313" spans="1:25" ht="22.5" customHeight="1" thickTop="1" thickBot="1">
      <c r="A313" s="364" t="s">
        <v>1320</v>
      </c>
      <c r="B313" s="359" t="s">
        <v>1337</v>
      </c>
      <c r="C313" s="359" t="s">
        <v>1417</v>
      </c>
      <c r="D313" s="359" t="s">
        <v>1361</v>
      </c>
      <c r="E313" s="359" t="s">
        <v>1417</v>
      </c>
      <c r="F313" s="360"/>
      <c r="G313" s="360"/>
      <c r="H313" s="360"/>
      <c r="I313" s="360"/>
      <c r="J313" s="361" t="s">
        <v>1644</v>
      </c>
      <c r="K313" s="362"/>
      <c r="L313" s="362"/>
      <c r="M313" s="362"/>
      <c r="N313" s="362"/>
      <c r="O313" s="362"/>
      <c r="P313" s="362"/>
      <c r="Q313" s="362"/>
      <c r="R313" s="362"/>
      <c r="S313" s="362"/>
      <c r="T313" s="362"/>
      <c r="U313" s="363"/>
      <c r="V313" s="359"/>
      <c r="W313" s="364"/>
      <c r="X313" s="364"/>
    </row>
    <row r="314" spans="1:25" ht="22.5" customHeight="1" thickTop="1" thickBot="1">
      <c r="A314" s="364" t="s">
        <v>1320</v>
      </c>
      <c r="B314" s="359" t="s">
        <v>1337</v>
      </c>
      <c r="C314" s="359" t="s">
        <v>1417</v>
      </c>
      <c r="D314" s="359" t="s">
        <v>1361</v>
      </c>
      <c r="E314" s="359" t="s">
        <v>1421</v>
      </c>
      <c r="F314" s="360"/>
      <c r="G314" s="360"/>
      <c r="H314" s="360"/>
      <c r="I314" s="360"/>
      <c r="J314" s="361" t="s">
        <v>1645</v>
      </c>
      <c r="K314" s="362"/>
      <c r="L314" s="362"/>
      <c r="M314" s="362"/>
      <c r="N314" s="362"/>
      <c r="O314" s="362"/>
      <c r="P314" s="362"/>
      <c r="Q314" s="362"/>
      <c r="R314" s="362"/>
      <c r="S314" s="362"/>
      <c r="T314" s="362"/>
      <c r="U314" s="363"/>
      <c r="V314" s="359"/>
      <c r="W314" s="364"/>
      <c r="X314" s="364"/>
    </row>
    <row r="315" spans="1:25" ht="22.5" customHeight="1" thickTop="1" thickBot="1">
      <c r="A315" s="368" t="s">
        <v>1320</v>
      </c>
      <c r="B315" s="360" t="s">
        <v>1337</v>
      </c>
      <c r="C315" s="360" t="s">
        <v>1417</v>
      </c>
      <c r="D315" s="360" t="s">
        <v>1361</v>
      </c>
      <c r="E315" s="360" t="s">
        <v>1421</v>
      </c>
      <c r="F315" s="359" t="s">
        <v>1324</v>
      </c>
      <c r="G315" s="360"/>
      <c r="H315" s="360"/>
      <c r="I315" s="360"/>
      <c r="J315" s="361" t="s">
        <v>1646</v>
      </c>
      <c r="K315" s="362"/>
      <c r="L315" s="362"/>
      <c r="M315" s="362"/>
      <c r="N315" s="362"/>
      <c r="O315" s="362"/>
      <c r="P315" s="362"/>
      <c r="Q315" s="362"/>
      <c r="R315" s="362"/>
      <c r="S315" s="362"/>
      <c r="T315" s="362"/>
      <c r="U315" s="363"/>
      <c r="V315" s="359"/>
      <c r="W315" s="364"/>
      <c r="X315" s="364"/>
    </row>
    <row r="316" spans="1:25" ht="22.5" customHeight="1" thickTop="1" thickBot="1">
      <c r="A316" s="368" t="s">
        <v>1320</v>
      </c>
      <c r="B316" s="360" t="s">
        <v>1337</v>
      </c>
      <c r="C316" s="360" t="s">
        <v>1417</v>
      </c>
      <c r="D316" s="360" t="s">
        <v>1361</v>
      </c>
      <c r="E316" s="360" t="s">
        <v>1421</v>
      </c>
      <c r="F316" s="360" t="s">
        <v>1324</v>
      </c>
      <c r="G316" s="359" t="s">
        <v>1324</v>
      </c>
      <c r="H316" s="360"/>
      <c r="I316" s="360"/>
      <c r="J316" s="365" t="s">
        <v>1647</v>
      </c>
      <c r="K316" s="362"/>
      <c r="L316" s="362"/>
      <c r="M316" s="362"/>
      <c r="N316" s="362"/>
      <c r="O316" s="362"/>
      <c r="P316" s="362"/>
      <c r="Q316" s="362"/>
      <c r="R316" s="362"/>
      <c r="S316" s="362"/>
      <c r="T316" s="362"/>
      <c r="U316" s="363"/>
      <c r="V316" s="359"/>
      <c r="W316" s="364"/>
      <c r="X316" s="364"/>
    </row>
    <row r="317" spans="1:25" ht="22.5" customHeight="1" thickTop="1" thickBot="1">
      <c r="A317" s="368" t="s">
        <v>1320</v>
      </c>
      <c r="B317" s="360" t="s">
        <v>1337</v>
      </c>
      <c r="C317" s="360" t="s">
        <v>1417</v>
      </c>
      <c r="D317" s="360" t="s">
        <v>1361</v>
      </c>
      <c r="E317" s="360" t="s">
        <v>1421</v>
      </c>
      <c r="F317" s="360" t="s">
        <v>1324</v>
      </c>
      <c r="G317" s="359" t="s">
        <v>1337</v>
      </c>
      <c r="H317" s="360"/>
      <c r="I317" s="360"/>
      <c r="J317" s="365" t="s">
        <v>1648</v>
      </c>
      <c r="K317" s="362"/>
      <c r="L317" s="362"/>
      <c r="M317" s="362"/>
      <c r="N317" s="362"/>
      <c r="O317" s="362"/>
      <c r="P317" s="362"/>
      <c r="Q317" s="362"/>
      <c r="R317" s="362"/>
      <c r="S317" s="362"/>
      <c r="T317" s="362"/>
      <c r="U317" s="363"/>
      <c r="V317" s="359"/>
      <c r="W317" s="364"/>
      <c r="X317" s="364"/>
    </row>
    <row r="318" spans="1:25" ht="22.5" customHeight="1" thickTop="1" thickBot="1">
      <c r="A318" s="368" t="s">
        <v>1320</v>
      </c>
      <c r="B318" s="360" t="s">
        <v>1337</v>
      </c>
      <c r="C318" s="360" t="s">
        <v>1417</v>
      </c>
      <c r="D318" s="360" t="s">
        <v>1361</v>
      </c>
      <c r="E318" s="360" t="s">
        <v>1421</v>
      </c>
      <c r="F318" s="360" t="s">
        <v>1324</v>
      </c>
      <c r="G318" s="359" t="s">
        <v>1361</v>
      </c>
      <c r="H318" s="360"/>
      <c r="I318" s="360"/>
      <c r="J318" s="365" t="s">
        <v>1649</v>
      </c>
      <c r="K318" s="362"/>
      <c r="L318" s="362"/>
      <c r="M318" s="362"/>
      <c r="N318" s="362"/>
      <c r="O318" s="362"/>
      <c r="P318" s="362"/>
      <c r="Q318" s="362"/>
      <c r="R318" s="362"/>
      <c r="S318" s="362"/>
      <c r="T318" s="362"/>
      <c r="U318" s="363"/>
      <c r="V318" s="359"/>
      <c r="W318" s="364"/>
      <c r="X318" s="364"/>
    </row>
    <row r="319" spans="1:25" ht="22.5" customHeight="1" thickTop="1" thickBot="1">
      <c r="A319" s="364" t="s">
        <v>1320</v>
      </c>
      <c r="B319" s="359" t="s">
        <v>1337</v>
      </c>
      <c r="C319" s="359" t="s">
        <v>1417</v>
      </c>
      <c r="D319" s="359" t="s">
        <v>1361</v>
      </c>
      <c r="E319" s="359" t="s">
        <v>1518</v>
      </c>
      <c r="F319" s="360"/>
      <c r="G319" s="360"/>
      <c r="H319" s="360"/>
      <c r="I319" s="360"/>
      <c r="J319" s="361" t="s">
        <v>1650</v>
      </c>
      <c r="K319" s="362"/>
      <c r="L319" s="362"/>
      <c r="M319" s="362"/>
      <c r="N319" s="362"/>
      <c r="O319" s="362"/>
      <c r="P319" s="362"/>
      <c r="Q319" s="362"/>
      <c r="R319" s="362"/>
      <c r="S319" s="362"/>
      <c r="T319" s="362"/>
      <c r="U319" s="363"/>
      <c r="V319" s="359"/>
      <c r="W319" s="364"/>
      <c r="X319" s="364"/>
    </row>
    <row r="320" spans="1:25" ht="22.5" customHeight="1" thickTop="1" thickBot="1">
      <c r="A320" s="368" t="s">
        <v>1320</v>
      </c>
      <c r="B320" s="360" t="s">
        <v>1337</v>
      </c>
      <c r="C320" s="360" t="s">
        <v>1417</v>
      </c>
      <c r="D320" s="360" t="s">
        <v>1361</v>
      </c>
      <c r="E320" s="360" t="s">
        <v>1518</v>
      </c>
      <c r="F320" s="359" t="s">
        <v>1324</v>
      </c>
      <c r="G320" s="360"/>
      <c r="H320" s="360"/>
      <c r="I320" s="360"/>
      <c r="J320" s="365" t="s">
        <v>1651</v>
      </c>
      <c r="K320" s="362"/>
      <c r="L320" s="362"/>
      <c r="M320" s="362"/>
      <c r="N320" s="362"/>
      <c r="O320" s="362"/>
      <c r="P320" s="362"/>
      <c r="Q320" s="362"/>
      <c r="R320" s="362"/>
      <c r="S320" s="362"/>
      <c r="T320" s="362"/>
      <c r="U320" s="363"/>
      <c r="V320" s="359"/>
      <c r="W320" s="364"/>
      <c r="X320" s="364"/>
    </row>
    <row r="321" spans="1:22" ht="36" customHeight="1" thickTop="1" thickBot="1"/>
    <row r="322" spans="1:22" ht="18.75" customHeight="1" thickTop="1" thickBot="1">
      <c r="A322" s="368">
        <v>1</v>
      </c>
      <c r="B322" s="359" t="s">
        <v>1337</v>
      </c>
      <c r="C322" s="360"/>
      <c r="D322" s="360"/>
      <c r="E322" s="368"/>
      <c r="F322" s="360"/>
      <c r="G322" s="360"/>
      <c r="H322" s="360"/>
      <c r="I322" s="360"/>
      <c r="J322" s="361" t="s">
        <v>1794</v>
      </c>
      <c r="K322" s="362"/>
      <c r="L322" s="362"/>
      <c r="M322" s="362"/>
      <c r="N322" s="362"/>
      <c r="O322" s="362"/>
      <c r="P322" s="362"/>
      <c r="Q322" s="362"/>
      <c r="R322" s="362"/>
      <c r="S322" s="362"/>
      <c r="T322" s="362"/>
      <c r="U322" s="362"/>
      <c r="V322" s="362"/>
    </row>
    <row r="323" spans="1:22" ht="18.75" customHeight="1" thickTop="1" thickBot="1">
      <c r="A323" s="368">
        <v>1</v>
      </c>
      <c r="B323" s="359" t="s">
        <v>1337</v>
      </c>
      <c r="C323" s="360" t="s">
        <v>1324</v>
      </c>
      <c r="D323" s="360"/>
      <c r="E323" s="368"/>
      <c r="F323" s="360"/>
      <c r="G323" s="360"/>
      <c r="H323" s="360"/>
      <c r="I323" s="360"/>
      <c r="J323" s="361" t="s">
        <v>1795</v>
      </c>
      <c r="K323" s="362"/>
      <c r="L323" s="362"/>
      <c r="M323" s="362"/>
      <c r="N323" s="362"/>
      <c r="O323" s="362"/>
      <c r="P323" s="362"/>
      <c r="Q323" s="362"/>
      <c r="R323" s="362"/>
      <c r="S323" s="362"/>
      <c r="T323" s="362"/>
      <c r="U323" s="362"/>
      <c r="V323" s="362"/>
    </row>
    <row r="324" spans="1:22" ht="18.75" customHeight="1" thickTop="1" thickBot="1">
      <c r="A324" s="368">
        <v>1</v>
      </c>
      <c r="B324" s="359" t="s">
        <v>1337</v>
      </c>
      <c r="C324" s="360" t="s">
        <v>1324</v>
      </c>
      <c r="D324" s="360" t="s">
        <v>1324</v>
      </c>
      <c r="E324" s="360"/>
      <c r="F324" s="360"/>
      <c r="G324" s="360"/>
      <c r="H324" s="360"/>
      <c r="I324" s="360"/>
      <c r="J324" s="365" t="s">
        <v>1483</v>
      </c>
      <c r="K324" s="362"/>
      <c r="L324" s="362"/>
      <c r="M324" s="362"/>
      <c r="N324" s="362"/>
      <c r="O324" s="362"/>
      <c r="P324" s="362"/>
      <c r="Q324" s="362"/>
      <c r="R324" s="362"/>
      <c r="S324" s="362"/>
      <c r="T324" s="362"/>
      <c r="U324" s="362"/>
      <c r="V324" s="362"/>
    </row>
    <row r="325" spans="1:22" ht="18.75" customHeight="1" thickTop="1" thickBot="1">
      <c r="A325" s="368">
        <v>1</v>
      </c>
      <c r="B325" s="359" t="s">
        <v>1337</v>
      </c>
      <c r="C325" s="360" t="s">
        <v>1324</v>
      </c>
      <c r="D325" s="360" t="s">
        <v>1337</v>
      </c>
      <c r="E325" s="360"/>
      <c r="F325" s="360"/>
      <c r="G325" s="360"/>
      <c r="H325" s="360"/>
      <c r="I325" s="360"/>
      <c r="J325" s="365" t="s">
        <v>1484</v>
      </c>
      <c r="K325" s="362"/>
      <c r="L325" s="362"/>
      <c r="M325" s="362"/>
      <c r="N325" s="362"/>
      <c r="O325" s="362"/>
      <c r="P325" s="362"/>
      <c r="Q325" s="362"/>
      <c r="R325" s="362"/>
      <c r="S325" s="362"/>
      <c r="T325" s="362"/>
      <c r="U325" s="362"/>
      <c r="V325" s="362"/>
    </row>
    <row r="326" spans="1:22" ht="18.75" customHeight="1" thickTop="1" thickBot="1">
      <c r="A326" s="368">
        <v>1</v>
      </c>
      <c r="B326" s="359" t="s">
        <v>1337</v>
      </c>
      <c r="C326" s="360" t="s">
        <v>1324</v>
      </c>
      <c r="D326" s="360" t="s">
        <v>1361</v>
      </c>
      <c r="E326" s="360"/>
      <c r="F326" s="360"/>
      <c r="G326" s="360"/>
      <c r="H326" s="360"/>
      <c r="I326" s="360"/>
      <c r="J326" s="365" t="s">
        <v>1485</v>
      </c>
      <c r="K326" s="362"/>
      <c r="L326" s="362"/>
      <c r="M326" s="362"/>
      <c r="N326" s="362"/>
      <c r="O326" s="362"/>
      <c r="P326" s="362"/>
      <c r="Q326" s="362"/>
      <c r="R326" s="362"/>
      <c r="S326" s="362"/>
      <c r="T326" s="362"/>
      <c r="U326" s="362"/>
      <c r="V326" s="362"/>
    </row>
    <row r="327" spans="1:22" ht="18.75" customHeight="1" thickTop="1" thickBot="1">
      <c r="A327" s="368">
        <v>1</v>
      </c>
      <c r="B327" s="359" t="s">
        <v>1337</v>
      </c>
      <c r="C327" s="360" t="s">
        <v>1337</v>
      </c>
      <c r="D327" s="360"/>
      <c r="E327" s="368"/>
      <c r="F327" s="360"/>
      <c r="G327" s="360"/>
      <c r="H327" s="360"/>
      <c r="I327" s="360"/>
      <c r="J327" s="361" t="s">
        <v>1796</v>
      </c>
      <c r="K327" s="362"/>
      <c r="L327" s="362"/>
      <c r="M327" s="362"/>
      <c r="N327" s="362"/>
      <c r="O327" s="362"/>
      <c r="P327" s="362"/>
      <c r="Q327" s="362"/>
      <c r="R327" s="362"/>
      <c r="S327" s="362"/>
      <c r="T327" s="362"/>
      <c r="U327" s="362"/>
      <c r="V327" s="362"/>
    </row>
    <row r="328" spans="1:22" ht="18.75" customHeight="1" thickTop="1" thickBot="1">
      <c r="A328" s="368">
        <v>1</v>
      </c>
      <c r="B328" s="359" t="s">
        <v>1361</v>
      </c>
      <c r="C328" s="360"/>
      <c r="D328" s="360"/>
      <c r="E328" s="368"/>
      <c r="F328" s="360"/>
      <c r="G328" s="360"/>
      <c r="H328" s="360"/>
      <c r="I328" s="360"/>
      <c r="J328" s="361" t="s">
        <v>1716</v>
      </c>
      <c r="K328" s="362"/>
      <c r="L328" s="362"/>
      <c r="M328" s="362"/>
      <c r="N328" s="362"/>
      <c r="O328" s="362"/>
      <c r="P328" s="362"/>
      <c r="Q328" s="362"/>
      <c r="R328" s="362"/>
      <c r="S328" s="362"/>
      <c r="T328" s="362"/>
      <c r="U328" s="362"/>
      <c r="V328" s="362"/>
    </row>
    <row r="329" spans="1:22" ht="18.75" customHeight="1" thickTop="1" thickBot="1">
      <c r="A329" s="368">
        <v>1</v>
      </c>
      <c r="B329" s="359" t="s">
        <v>1361</v>
      </c>
      <c r="C329" s="360" t="s">
        <v>1324</v>
      </c>
      <c r="D329" s="360"/>
      <c r="E329" s="368"/>
      <c r="F329" s="360"/>
      <c r="G329" s="360"/>
      <c r="H329" s="360"/>
      <c r="I329" s="360"/>
      <c r="J329" s="361" t="s">
        <v>1486</v>
      </c>
      <c r="K329" s="362"/>
      <c r="L329" s="362"/>
      <c r="M329" s="362"/>
      <c r="N329" s="362"/>
      <c r="O329" s="362"/>
      <c r="P329" s="362"/>
      <c r="Q329" s="362"/>
      <c r="R329" s="362"/>
      <c r="S329" s="362"/>
      <c r="T329" s="362"/>
      <c r="U329" s="362"/>
      <c r="V329" s="362"/>
    </row>
    <row r="330" spans="1:22" ht="18.75" customHeight="1" thickTop="1" thickBot="1">
      <c r="A330" s="368">
        <v>1</v>
      </c>
      <c r="B330" s="359" t="s">
        <v>1361</v>
      </c>
      <c r="C330" s="360" t="s">
        <v>1324</v>
      </c>
      <c r="D330" s="360" t="s">
        <v>1324</v>
      </c>
      <c r="E330" s="360"/>
      <c r="F330" s="360"/>
      <c r="G330" s="360"/>
      <c r="H330" s="360"/>
      <c r="I330" s="360"/>
      <c r="J330" s="365" t="s">
        <v>1487</v>
      </c>
      <c r="K330" s="362"/>
      <c r="L330" s="362"/>
      <c r="M330" s="362"/>
      <c r="N330" s="362"/>
      <c r="O330" s="362"/>
      <c r="P330" s="362"/>
      <c r="Q330" s="362"/>
      <c r="R330" s="362"/>
      <c r="S330" s="362"/>
      <c r="T330" s="362"/>
      <c r="U330" s="362"/>
      <c r="V330" s="362"/>
    </row>
    <row r="331" spans="1:22" ht="18.75" customHeight="1" thickTop="1" thickBot="1">
      <c r="A331" s="368">
        <v>1</v>
      </c>
      <c r="B331" s="359" t="s">
        <v>1361</v>
      </c>
      <c r="C331" s="360" t="s">
        <v>1324</v>
      </c>
      <c r="D331" s="360" t="s">
        <v>1337</v>
      </c>
      <c r="E331" s="360"/>
      <c r="F331" s="360"/>
      <c r="G331" s="360"/>
      <c r="H331" s="360"/>
      <c r="I331" s="360"/>
      <c r="J331" s="365" t="s">
        <v>1488</v>
      </c>
      <c r="K331" s="362"/>
      <c r="L331" s="362"/>
      <c r="M331" s="362"/>
      <c r="N331" s="362"/>
      <c r="O331" s="362"/>
      <c r="P331" s="362"/>
      <c r="Q331" s="362"/>
      <c r="R331" s="362"/>
      <c r="S331" s="362"/>
      <c r="T331" s="362"/>
      <c r="U331" s="362"/>
      <c r="V331" s="362"/>
    </row>
    <row r="332" spans="1:22" ht="18.75" customHeight="1" thickTop="1" thickBot="1">
      <c r="A332" s="368">
        <v>1</v>
      </c>
      <c r="B332" s="359" t="s">
        <v>1361</v>
      </c>
      <c r="C332" s="360" t="s">
        <v>1324</v>
      </c>
      <c r="D332" s="360" t="s">
        <v>1361</v>
      </c>
      <c r="E332" s="360"/>
      <c r="F332" s="360"/>
      <c r="G332" s="360"/>
      <c r="H332" s="360"/>
      <c r="I332" s="360"/>
      <c r="J332" s="365" t="s">
        <v>1489</v>
      </c>
      <c r="K332" s="362"/>
      <c r="L332" s="362"/>
      <c r="M332" s="362"/>
      <c r="N332" s="362"/>
      <c r="O332" s="362"/>
      <c r="P332" s="362"/>
      <c r="Q332" s="362"/>
      <c r="R332" s="362"/>
      <c r="S332" s="362"/>
      <c r="T332" s="362"/>
      <c r="U332" s="362"/>
      <c r="V332" s="362"/>
    </row>
    <row r="333" spans="1:22" ht="18.75" customHeight="1" thickTop="1" thickBot="1">
      <c r="A333" s="368">
        <v>1</v>
      </c>
      <c r="B333" s="359" t="s">
        <v>1361</v>
      </c>
      <c r="C333" s="360" t="s">
        <v>1337</v>
      </c>
      <c r="D333" s="360"/>
      <c r="E333" s="368"/>
      <c r="F333" s="360"/>
      <c r="G333" s="360"/>
      <c r="H333" s="360"/>
      <c r="I333" s="360"/>
      <c r="J333" s="361" t="s">
        <v>1490</v>
      </c>
      <c r="K333" s="362"/>
      <c r="L333" s="362"/>
      <c r="M333" s="362"/>
      <c r="N333" s="362"/>
      <c r="O333" s="362"/>
      <c r="P333" s="362"/>
      <c r="Q333" s="362"/>
      <c r="R333" s="362"/>
      <c r="S333" s="362"/>
      <c r="T333" s="362"/>
      <c r="U333" s="362"/>
      <c r="V333" s="362"/>
    </row>
    <row r="334" spans="1:22" ht="18.75" customHeight="1" thickTop="1" thickBot="1">
      <c r="A334" s="368">
        <v>1</v>
      </c>
      <c r="B334" s="359" t="s">
        <v>1365</v>
      </c>
      <c r="C334" s="360"/>
      <c r="D334" s="360"/>
      <c r="E334" s="368"/>
      <c r="F334" s="360"/>
      <c r="G334" s="360"/>
      <c r="H334" s="360"/>
      <c r="I334" s="360"/>
      <c r="J334" s="361" t="s">
        <v>1491</v>
      </c>
      <c r="K334" s="362"/>
      <c r="L334" s="362"/>
      <c r="M334" s="362"/>
      <c r="N334" s="362"/>
      <c r="O334" s="362"/>
      <c r="P334" s="362"/>
      <c r="Q334" s="362"/>
      <c r="R334" s="362"/>
      <c r="S334" s="362"/>
      <c r="T334" s="362"/>
      <c r="U334" s="362"/>
      <c r="V334" s="362"/>
    </row>
    <row r="335" spans="1:22" ht="18.75" customHeight="1" thickTop="1" thickBot="1">
      <c r="A335" s="368" t="s">
        <v>1320</v>
      </c>
      <c r="B335" s="359" t="s">
        <v>1390</v>
      </c>
      <c r="C335" s="360"/>
      <c r="D335" s="360"/>
      <c r="E335" s="368"/>
      <c r="F335" s="360"/>
      <c r="G335" s="360"/>
      <c r="H335" s="360"/>
      <c r="I335" s="360"/>
      <c r="J335" s="424" t="s">
        <v>1492</v>
      </c>
      <c r="K335" s="362"/>
      <c r="L335" s="362"/>
      <c r="M335" s="362"/>
      <c r="N335" s="362"/>
      <c r="O335" s="362"/>
      <c r="P335" s="362"/>
      <c r="Q335" s="362"/>
      <c r="R335" s="362"/>
      <c r="S335" s="362"/>
      <c r="T335" s="362"/>
      <c r="U335" s="362"/>
      <c r="V335" s="362"/>
    </row>
    <row r="336" spans="1:22" ht="18.75" customHeight="1" thickTop="1" thickBot="1">
      <c r="A336" s="368" t="s">
        <v>1320</v>
      </c>
      <c r="B336" s="359" t="s">
        <v>1390</v>
      </c>
      <c r="C336" s="360" t="s">
        <v>1324</v>
      </c>
      <c r="D336" s="360"/>
      <c r="E336" s="368"/>
      <c r="F336" s="360"/>
      <c r="G336" s="360"/>
      <c r="H336" s="360"/>
      <c r="I336" s="360"/>
      <c r="J336" s="424" t="s">
        <v>1493</v>
      </c>
      <c r="K336" s="362"/>
      <c r="L336" s="362"/>
      <c r="M336" s="362"/>
      <c r="N336" s="362"/>
      <c r="O336" s="362"/>
      <c r="P336" s="362"/>
      <c r="Q336" s="362"/>
      <c r="R336" s="362"/>
      <c r="S336" s="362"/>
      <c r="T336" s="362"/>
      <c r="U336" s="362"/>
      <c r="V336" s="362"/>
    </row>
    <row r="337" spans="1:22" ht="18.75" customHeight="1" thickTop="1" thickBot="1">
      <c r="A337" s="368" t="s">
        <v>1320</v>
      </c>
      <c r="B337" s="359" t="s">
        <v>1390</v>
      </c>
      <c r="C337" s="360" t="s">
        <v>1324</v>
      </c>
      <c r="D337" s="360" t="s">
        <v>1324</v>
      </c>
      <c r="E337" s="360"/>
      <c r="F337" s="360"/>
      <c r="G337" s="360"/>
      <c r="H337" s="360"/>
      <c r="I337" s="360"/>
      <c r="J337" s="365" t="s">
        <v>1797</v>
      </c>
      <c r="K337" s="362"/>
      <c r="L337" s="362"/>
      <c r="M337" s="362"/>
      <c r="N337" s="362"/>
      <c r="O337" s="362"/>
      <c r="P337" s="362"/>
      <c r="Q337" s="362"/>
      <c r="R337" s="362"/>
      <c r="S337" s="362"/>
      <c r="T337" s="362"/>
      <c r="U337" s="362"/>
      <c r="V337" s="362"/>
    </row>
    <row r="338" spans="1:22" ht="18.75" customHeight="1" thickTop="1" thickBot="1">
      <c r="A338" s="368" t="s">
        <v>1320</v>
      </c>
      <c r="B338" s="359" t="s">
        <v>1390</v>
      </c>
      <c r="C338" s="360" t="s">
        <v>1324</v>
      </c>
      <c r="D338" s="360" t="s">
        <v>1337</v>
      </c>
      <c r="E338" s="360"/>
      <c r="F338" s="360"/>
      <c r="G338" s="360"/>
      <c r="H338" s="360"/>
      <c r="I338" s="360"/>
      <c r="J338" s="365" t="s">
        <v>1798</v>
      </c>
      <c r="K338" s="362"/>
      <c r="L338" s="362"/>
      <c r="M338" s="362"/>
      <c r="N338" s="362"/>
      <c r="O338" s="362"/>
      <c r="P338" s="362"/>
      <c r="Q338" s="362"/>
      <c r="R338" s="362"/>
      <c r="S338" s="362"/>
      <c r="T338" s="362"/>
      <c r="U338" s="362"/>
      <c r="V338" s="362"/>
    </row>
    <row r="339" spans="1:22" ht="18.75" customHeight="1" thickTop="1" thickBot="1">
      <c r="A339" s="368" t="s">
        <v>1320</v>
      </c>
      <c r="B339" s="359" t="s">
        <v>1390</v>
      </c>
      <c r="C339" s="360" t="s">
        <v>1324</v>
      </c>
      <c r="D339" s="360" t="s">
        <v>1361</v>
      </c>
      <c r="E339" s="360"/>
      <c r="F339" s="360"/>
      <c r="G339" s="360"/>
      <c r="H339" s="360"/>
      <c r="I339" s="360"/>
      <c r="J339" s="365" t="s">
        <v>1799</v>
      </c>
      <c r="K339" s="362"/>
      <c r="L339" s="362"/>
      <c r="M339" s="362"/>
      <c r="N339" s="362"/>
      <c r="O339" s="362"/>
      <c r="P339" s="362"/>
      <c r="Q339" s="362"/>
      <c r="R339" s="362"/>
      <c r="S339" s="362"/>
      <c r="T339" s="362"/>
      <c r="U339" s="362"/>
      <c r="V339" s="362"/>
    </row>
    <row r="340" spans="1:22" ht="18.75" customHeight="1" thickTop="1" thickBot="1">
      <c r="A340" s="368" t="s">
        <v>1320</v>
      </c>
      <c r="B340" s="359" t="s">
        <v>1390</v>
      </c>
      <c r="C340" s="360" t="s">
        <v>1337</v>
      </c>
      <c r="D340" s="360"/>
      <c r="E340" s="368"/>
      <c r="F340" s="360"/>
      <c r="G340" s="360"/>
      <c r="H340" s="360"/>
      <c r="I340" s="360"/>
      <c r="J340" s="425" t="s">
        <v>1494</v>
      </c>
      <c r="K340" s="362"/>
      <c r="L340" s="362"/>
      <c r="M340" s="362"/>
      <c r="N340" s="362"/>
      <c r="O340" s="362"/>
      <c r="P340" s="362"/>
      <c r="Q340" s="362"/>
      <c r="R340" s="362"/>
      <c r="S340" s="362"/>
      <c r="T340" s="362"/>
      <c r="U340" s="362"/>
      <c r="V340" s="362"/>
    </row>
    <row r="341" spans="1:22" ht="18.75" customHeight="1" thickTop="1" thickBot="1">
      <c r="A341" s="368" t="s">
        <v>1320</v>
      </c>
      <c r="B341" s="359" t="s">
        <v>1390</v>
      </c>
      <c r="C341" s="360" t="s">
        <v>1361</v>
      </c>
      <c r="D341" s="360"/>
      <c r="E341" s="368"/>
      <c r="F341" s="360"/>
      <c r="G341" s="360"/>
      <c r="H341" s="360"/>
      <c r="I341" s="360"/>
      <c r="J341" s="425" t="s">
        <v>1495</v>
      </c>
      <c r="K341" s="362"/>
      <c r="L341" s="362"/>
      <c r="M341" s="362"/>
      <c r="N341" s="362"/>
      <c r="O341" s="362"/>
      <c r="P341" s="362"/>
      <c r="Q341" s="362"/>
      <c r="R341" s="362"/>
      <c r="S341" s="362"/>
      <c r="T341" s="362"/>
      <c r="U341" s="362"/>
      <c r="V341" s="362"/>
    </row>
    <row r="342" spans="1:22" ht="36" customHeight="1" thickTop="1" thickBot="1">
      <c r="A342" s="368"/>
      <c r="B342" s="359"/>
    </row>
    <row r="343" spans="1:22" ht="36" customHeight="1" thickTop="1"/>
  </sheetData>
  <mergeCells count="16">
    <mergeCell ref="U5:U6"/>
    <mergeCell ref="V5:V6"/>
    <mergeCell ref="W5:W6"/>
    <mergeCell ref="X5:X6"/>
    <mergeCell ref="A1:V1"/>
    <mergeCell ref="A2:V2"/>
    <mergeCell ref="A3:V3"/>
    <mergeCell ref="A4:V4"/>
    <mergeCell ref="A5:I5"/>
    <mergeCell ref="J5:J6"/>
    <mergeCell ref="K5:K6"/>
    <mergeCell ref="L5:M5"/>
    <mergeCell ref="N5:N6"/>
    <mergeCell ref="O5:R5"/>
    <mergeCell ref="S5:S6"/>
    <mergeCell ref="T5:T6"/>
  </mergeCells>
  <phoneticPr fontId="43" type="noConversion"/>
  <printOptions horizontalCentered="1" verticalCentered="1"/>
  <pageMargins left="0.78740157480314965" right="0.78740157480314965" top="0.98425196850393704" bottom="0.98425196850393704" header="0" footer="0"/>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3">
    <tabColor rgb="FF92D050"/>
  </sheetPr>
  <dimension ref="A1:U172"/>
  <sheetViews>
    <sheetView showGridLines="0" topLeftCell="A15" zoomScale="98" zoomScaleNormal="98" workbookViewId="0">
      <selection activeCell="D8" sqref="D8"/>
    </sheetView>
  </sheetViews>
  <sheetFormatPr baseColWidth="10" defaultRowHeight="14.4"/>
  <cols>
    <col min="1" max="1" width="1.88671875" customWidth="1"/>
    <col min="2" max="2" width="10.88671875" customWidth="1"/>
    <col min="3" max="3" width="5" style="66" bestFit="1" customWidth="1"/>
    <col min="4" max="4" width="34.88671875" customWidth="1"/>
    <col min="5" max="5" width="13.44140625" customWidth="1"/>
    <col min="6" max="6" width="8.88671875" customWidth="1"/>
    <col min="7" max="7" width="13.109375" customWidth="1"/>
    <col min="8" max="8" width="14" customWidth="1"/>
    <col min="9" max="9" width="13.33203125" customWidth="1"/>
    <col min="10" max="10" width="12.33203125" customWidth="1"/>
    <col min="11" max="11" width="14.6640625" customWidth="1"/>
    <col min="12" max="12" width="23.6640625" customWidth="1"/>
    <col min="13" max="13" width="10.44140625" customWidth="1"/>
    <col min="14" max="14" width="9.44140625" customWidth="1"/>
    <col min="15" max="15" width="9.5546875" customWidth="1"/>
    <col min="16" max="16" width="8.4414062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479</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3" t="s">
        <v>1178</v>
      </c>
      <c r="C8" s="564">
        <v>2023</v>
      </c>
      <c r="D8" s="170" t="str">
        <f>IF(E10="NO APLICA","NO APLICA",IF(E11="NO SE REPORTA","SIN INFORMACION",+Q22))</f>
        <v>N.A.</v>
      </c>
      <c r="E8" s="167"/>
      <c r="F8" s="5" t="s">
        <v>129</v>
      </c>
      <c r="G8" s="5"/>
      <c r="H8" s="5"/>
      <c r="I8" s="5"/>
      <c r="J8" s="5"/>
      <c r="K8" s="5"/>
    </row>
    <row r="9" spans="1:21">
      <c r="B9" s="298" t="s">
        <v>1179</v>
      </c>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23.4" customHeight="1">
      <c r="B12" s="298"/>
      <c r="C12" s="67"/>
      <c r="D12" s="144" t="str">
        <f>IF(E11="SI SE REPORTA","¿Qué programas o proyectos del Plan de Acción están asociados al indicador? ","")</f>
        <v xml:space="preserve">¿Qué programas o proyectos del Plan de Acción están asociados al indicador? </v>
      </c>
      <c r="E12" s="1535" t="s">
        <v>1970</v>
      </c>
      <c r="F12" s="1535"/>
      <c r="G12" s="1535"/>
      <c r="H12" s="1535"/>
      <c r="I12" s="1535"/>
      <c r="J12" s="1535"/>
      <c r="K12" s="1535"/>
      <c r="L12" s="1535"/>
      <c r="M12" s="1535"/>
      <c r="N12" s="1535"/>
      <c r="O12" s="1535"/>
      <c r="P12" s="1535"/>
      <c r="Q12" s="1535"/>
      <c r="R12" s="1535"/>
    </row>
    <row r="13" spans="1:21" ht="247.5" customHeight="1">
      <c r="B13" s="298"/>
      <c r="C13" s="67"/>
      <c r="D13" s="144" t="s">
        <v>1236</v>
      </c>
      <c r="E13" s="1408" t="s">
        <v>1922</v>
      </c>
      <c r="F13" s="1409"/>
      <c r="G13" s="1409"/>
      <c r="H13" s="1409"/>
      <c r="I13" s="1409"/>
      <c r="J13" s="1409"/>
      <c r="K13" s="1409"/>
      <c r="L13" s="1409"/>
      <c r="M13" s="1409"/>
      <c r="N13" s="1409"/>
      <c r="O13" s="1409"/>
      <c r="P13" s="1409"/>
      <c r="Q13" s="1409"/>
      <c r="R13" s="1410"/>
    </row>
    <row r="14" spans="1:21" ht="6.9" customHeight="1" thickBot="1">
      <c r="B14" s="298"/>
      <c r="D14" s="5"/>
      <c r="E14" s="5"/>
      <c r="F14" s="5"/>
      <c r="G14" s="5"/>
      <c r="H14" s="5"/>
      <c r="I14" s="5"/>
      <c r="J14" s="5"/>
      <c r="K14" s="5"/>
    </row>
    <row r="15" spans="1:21" ht="15" thickBot="1">
      <c r="B15" s="1612" t="s">
        <v>2</v>
      </c>
      <c r="C15" s="81"/>
      <c r="D15" s="1437" t="s">
        <v>335</v>
      </c>
      <c r="E15" s="1438"/>
      <c r="F15" s="1438"/>
      <c r="G15" s="1438"/>
      <c r="H15" s="1438"/>
      <c r="I15" s="1438"/>
      <c r="J15" s="1438"/>
      <c r="K15" s="1438"/>
      <c r="L15" s="1606"/>
      <c r="M15" s="1606"/>
      <c r="N15" s="1606"/>
      <c r="O15" s="1606"/>
      <c r="P15" s="1578"/>
      <c r="Q15" s="1597" t="s">
        <v>150</v>
      </c>
    </row>
    <row r="16" spans="1:21" ht="15" thickBot="1">
      <c r="B16" s="1613"/>
      <c r="C16" s="87"/>
      <c r="D16" s="1427" t="s">
        <v>149</v>
      </c>
      <c r="E16" s="1602" t="s">
        <v>503</v>
      </c>
      <c r="F16" s="1610"/>
      <c r="G16" s="1610"/>
      <c r="H16" s="1610"/>
      <c r="I16" s="1610"/>
      <c r="J16" s="1611"/>
      <c r="K16" s="1602" t="s">
        <v>504</v>
      </c>
      <c r="L16" s="1603"/>
      <c r="M16" s="1603"/>
      <c r="N16" s="1603"/>
      <c r="O16" s="1603"/>
      <c r="P16" s="1604"/>
      <c r="Q16" s="1598"/>
    </row>
    <row r="17" spans="2:17" ht="15" thickBot="1">
      <c r="B17" s="1613"/>
      <c r="C17" s="87"/>
      <c r="D17" s="1418"/>
      <c r="E17" s="1602" t="s">
        <v>505</v>
      </c>
      <c r="F17" s="1610"/>
      <c r="G17" s="1611"/>
      <c r="H17" s="1602" t="s">
        <v>506</v>
      </c>
      <c r="I17" s="1610"/>
      <c r="J17" s="1611"/>
      <c r="K17" s="1602" t="s">
        <v>505</v>
      </c>
      <c r="L17" s="1603"/>
      <c r="M17" s="1604"/>
      <c r="N17" s="1605" t="s">
        <v>506</v>
      </c>
      <c r="O17" s="1603"/>
      <c r="P17" s="1604"/>
      <c r="Q17" s="1598"/>
    </row>
    <row r="18" spans="2:17" ht="15" thickBot="1">
      <c r="B18" s="1613"/>
      <c r="C18" s="87"/>
      <c r="D18" s="1609"/>
      <c r="E18" s="32" t="s">
        <v>507</v>
      </c>
      <c r="F18" s="32" t="s">
        <v>508</v>
      </c>
      <c r="G18" s="32" t="s">
        <v>509</v>
      </c>
      <c r="H18" s="32" t="s">
        <v>507</v>
      </c>
      <c r="I18" s="32" t="s">
        <v>508</v>
      </c>
      <c r="J18" s="32" t="s">
        <v>509</v>
      </c>
      <c r="K18" s="32" t="s">
        <v>507</v>
      </c>
      <c r="L18" s="12" t="s">
        <v>508</v>
      </c>
      <c r="M18" s="12" t="s">
        <v>509</v>
      </c>
      <c r="N18" s="12" t="s">
        <v>507</v>
      </c>
      <c r="O18" s="12" t="s">
        <v>508</v>
      </c>
      <c r="P18" s="12" t="s">
        <v>509</v>
      </c>
      <c r="Q18" s="1599"/>
    </row>
    <row r="19" spans="2:17" ht="24.6" thickBot="1">
      <c r="B19" s="1613"/>
      <c r="C19" s="87"/>
      <c r="D19" s="32" t="s">
        <v>510</v>
      </c>
      <c r="E19" s="509">
        <v>0</v>
      </c>
      <c r="F19" s="509">
        <v>4</v>
      </c>
      <c r="G19" s="509">
        <v>1</v>
      </c>
      <c r="H19" s="509">
        <v>2</v>
      </c>
      <c r="I19" s="509">
        <v>2</v>
      </c>
      <c r="J19" s="509">
        <v>4</v>
      </c>
      <c r="K19" s="509">
        <v>0</v>
      </c>
      <c r="L19" s="509">
        <v>0</v>
      </c>
      <c r="M19" s="509">
        <v>0</v>
      </c>
      <c r="N19" s="509">
        <v>1</v>
      </c>
      <c r="O19" s="509">
        <v>0</v>
      </c>
      <c r="P19" s="509">
        <v>1</v>
      </c>
      <c r="Q19" s="518">
        <f>SUM(E19:P19)</f>
        <v>15</v>
      </c>
    </row>
    <row r="20" spans="2:17" ht="45.75" customHeight="1" thickBot="1">
      <c r="B20" s="1613"/>
      <c r="C20" s="87"/>
      <c r="D20" s="755" t="s">
        <v>511</v>
      </c>
      <c r="E20" s="509">
        <v>0</v>
      </c>
      <c r="F20" s="509">
        <v>0</v>
      </c>
      <c r="G20" s="509">
        <v>0</v>
      </c>
      <c r="H20" s="509">
        <v>0</v>
      </c>
      <c r="I20" s="509">
        <v>0</v>
      </c>
      <c r="J20" s="509">
        <v>0</v>
      </c>
      <c r="K20" s="509">
        <v>0</v>
      </c>
      <c r="L20" s="509">
        <v>0</v>
      </c>
      <c r="M20" s="509">
        <v>0</v>
      </c>
      <c r="N20" s="509">
        <v>0</v>
      </c>
      <c r="O20" s="509">
        <v>0</v>
      </c>
      <c r="P20" s="509">
        <v>0</v>
      </c>
      <c r="Q20" s="518">
        <f>SUM(E20:P20)</f>
        <v>0</v>
      </c>
    </row>
    <row r="21" spans="2:17" ht="47.25" customHeight="1" thickBot="1">
      <c r="B21" s="1613"/>
      <c r="C21" s="87"/>
      <c r="D21" s="755" t="s">
        <v>512</v>
      </c>
      <c r="E21" s="509">
        <v>0</v>
      </c>
      <c r="F21" s="509">
        <v>0</v>
      </c>
      <c r="G21" s="509">
        <v>0</v>
      </c>
      <c r="H21" s="509">
        <v>0</v>
      </c>
      <c r="I21" s="509">
        <v>0</v>
      </c>
      <c r="J21" s="509">
        <v>0</v>
      </c>
      <c r="K21" s="509">
        <v>0</v>
      </c>
      <c r="L21" s="509">
        <v>0</v>
      </c>
      <c r="M21" s="509">
        <v>0</v>
      </c>
      <c r="N21" s="509">
        <v>0</v>
      </c>
      <c r="O21" s="509">
        <v>0</v>
      </c>
      <c r="P21" s="509">
        <v>0</v>
      </c>
      <c r="Q21" s="518">
        <f>SUM(E21:P21)</f>
        <v>0</v>
      </c>
    </row>
    <row r="22" spans="2:17" ht="24.6" thickBot="1">
      <c r="B22" s="1613"/>
      <c r="C22" s="87"/>
      <c r="D22" s="32" t="s">
        <v>479</v>
      </c>
      <c r="E22" s="120" t="str">
        <f>IFERROR(E21/E20,"N.A.")</f>
        <v>N.A.</v>
      </c>
      <c r="F22" s="120" t="str">
        <f t="shared" ref="F22:P22" si="0">IFERROR(F21/F20,"N.A.")</f>
        <v>N.A.</v>
      </c>
      <c r="G22" s="120" t="str">
        <f t="shared" si="0"/>
        <v>N.A.</v>
      </c>
      <c r="H22" s="120" t="str">
        <f t="shared" si="0"/>
        <v>N.A.</v>
      </c>
      <c r="I22" s="120" t="str">
        <f t="shared" si="0"/>
        <v>N.A.</v>
      </c>
      <c r="J22" s="120" t="str">
        <f t="shared" si="0"/>
        <v>N.A.</v>
      </c>
      <c r="K22" s="120" t="str">
        <f t="shared" si="0"/>
        <v>N.A.</v>
      </c>
      <c r="L22" s="120" t="str">
        <f t="shared" si="0"/>
        <v>N.A.</v>
      </c>
      <c r="M22" s="120" t="str">
        <f t="shared" si="0"/>
        <v>N.A.</v>
      </c>
      <c r="N22" s="120" t="str">
        <f t="shared" si="0"/>
        <v>N.A.</v>
      </c>
      <c r="O22" s="120" t="str">
        <f t="shared" si="0"/>
        <v>N.A.</v>
      </c>
      <c r="P22" s="120" t="str">
        <f t="shared" si="0"/>
        <v>N.A.</v>
      </c>
      <c r="Q22" s="120" t="str">
        <f>IFERROR(Q21/Q20,"N.A.")</f>
        <v>N.A.</v>
      </c>
    </row>
    <row r="23" spans="2:17">
      <c r="B23" s="1613"/>
      <c r="C23" s="82"/>
      <c r="D23" s="1425" t="s">
        <v>513</v>
      </c>
      <c r="E23" s="1426"/>
      <c r="F23" s="1426"/>
      <c r="G23" s="1426"/>
      <c r="H23" s="1426"/>
      <c r="I23" s="1426"/>
      <c r="J23" s="1426"/>
      <c r="K23" s="1426"/>
      <c r="L23" s="1615"/>
      <c r="M23" s="1615"/>
      <c r="N23" s="1615"/>
      <c r="O23" s="1615"/>
      <c r="P23" s="1596"/>
    </row>
    <row r="24" spans="2:17">
      <c r="B24" s="1613"/>
      <c r="C24" s="82"/>
      <c r="D24" s="1416" t="s">
        <v>514</v>
      </c>
      <c r="E24" s="1417"/>
      <c r="F24" s="1417"/>
      <c r="G24" s="1417"/>
      <c r="H24" s="1417"/>
      <c r="I24" s="1417"/>
      <c r="J24" s="1417"/>
      <c r="K24" s="1417"/>
      <c r="L24" s="1608"/>
      <c r="M24" s="1608"/>
      <c r="N24" s="1608"/>
      <c r="O24" s="1608"/>
      <c r="P24" s="1579"/>
    </row>
    <row r="25" spans="2:17">
      <c r="B25" s="1613"/>
      <c r="C25" s="82"/>
      <c r="D25" s="1416" t="s">
        <v>515</v>
      </c>
      <c r="E25" s="1417"/>
      <c r="F25" s="1417"/>
      <c r="G25" s="1417"/>
      <c r="H25" s="1417"/>
      <c r="I25" s="1417"/>
      <c r="J25" s="1417"/>
      <c r="K25" s="1417"/>
      <c r="L25" s="1608"/>
      <c r="M25" s="1608"/>
      <c r="N25" s="1608"/>
      <c r="O25" s="1608"/>
      <c r="P25" s="1579"/>
    </row>
    <row r="26" spans="2:17">
      <c r="B26" s="1613"/>
      <c r="C26" s="82"/>
      <c r="D26" s="1428" t="s">
        <v>245</v>
      </c>
      <c r="E26" s="1429"/>
      <c r="F26" s="1429"/>
      <c r="G26" s="1429"/>
      <c r="H26" s="1429"/>
      <c r="I26" s="1429"/>
      <c r="J26" s="1429"/>
      <c r="K26" s="1429"/>
      <c r="L26" s="1607"/>
      <c r="M26" s="1607"/>
      <c r="N26" s="1607"/>
      <c r="O26" s="1607"/>
      <c r="P26" s="1580"/>
    </row>
    <row r="27" spans="2:17">
      <c r="B27" s="1613"/>
      <c r="C27" s="82"/>
      <c r="D27" s="1428" t="s">
        <v>516</v>
      </c>
      <c r="E27" s="1429"/>
      <c r="F27" s="1429"/>
      <c r="G27" s="1429"/>
      <c r="H27" s="1429"/>
      <c r="I27" s="1429"/>
      <c r="J27" s="1429"/>
      <c r="K27" s="1429"/>
      <c r="L27" s="1607"/>
      <c r="M27" s="1607"/>
      <c r="N27" s="1607"/>
      <c r="O27" s="1607"/>
      <c r="P27" s="1580"/>
    </row>
    <row r="28" spans="2:17" ht="15" thickBot="1">
      <c r="B28" s="1613"/>
      <c r="C28" s="82"/>
      <c r="D28" s="1416" t="s">
        <v>339</v>
      </c>
      <c r="E28" s="1417"/>
      <c r="F28" s="1417"/>
      <c r="G28" s="1417"/>
      <c r="H28" s="1417"/>
      <c r="I28" s="1417"/>
      <c r="J28" s="1417"/>
      <c r="K28" s="1417"/>
      <c r="L28" s="1608"/>
      <c r="M28" s="1608"/>
      <c r="N28" s="1608"/>
      <c r="O28" s="1608"/>
      <c r="P28" s="1579"/>
    </row>
    <row r="29" spans="2:17" ht="21" customHeight="1">
      <c r="B29" s="1613"/>
      <c r="C29" s="1537" t="s">
        <v>18</v>
      </c>
      <c r="D29" s="1597" t="s">
        <v>269</v>
      </c>
      <c r="E29" s="1597" t="s">
        <v>517</v>
      </c>
      <c r="F29" s="1597" t="s">
        <v>518</v>
      </c>
      <c r="G29" s="1597" t="s">
        <v>519</v>
      </c>
      <c r="H29" s="156" t="s">
        <v>472</v>
      </c>
      <c r="I29" s="156" t="s">
        <v>474</v>
      </c>
      <c r="J29" s="1597" t="s">
        <v>273</v>
      </c>
      <c r="K29" s="1597" t="s">
        <v>274</v>
      </c>
      <c r="L29" s="1597" t="s">
        <v>54</v>
      </c>
      <c r="P29" s="10"/>
    </row>
    <row r="30" spans="2:17" ht="15" thickBot="1">
      <c r="B30" s="1613"/>
      <c r="C30" s="1538"/>
      <c r="D30" s="1599"/>
      <c r="E30" s="1599"/>
      <c r="F30" s="1599"/>
      <c r="G30" s="1599"/>
      <c r="H30" s="157" t="s">
        <v>473</v>
      </c>
      <c r="I30" s="157" t="s">
        <v>475</v>
      </c>
      <c r="J30" s="1599"/>
      <c r="K30" s="1599"/>
      <c r="L30" s="1599"/>
      <c r="P30" s="10"/>
    </row>
    <row r="31" spans="2:17" ht="129.75" customHeight="1" thickBot="1">
      <c r="B31" s="1613"/>
      <c r="C31" s="223"/>
      <c r="D31" s="1616" t="s">
        <v>1838</v>
      </c>
      <c r="E31" s="535" t="s">
        <v>1832</v>
      </c>
      <c r="F31" s="535" t="s">
        <v>1941</v>
      </c>
      <c r="G31" s="810" t="s">
        <v>2012</v>
      </c>
      <c r="H31" s="1620">
        <v>450000000</v>
      </c>
      <c r="I31" s="1620">
        <v>450000000</v>
      </c>
      <c r="J31" s="1620">
        <v>450000001</v>
      </c>
      <c r="K31" s="1622">
        <v>444709893</v>
      </c>
      <c r="L31" s="1618" t="s">
        <v>1971</v>
      </c>
      <c r="P31" s="10"/>
    </row>
    <row r="32" spans="2:17" ht="47.25" customHeight="1" thickBot="1">
      <c r="B32" s="1613"/>
      <c r="C32" s="223"/>
      <c r="D32" s="1617"/>
      <c r="E32" s="535" t="s">
        <v>1832</v>
      </c>
      <c r="F32" s="535" t="s">
        <v>1972</v>
      </c>
      <c r="G32" s="24" t="s">
        <v>2013</v>
      </c>
      <c r="H32" s="1621"/>
      <c r="I32" s="1621"/>
      <c r="J32" s="1621"/>
      <c r="K32" s="1623"/>
      <c r="L32" s="1619"/>
      <c r="P32" s="10"/>
    </row>
    <row r="33" spans="2:16" ht="37.5" customHeight="1" thickBot="1">
      <c r="B33" s="1614"/>
      <c r="C33" s="88"/>
      <c r="D33" s="31" t="s">
        <v>150</v>
      </c>
      <c r="E33" s="22"/>
      <c r="F33" s="22"/>
      <c r="G33" s="22"/>
      <c r="H33" s="811">
        <f>SUM(H31:H32)</f>
        <v>450000000</v>
      </c>
      <c r="I33" s="812">
        <f>SUM(I31:I32)</f>
        <v>450000000</v>
      </c>
      <c r="J33" s="812">
        <f>SUM(J31:J32)</f>
        <v>450000001</v>
      </c>
      <c r="K33" s="812">
        <f>SUM(K31:K32)</f>
        <v>444709893</v>
      </c>
      <c r="L33" s="149"/>
      <c r="M33" s="11"/>
      <c r="N33" s="11"/>
      <c r="P33" s="7"/>
    </row>
    <row r="34" spans="2:16" ht="24" customHeight="1" thickBot="1">
      <c r="B34" s="61" t="s">
        <v>33</v>
      </c>
      <c r="C34" s="86"/>
      <c r="D34" s="1437" t="s">
        <v>520</v>
      </c>
      <c r="E34" s="1438"/>
      <c r="F34" s="1438"/>
      <c r="G34" s="1438"/>
      <c r="H34" s="1438"/>
      <c r="I34" s="1438"/>
      <c r="J34" s="1438"/>
      <c r="K34" s="1438"/>
      <c r="L34" s="1606"/>
      <c r="M34" s="1606"/>
      <c r="N34" s="1606"/>
      <c r="O34" s="1606"/>
      <c r="P34" s="1578"/>
    </row>
    <row r="35" spans="2:16" ht="21" thickBot="1">
      <c r="B35" s="61" t="s">
        <v>35</v>
      </c>
      <c r="C35" s="86"/>
      <c r="D35" s="1437" t="s">
        <v>345</v>
      </c>
      <c r="E35" s="1438"/>
      <c r="F35" s="1438"/>
      <c r="G35" s="1438"/>
      <c r="H35" s="1438"/>
      <c r="I35" s="1438"/>
      <c r="J35" s="1438"/>
      <c r="K35" s="1438"/>
      <c r="L35" s="1606"/>
      <c r="M35" s="1606"/>
      <c r="N35" s="1606"/>
      <c r="O35" s="1606"/>
      <c r="P35" s="1578"/>
    </row>
    <row r="36" spans="2:16" ht="15" thickBot="1">
      <c r="B36" s="1"/>
      <c r="C36" s="64"/>
      <c r="D36" s="5"/>
      <c r="E36" s="5"/>
      <c r="F36" s="5"/>
      <c r="G36" s="5"/>
      <c r="H36" s="5"/>
      <c r="I36" s="5"/>
      <c r="J36" s="5"/>
      <c r="K36" s="5"/>
    </row>
    <row r="37" spans="2:16" ht="24" customHeight="1" thickBot="1">
      <c r="B37" s="1444" t="s">
        <v>37</v>
      </c>
      <c r="C37" s="1445"/>
      <c r="D37" s="1445"/>
      <c r="E37" s="1446"/>
      <c r="F37" s="5"/>
      <c r="G37" s="5"/>
      <c r="H37" s="5"/>
      <c r="I37" s="5"/>
      <c r="J37" s="5"/>
      <c r="K37" s="5"/>
    </row>
    <row r="38" spans="2:16" ht="15" thickBot="1">
      <c r="B38" s="1434">
        <v>1</v>
      </c>
      <c r="C38" s="73"/>
      <c r="D38" s="38" t="s">
        <v>38</v>
      </c>
      <c r="E38" s="25" t="s">
        <v>1811</v>
      </c>
      <c r="F38" s="5"/>
      <c r="G38" s="5"/>
      <c r="H38" s="5"/>
      <c r="I38" s="5"/>
      <c r="J38" s="5"/>
      <c r="K38" s="5"/>
    </row>
    <row r="39" spans="2:16" ht="24.6" thickBot="1">
      <c r="B39" s="1435"/>
      <c r="C39" s="73"/>
      <c r="D39" s="32" t="s">
        <v>39</v>
      </c>
      <c r="E39" s="24" t="s">
        <v>1837</v>
      </c>
      <c r="F39" s="5"/>
      <c r="G39" s="5"/>
      <c r="H39" s="5"/>
      <c r="I39" s="5"/>
      <c r="J39" s="5"/>
      <c r="K39" s="5"/>
    </row>
    <row r="40" spans="2:16" ht="15" thickBot="1">
      <c r="B40" s="1435"/>
      <c r="C40" s="73"/>
      <c r="D40" s="32" t="s">
        <v>40</v>
      </c>
      <c r="E40" s="24" t="s">
        <v>2015</v>
      </c>
      <c r="F40" s="5"/>
      <c r="G40" s="5"/>
      <c r="H40" s="5"/>
      <c r="I40" s="5"/>
      <c r="J40" s="5"/>
      <c r="K40" s="5"/>
    </row>
    <row r="41" spans="2:16" ht="15" thickBot="1">
      <c r="B41" s="1435"/>
      <c r="C41" s="73"/>
      <c r="D41" s="32" t="s">
        <v>41</v>
      </c>
      <c r="E41" s="25" t="s">
        <v>2032</v>
      </c>
      <c r="F41" s="5"/>
      <c r="G41" s="5"/>
      <c r="H41" s="5"/>
      <c r="I41" s="5"/>
      <c r="J41" s="5"/>
      <c r="K41" s="5"/>
    </row>
    <row r="42" spans="2:16" ht="43.8" thickBot="1">
      <c r="B42" s="1435"/>
      <c r="C42" s="73"/>
      <c r="D42" s="32" t="s">
        <v>42</v>
      </c>
      <c r="E42" s="504" t="s">
        <v>1821</v>
      </c>
      <c r="F42" s="5"/>
      <c r="G42" s="5"/>
      <c r="H42" s="5"/>
      <c r="I42" s="5"/>
      <c r="J42" s="5"/>
      <c r="K42" s="5"/>
    </row>
    <row r="43" spans="2:16" ht="15" thickBot="1">
      <c r="B43" s="1435"/>
      <c r="C43" s="73"/>
      <c r="D43" s="32" t="s">
        <v>43</v>
      </c>
      <c r="E43" s="24" t="s">
        <v>1822</v>
      </c>
      <c r="F43" s="5"/>
      <c r="G43" s="5"/>
      <c r="H43" s="5"/>
      <c r="I43" s="5"/>
      <c r="J43" s="5"/>
      <c r="K43" s="5"/>
    </row>
    <row r="44" spans="2:16" ht="24.6" thickBot="1">
      <c r="B44" s="1436"/>
      <c r="C44" s="2"/>
      <c r="D44" s="32" t="s">
        <v>44</v>
      </c>
      <c r="E44" s="24" t="s">
        <v>1814</v>
      </c>
      <c r="F44" s="5"/>
      <c r="G44" s="5"/>
      <c r="H44" s="5"/>
      <c r="I44" s="5"/>
      <c r="J44" s="5"/>
      <c r="K44" s="5"/>
    </row>
    <row r="45" spans="2:16" ht="15" thickBot="1">
      <c r="B45" s="1"/>
      <c r="C45" s="64"/>
      <c r="D45" s="5"/>
      <c r="E45" s="5"/>
      <c r="F45" s="5"/>
      <c r="G45" s="5"/>
      <c r="H45" s="5"/>
      <c r="I45" s="5"/>
      <c r="J45" s="5"/>
      <c r="K45" s="5"/>
    </row>
    <row r="46" spans="2:16" ht="15" thickBot="1">
      <c r="B46" s="1444" t="s">
        <v>45</v>
      </c>
      <c r="C46" s="1445"/>
      <c r="D46" s="1445"/>
      <c r="E46" s="1446"/>
      <c r="F46" s="5"/>
      <c r="G46" s="5"/>
      <c r="H46" s="5"/>
      <c r="I46" s="5"/>
      <c r="J46" s="5"/>
      <c r="K46" s="5"/>
    </row>
    <row r="47" spans="2:16" ht="15" thickBot="1">
      <c r="B47" s="1434">
        <v>1</v>
      </c>
      <c r="C47" s="73"/>
      <c r="D47" s="38" t="s">
        <v>38</v>
      </c>
      <c r="E47" s="176" t="s">
        <v>521</v>
      </c>
      <c r="F47" s="5"/>
      <c r="G47" s="5"/>
      <c r="H47" s="5"/>
      <c r="I47" s="5"/>
      <c r="J47" s="5"/>
      <c r="K47" s="5"/>
    </row>
    <row r="48" spans="2:16" ht="15" thickBot="1">
      <c r="B48" s="1435"/>
      <c r="C48" s="73"/>
      <c r="D48" s="32" t="s">
        <v>39</v>
      </c>
      <c r="E48" s="176" t="s">
        <v>47</v>
      </c>
      <c r="F48" s="5"/>
      <c r="G48" s="5"/>
      <c r="H48" s="5"/>
      <c r="I48" s="5"/>
      <c r="J48" s="5"/>
      <c r="K48" s="5"/>
    </row>
    <row r="49" spans="2:11" ht="15" thickBot="1">
      <c r="B49" s="1435"/>
      <c r="C49" s="73"/>
      <c r="D49" s="32" t="s">
        <v>40</v>
      </c>
      <c r="E49" s="193"/>
      <c r="F49" s="5"/>
      <c r="G49" s="5"/>
      <c r="H49" s="5"/>
      <c r="I49" s="5"/>
      <c r="J49" s="5"/>
      <c r="K49" s="5"/>
    </row>
    <row r="50" spans="2:11" ht="15" thickBot="1">
      <c r="B50" s="1435"/>
      <c r="C50" s="73"/>
      <c r="D50" s="32" t="s">
        <v>41</v>
      </c>
      <c r="E50" s="193"/>
      <c r="F50" s="5"/>
      <c r="G50" s="5"/>
      <c r="H50" s="5"/>
      <c r="I50" s="5"/>
      <c r="J50" s="5"/>
      <c r="K50" s="5"/>
    </row>
    <row r="51" spans="2:11" ht="15" thickBot="1">
      <c r="B51" s="1435"/>
      <c r="C51" s="73"/>
      <c r="D51" s="32" t="s">
        <v>42</v>
      </c>
      <c r="E51" s="193"/>
      <c r="F51" s="5"/>
      <c r="G51" s="5"/>
      <c r="H51" s="5"/>
      <c r="I51" s="5"/>
      <c r="J51" s="5"/>
      <c r="K51" s="5"/>
    </row>
    <row r="52" spans="2:11" ht="15" thickBot="1">
      <c r="B52" s="1435"/>
      <c r="C52" s="73"/>
      <c r="D52" s="32" t="s">
        <v>43</v>
      </c>
      <c r="E52" s="193"/>
      <c r="F52" s="5"/>
      <c r="G52" s="5"/>
      <c r="H52" s="5"/>
      <c r="I52" s="5"/>
      <c r="J52" s="5"/>
      <c r="K52" s="5"/>
    </row>
    <row r="53" spans="2:11" ht="15" thickBot="1">
      <c r="B53" s="1436"/>
      <c r="C53" s="2"/>
      <c r="D53" s="32" t="s">
        <v>44</v>
      </c>
      <c r="E53" s="193"/>
      <c r="F53" s="5"/>
      <c r="G53" s="5"/>
      <c r="H53" s="5"/>
      <c r="I53" s="5"/>
      <c r="J53" s="5"/>
      <c r="K53" s="5"/>
    </row>
    <row r="54" spans="2:11">
      <c r="B54" s="1"/>
      <c r="C54" s="64"/>
      <c r="D54" s="5"/>
      <c r="E54" s="5"/>
      <c r="F54" s="5"/>
      <c r="G54" s="5"/>
      <c r="H54" s="5"/>
      <c r="I54" s="5"/>
      <c r="J54" s="5"/>
      <c r="K54" s="5"/>
    </row>
    <row r="55" spans="2:11" ht="15" thickBot="1">
      <c r="B55" s="1"/>
      <c r="C55" s="64"/>
      <c r="D55" s="5"/>
      <c r="E55" s="5"/>
      <c r="F55" s="5"/>
      <c r="G55" s="5"/>
      <c r="H55" s="5"/>
      <c r="I55" s="5"/>
      <c r="J55" s="5"/>
      <c r="K55" s="5"/>
    </row>
    <row r="56" spans="2:11" ht="15" thickBot="1">
      <c r="B56" s="1444" t="s">
        <v>48</v>
      </c>
      <c r="C56" s="1445"/>
      <c r="D56" s="1445"/>
      <c r="E56" s="1445"/>
      <c r="F56" s="1446"/>
      <c r="G56" s="5"/>
      <c r="H56" s="5"/>
      <c r="I56" s="5"/>
      <c r="J56" s="5"/>
      <c r="K56" s="5"/>
    </row>
    <row r="57" spans="2:11" ht="24.6" thickBot="1">
      <c r="B57" s="37" t="s">
        <v>49</v>
      </c>
      <c r="C57" s="32" t="s">
        <v>50</v>
      </c>
      <c r="D57" s="32" t="s">
        <v>51</v>
      </c>
      <c r="E57" s="32" t="s">
        <v>52</v>
      </c>
      <c r="F57" s="5"/>
      <c r="G57" s="5"/>
      <c r="H57" s="5"/>
      <c r="I57" s="5"/>
      <c r="J57" s="5"/>
    </row>
    <row r="58" spans="2:11" ht="72.599999999999994" thickBot="1">
      <c r="B58" s="39">
        <v>42401</v>
      </c>
      <c r="C58" s="32">
        <v>0.01</v>
      </c>
      <c r="D58" s="40" t="s">
        <v>522</v>
      </c>
      <c r="E58" s="32"/>
      <c r="F58" s="5"/>
      <c r="G58" s="5"/>
      <c r="H58" s="5"/>
      <c r="I58" s="5"/>
      <c r="J58" s="5"/>
    </row>
    <row r="59" spans="2:11" ht="15" thickBot="1">
      <c r="B59" s="3"/>
      <c r="C59" s="74"/>
      <c r="D59" s="5"/>
      <c r="E59" s="5"/>
      <c r="F59" s="5"/>
      <c r="G59" s="5"/>
      <c r="H59" s="5"/>
      <c r="I59" s="5"/>
      <c r="J59" s="5"/>
      <c r="K59" s="5"/>
    </row>
    <row r="60" spans="2:11" ht="15" thickBot="1">
      <c r="B60" s="4" t="s">
        <v>54</v>
      </c>
      <c r="C60" s="75"/>
      <c r="D60" s="5"/>
      <c r="E60" s="5"/>
      <c r="F60" s="5"/>
      <c r="G60" s="5"/>
      <c r="H60" s="5"/>
      <c r="I60" s="5"/>
      <c r="J60" s="5"/>
      <c r="K60" s="5"/>
    </row>
    <row r="61" spans="2:11" s="109" customFormat="1">
      <c r="B61" s="1563" t="s">
        <v>523</v>
      </c>
      <c r="C61" s="1564"/>
      <c r="D61" s="1564"/>
      <c r="E61" s="1564"/>
      <c r="F61" s="1564"/>
      <c r="G61" s="1564"/>
      <c r="H61" s="108"/>
      <c r="I61" s="108"/>
      <c r="J61" s="108"/>
      <c r="K61" s="108"/>
    </row>
    <row r="62" spans="2:11" s="109" customFormat="1">
      <c r="B62" s="1563" t="s">
        <v>524</v>
      </c>
      <c r="C62" s="1564"/>
      <c r="D62" s="1564"/>
      <c r="E62" s="1564"/>
      <c r="F62" s="1564"/>
      <c r="G62" s="1564"/>
      <c r="H62" s="108"/>
      <c r="I62" s="108"/>
      <c r="J62" s="108"/>
      <c r="K62" s="108"/>
    </row>
    <row r="63" spans="2:11" s="109" customFormat="1" ht="35.4" customHeight="1">
      <c r="B63" s="1600"/>
      <c r="C63" s="1601"/>
      <c r="D63" s="1601"/>
      <c r="E63" s="1601"/>
      <c r="F63" s="1601"/>
      <c r="G63" s="1601"/>
      <c r="H63" s="108"/>
      <c r="I63" s="108"/>
      <c r="J63" s="108"/>
      <c r="K63" s="108"/>
    </row>
    <row r="64" spans="2:11" ht="15" thickBot="1">
      <c r="B64" s="1"/>
      <c r="C64" s="64"/>
      <c r="D64" s="5"/>
      <c r="E64" s="5"/>
      <c r="F64" s="5"/>
      <c r="G64" s="5"/>
      <c r="H64" s="5"/>
      <c r="I64" s="5"/>
      <c r="J64" s="5"/>
      <c r="K64" s="5"/>
    </row>
    <row r="65" spans="2:11" ht="24.6" thickBot="1">
      <c r="B65" s="41" t="s">
        <v>55</v>
      </c>
      <c r="C65" s="76"/>
      <c r="D65" s="5"/>
      <c r="E65" s="5"/>
      <c r="F65" s="5"/>
      <c r="G65" s="5"/>
      <c r="H65" s="5"/>
      <c r="I65" s="5"/>
      <c r="J65" s="5"/>
      <c r="K65" s="5"/>
    </row>
    <row r="66" spans="2:11" ht="15" thickBot="1">
      <c r="B66" s="29"/>
      <c r="C66" s="67"/>
      <c r="D66" s="5"/>
      <c r="E66" s="5"/>
      <c r="F66" s="5"/>
      <c r="G66" s="5"/>
      <c r="H66" s="5"/>
      <c r="I66" s="5"/>
      <c r="J66" s="5"/>
      <c r="K66" s="5"/>
    </row>
    <row r="67" spans="2:11" ht="72.599999999999994" thickBot="1">
      <c r="B67" s="42" t="s">
        <v>56</v>
      </c>
      <c r="C67" s="77"/>
      <c r="D67" s="34" t="s">
        <v>480</v>
      </c>
      <c r="E67" s="5"/>
      <c r="F67" s="5"/>
      <c r="G67" s="5"/>
      <c r="H67" s="5"/>
      <c r="I67" s="5"/>
      <c r="J67" s="5"/>
      <c r="K67" s="5"/>
    </row>
    <row r="68" spans="2:11">
      <c r="B68" s="1434" t="s">
        <v>58</v>
      </c>
      <c r="C68" s="73"/>
      <c r="D68" s="43" t="s">
        <v>59</v>
      </c>
      <c r="E68" s="5"/>
      <c r="F68" s="5"/>
      <c r="G68" s="5"/>
      <c r="H68" s="5"/>
      <c r="I68" s="5"/>
      <c r="J68" s="5"/>
      <c r="K68" s="5"/>
    </row>
    <row r="69" spans="2:11" ht="96">
      <c r="B69" s="1435"/>
      <c r="C69" s="73"/>
      <c r="D69" s="36" t="s">
        <v>481</v>
      </c>
      <c r="E69" s="5"/>
      <c r="F69" s="5"/>
      <c r="G69" s="5"/>
      <c r="H69" s="5"/>
      <c r="I69" s="5"/>
      <c r="J69" s="5"/>
      <c r="K69" s="5"/>
    </row>
    <row r="70" spans="2:11">
      <c r="B70" s="1435"/>
      <c r="C70" s="73"/>
      <c r="D70" s="43" t="s">
        <v>62</v>
      </c>
      <c r="E70" s="5"/>
      <c r="F70" s="5"/>
      <c r="G70" s="5"/>
      <c r="H70" s="5"/>
      <c r="I70" s="5"/>
      <c r="J70" s="5"/>
      <c r="K70" s="5"/>
    </row>
    <row r="71" spans="2:11" ht="60">
      <c r="B71" s="1435"/>
      <c r="C71" s="73"/>
      <c r="D71" s="36" t="s">
        <v>482</v>
      </c>
      <c r="E71" s="5"/>
      <c r="F71" s="5"/>
      <c r="G71" s="5"/>
      <c r="H71" s="5"/>
      <c r="I71" s="5"/>
      <c r="J71" s="5"/>
      <c r="K71" s="5"/>
    </row>
    <row r="72" spans="2:11">
      <c r="B72" s="1435"/>
      <c r="C72" s="73"/>
      <c r="D72" s="36" t="s">
        <v>64</v>
      </c>
      <c r="E72" s="5"/>
      <c r="F72" s="5"/>
      <c r="G72" s="5"/>
      <c r="H72" s="5"/>
      <c r="I72" s="5"/>
      <c r="J72" s="5"/>
      <c r="K72" s="5"/>
    </row>
    <row r="73" spans="2:11">
      <c r="B73" s="1435"/>
      <c r="C73" s="73"/>
      <c r="D73" s="36" t="s">
        <v>483</v>
      </c>
      <c r="E73" s="5"/>
      <c r="F73" s="5"/>
      <c r="G73" s="5"/>
      <c r="H73" s="5"/>
      <c r="I73" s="5"/>
      <c r="J73" s="5"/>
      <c r="K73" s="5"/>
    </row>
    <row r="74" spans="2:11">
      <c r="B74" s="1435"/>
      <c r="C74" s="73"/>
      <c r="D74" s="36" t="s">
        <v>484</v>
      </c>
      <c r="E74" s="5"/>
      <c r="F74" s="5"/>
      <c r="G74" s="5"/>
      <c r="H74" s="5"/>
      <c r="I74" s="5"/>
      <c r="J74" s="5"/>
      <c r="K74" s="5"/>
    </row>
    <row r="75" spans="2:11">
      <c r="B75" s="1435"/>
      <c r="C75" s="73"/>
      <c r="D75" s="43" t="s">
        <v>287</v>
      </c>
      <c r="E75" s="5"/>
      <c r="F75" s="5"/>
      <c r="G75" s="5"/>
      <c r="H75" s="5"/>
      <c r="I75" s="5"/>
      <c r="J75" s="5"/>
      <c r="K75" s="5"/>
    </row>
    <row r="76" spans="2:11" ht="24.6" thickBot="1">
      <c r="B76" s="1436"/>
      <c r="C76" s="2"/>
      <c r="D76" s="32" t="s">
        <v>452</v>
      </c>
      <c r="E76" s="5"/>
      <c r="F76" s="5"/>
      <c r="G76" s="5"/>
      <c r="H76" s="5"/>
      <c r="I76" s="5"/>
      <c r="J76" s="5"/>
      <c r="K76" s="5"/>
    </row>
    <row r="77" spans="2:11" ht="24.6" thickBot="1">
      <c r="B77" s="37" t="s">
        <v>71</v>
      </c>
      <c r="C77" s="2"/>
      <c r="D77" s="32"/>
      <c r="E77" s="5"/>
      <c r="F77" s="5"/>
      <c r="G77" s="5"/>
      <c r="H77" s="5"/>
      <c r="I77" s="5"/>
      <c r="J77" s="5"/>
      <c r="K77" s="5"/>
    </row>
    <row r="78" spans="2:11" ht="36">
      <c r="B78" s="1434" t="s">
        <v>72</v>
      </c>
      <c r="C78" s="73"/>
      <c r="D78" s="36" t="s">
        <v>485</v>
      </c>
      <c r="E78" s="5"/>
      <c r="F78" s="5"/>
      <c r="G78" s="5"/>
      <c r="H78" s="5"/>
      <c r="I78" s="5"/>
      <c r="J78" s="5"/>
      <c r="K78" s="5"/>
    </row>
    <row r="79" spans="2:11" ht="48">
      <c r="B79" s="1435"/>
      <c r="C79" s="73"/>
      <c r="D79" s="21" t="s">
        <v>486</v>
      </c>
      <c r="E79" s="5"/>
      <c r="F79" s="5"/>
      <c r="G79" s="5"/>
      <c r="H79" s="5"/>
      <c r="I79" s="5"/>
      <c r="J79" s="5"/>
      <c r="K79" s="5"/>
    </row>
    <row r="80" spans="2:11" ht="36">
      <c r="B80" s="1435"/>
      <c r="C80" s="73"/>
      <c r="D80" s="21" t="s">
        <v>487</v>
      </c>
      <c r="E80" s="5"/>
      <c r="F80" s="5"/>
      <c r="G80" s="5"/>
      <c r="H80" s="5"/>
      <c r="I80" s="5"/>
      <c r="J80" s="5"/>
      <c r="K80" s="5"/>
    </row>
    <row r="81" spans="2:11" ht="36">
      <c r="B81" s="1435"/>
      <c r="C81" s="73"/>
      <c r="D81" s="21" t="s">
        <v>488</v>
      </c>
      <c r="E81" s="5"/>
      <c r="F81" s="5"/>
      <c r="G81" s="5"/>
      <c r="H81" s="5"/>
      <c r="I81" s="5"/>
      <c r="J81" s="5"/>
      <c r="K81" s="5"/>
    </row>
    <row r="82" spans="2:11" ht="36">
      <c r="B82" s="1435"/>
      <c r="C82" s="73"/>
      <c r="D82" s="21" t="s">
        <v>489</v>
      </c>
      <c r="E82" s="5"/>
      <c r="F82" s="5"/>
      <c r="G82" s="5"/>
      <c r="H82" s="5"/>
      <c r="I82" s="5"/>
      <c r="J82" s="5"/>
      <c r="K82" s="5"/>
    </row>
    <row r="83" spans="2:11" ht="84">
      <c r="B83" s="1435"/>
      <c r="C83" s="73"/>
      <c r="D83" s="36" t="s">
        <v>490</v>
      </c>
      <c r="E83" s="5"/>
      <c r="F83" s="5"/>
      <c r="G83" s="5"/>
      <c r="H83" s="5"/>
      <c r="I83" s="5"/>
      <c r="J83" s="5"/>
      <c r="K83" s="5"/>
    </row>
    <row r="84" spans="2:11" ht="48">
      <c r="B84" s="1435"/>
      <c r="C84" s="73"/>
      <c r="D84" s="36" t="s">
        <v>491</v>
      </c>
      <c r="E84" s="5"/>
      <c r="F84" s="5"/>
      <c r="G84" s="5"/>
      <c r="H84" s="5"/>
      <c r="I84" s="5"/>
      <c r="J84" s="5"/>
      <c r="K84" s="5"/>
    </row>
    <row r="85" spans="2:11" ht="36">
      <c r="B85" s="1435"/>
      <c r="C85" s="73"/>
      <c r="D85" s="36" t="s">
        <v>492</v>
      </c>
      <c r="E85" s="5"/>
      <c r="F85" s="5"/>
      <c r="G85" s="5"/>
      <c r="H85" s="5"/>
      <c r="I85" s="5"/>
      <c r="J85" s="5"/>
      <c r="K85" s="5"/>
    </row>
    <row r="86" spans="2:11" ht="36">
      <c r="B86" s="1435"/>
      <c r="C86" s="73"/>
      <c r="D86" s="36" t="s">
        <v>493</v>
      </c>
      <c r="E86" s="5"/>
      <c r="F86" s="5"/>
      <c r="G86" s="5"/>
      <c r="H86" s="5"/>
      <c r="I86" s="5"/>
      <c r="J86" s="5"/>
      <c r="K86" s="5"/>
    </row>
    <row r="87" spans="2:11" ht="96.6" thickBot="1">
      <c r="B87" s="1436"/>
      <c r="C87" s="2"/>
      <c r="D87" s="32" t="s">
        <v>494</v>
      </c>
      <c r="E87" s="5"/>
      <c r="F87" s="5"/>
      <c r="G87" s="5"/>
      <c r="H87" s="5"/>
      <c r="I87" s="5"/>
      <c r="J87" s="5"/>
      <c r="K87" s="5"/>
    </row>
    <row r="88" spans="2:11" ht="24">
      <c r="B88" s="1434" t="s">
        <v>89</v>
      </c>
      <c r="C88" s="73"/>
      <c r="D88" s="43" t="s">
        <v>495</v>
      </c>
      <c r="E88" s="5"/>
      <c r="F88" s="5"/>
      <c r="G88" s="5"/>
      <c r="H88" s="5"/>
      <c r="I88" s="5"/>
      <c r="J88" s="5"/>
      <c r="K88" s="5"/>
    </row>
    <row r="89" spans="2:11">
      <c r="B89" s="1435"/>
      <c r="C89" s="73"/>
      <c r="D89" s="36" t="s">
        <v>496</v>
      </c>
      <c r="E89" s="5"/>
      <c r="F89" s="5"/>
      <c r="G89" s="5"/>
      <c r="H89" s="5"/>
      <c r="I89" s="5"/>
      <c r="J89" s="5"/>
      <c r="K89" s="5"/>
    </row>
    <row r="90" spans="2:11">
      <c r="B90" s="1435"/>
      <c r="C90" s="73"/>
      <c r="D90" s="36" t="s">
        <v>90</v>
      </c>
      <c r="E90" s="5"/>
      <c r="F90" s="5"/>
      <c r="G90" s="5"/>
      <c r="H90" s="5"/>
      <c r="I90" s="5"/>
      <c r="J90" s="5"/>
      <c r="K90" s="5"/>
    </row>
    <row r="91" spans="2:11" ht="38.4">
      <c r="B91" s="1435"/>
      <c r="C91" s="73"/>
      <c r="D91" s="36" t="s">
        <v>497</v>
      </c>
      <c r="E91" s="5"/>
      <c r="F91" s="5"/>
      <c r="G91" s="5"/>
      <c r="H91" s="5"/>
      <c r="I91" s="5"/>
      <c r="J91" s="5"/>
      <c r="K91" s="5"/>
    </row>
    <row r="92" spans="2:11" ht="38.4">
      <c r="B92" s="1435"/>
      <c r="C92" s="73"/>
      <c r="D92" s="36" t="s">
        <v>498</v>
      </c>
      <c r="E92" s="5"/>
      <c r="F92" s="5"/>
      <c r="G92" s="5"/>
      <c r="H92" s="5"/>
      <c r="I92" s="5"/>
      <c r="J92" s="5"/>
      <c r="K92" s="5"/>
    </row>
    <row r="93" spans="2:11" ht="38.4">
      <c r="B93" s="1435"/>
      <c r="C93" s="73"/>
      <c r="D93" s="36" t="s">
        <v>499</v>
      </c>
      <c r="E93" s="5"/>
      <c r="F93" s="5"/>
      <c r="G93" s="5"/>
      <c r="H93" s="5"/>
      <c r="I93" s="5"/>
      <c r="J93" s="5"/>
      <c r="K93" s="5"/>
    </row>
    <row r="94" spans="2:11">
      <c r="B94" s="1435"/>
      <c r="C94" s="73"/>
      <c r="D94" s="43" t="s">
        <v>245</v>
      </c>
      <c r="E94" s="5"/>
      <c r="F94" s="5"/>
      <c r="G94" s="5"/>
      <c r="H94" s="5"/>
      <c r="I94" s="5"/>
      <c r="J94" s="5"/>
      <c r="K94" s="5"/>
    </row>
    <row r="95" spans="2:11" ht="36">
      <c r="B95" s="1435"/>
      <c r="C95" s="73"/>
      <c r="D95" s="43" t="s">
        <v>500</v>
      </c>
      <c r="E95" s="5"/>
      <c r="F95" s="5"/>
      <c r="G95" s="5"/>
      <c r="H95" s="5"/>
      <c r="I95" s="5"/>
      <c r="J95" s="5"/>
      <c r="K95" s="5"/>
    </row>
    <row r="96" spans="2:11">
      <c r="B96" s="1435"/>
      <c r="C96" s="73"/>
      <c r="D96" s="13"/>
      <c r="E96" s="5"/>
      <c r="F96" s="5"/>
      <c r="G96" s="5"/>
      <c r="H96" s="5"/>
      <c r="I96" s="5"/>
      <c r="J96" s="5"/>
      <c r="K96" s="5"/>
    </row>
    <row r="97" spans="2:11">
      <c r="B97" s="1435"/>
      <c r="C97" s="73"/>
      <c r="D97" s="36" t="s">
        <v>90</v>
      </c>
      <c r="E97" s="5"/>
      <c r="F97" s="5"/>
      <c r="G97" s="5"/>
      <c r="H97" s="5"/>
      <c r="I97" s="5"/>
      <c r="J97" s="5"/>
      <c r="K97" s="5"/>
    </row>
    <row r="98" spans="2:11" ht="38.4">
      <c r="B98" s="1435"/>
      <c r="C98" s="73"/>
      <c r="D98" s="36" t="s">
        <v>501</v>
      </c>
      <c r="E98" s="5"/>
      <c r="F98" s="5"/>
      <c r="G98" s="5"/>
      <c r="H98" s="5"/>
      <c r="I98" s="5"/>
      <c r="J98" s="5"/>
      <c r="K98" s="5"/>
    </row>
    <row r="99" spans="2:11" ht="39" thickBot="1">
      <c r="B99" s="1436"/>
      <c r="C99" s="2"/>
      <c r="D99" s="32" t="s">
        <v>502</v>
      </c>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sheetData>
  <mergeCells count="53">
    <mergeCell ref="D31:D32"/>
    <mergeCell ref="L31:L32"/>
    <mergeCell ref="I31:I32"/>
    <mergeCell ref="J31:J32"/>
    <mergeCell ref="K31:K32"/>
    <mergeCell ref="H31:H32"/>
    <mergeCell ref="B10:D10"/>
    <mergeCell ref="F10:S10"/>
    <mergeCell ref="F11:S11"/>
    <mergeCell ref="E12:R12"/>
    <mergeCell ref="E13:R13"/>
    <mergeCell ref="E29:E30"/>
    <mergeCell ref="F29:F30"/>
    <mergeCell ref="G29:G30"/>
    <mergeCell ref="J29:J30"/>
    <mergeCell ref="L29:L30"/>
    <mergeCell ref="B88:B99"/>
    <mergeCell ref="D16:D18"/>
    <mergeCell ref="E16:J16"/>
    <mergeCell ref="E17:G17"/>
    <mergeCell ref="H17:J17"/>
    <mergeCell ref="B15:B33"/>
    <mergeCell ref="D15:P15"/>
    <mergeCell ref="D23:P23"/>
    <mergeCell ref="D24:P24"/>
    <mergeCell ref="D25:P25"/>
    <mergeCell ref="D26:P26"/>
    <mergeCell ref="K16:P16"/>
    <mergeCell ref="B56:F56"/>
    <mergeCell ref="D34:P34"/>
    <mergeCell ref="B61:G61"/>
    <mergeCell ref="B62:G62"/>
    <mergeCell ref="Q15:Q18"/>
    <mergeCell ref="B68:B76"/>
    <mergeCell ref="B78:B87"/>
    <mergeCell ref="B63:G63"/>
    <mergeCell ref="B38:B44"/>
    <mergeCell ref="B46:E46"/>
    <mergeCell ref="B47:B53"/>
    <mergeCell ref="K17:M17"/>
    <mergeCell ref="N17:P17"/>
    <mergeCell ref="K29:K30"/>
    <mergeCell ref="D35:P35"/>
    <mergeCell ref="B37:E37"/>
    <mergeCell ref="D27:P27"/>
    <mergeCell ref="D28:P28"/>
    <mergeCell ref="C29:C30"/>
    <mergeCell ref="D29:D30"/>
    <mergeCell ref="A1:P1"/>
    <mergeCell ref="A2:P2"/>
    <mergeCell ref="A3:P3"/>
    <mergeCell ref="A4:D4"/>
    <mergeCell ref="A5:P5"/>
  </mergeCells>
  <conditionalFormatting sqref="E12:R12">
    <cfRule type="expression" dxfId="73" priority="1">
      <formula>E11="SI SE REPORTA"</formula>
    </cfRule>
  </conditionalFormatting>
  <conditionalFormatting sqref="F10">
    <cfRule type="notContainsBlanks" dxfId="72" priority="4">
      <formula>LEN(TRIM(F10))&gt;0</formula>
    </cfRule>
  </conditionalFormatting>
  <conditionalFormatting sqref="F11:S11">
    <cfRule type="expression" dxfId="71" priority="2">
      <formula>E11="NO SE REPORTA"</formula>
    </cfRule>
    <cfRule type="expression" dxfId="70"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9:P21" xr:uid="{00000000-0002-0000-1100-000000000000}">
      <formula1>0</formula1>
    </dataValidation>
    <dataValidation type="list" allowBlank="1" showInputMessage="1" showErrorMessage="1" sqref="E11" xr:uid="{00000000-0002-0000-1100-000002000000}">
      <formula1>REPORTE</formula1>
    </dataValidation>
    <dataValidation type="list" allowBlank="1" showInputMessage="1" showErrorMessage="1" sqref="E10" xr:uid="{00000000-0002-0000-1100-000003000000}">
      <formula1>SI</formula1>
    </dataValidation>
    <dataValidation type="whole" operator="greaterThanOrEqual" allowBlank="1" showInputMessage="1" showErrorMessage="1" errorTitle="ERROR" error="Valor en PESOS (sin centavos)" sqref="H31:K31" xr:uid="{00000000-0002-0000-1100-000001000000}">
      <formula1>0</formula1>
    </dataValidation>
  </dataValidations>
  <hyperlinks>
    <hyperlink ref="B9" location="'ANEXO 3'!A1" display="VOLVER AL INDICE" xr:uid="{00000000-0004-0000-1100-000000000000}"/>
    <hyperlink ref="E42" r:id="rId1" xr:uid="{00000000-0004-0000-1100-000001000000}"/>
  </hyperlinks>
  <pageMargins left="0.25" right="0.25" top="0.75" bottom="0.75" header="0.3" footer="0.3"/>
  <pageSetup paperSize="178" orientation="landscape" horizontalDpi="1200" verticalDpi="1200" r:id="rId2"/>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4">
    <tabColor rgb="FF92D050"/>
  </sheetPr>
  <dimension ref="A1:U173"/>
  <sheetViews>
    <sheetView showGridLines="0" topLeftCell="A28" zoomScale="98" zoomScaleNormal="98" workbookViewId="0">
      <selection activeCell="D19" sqref="D19"/>
    </sheetView>
  </sheetViews>
  <sheetFormatPr baseColWidth="10" defaultRowHeight="14.4"/>
  <cols>
    <col min="1" max="1" width="1.88671875" customWidth="1"/>
    <col min="2" max="2" width="12.88671875" customWidth="1"/>
    <col min="3" max="3" width="6.6640625" style="66" customWidth="1"/>
    <col min="4" max="4" width="34.88671875" customWidth="1"/>
    <col min="5" max="5" width="18.88671875" customWidth="1"/>
    <col min="6" max="6" width="10.5546875" customWidth="1"/>
    <col min="7" max="7" width="13.33203125" customWidth="1"/>
    <col min="8" max="8" width="12.6640625" customWidth="1"/>
    <col min="9" max="9" width="12.109375" customWidth="1"/>
    <col min="10" max="10" width="13.88671875" customWidth="1"/>
    <col min="11" max="11" width="14.44140625" bestFit="1" customWidth="1"/>
    <col min="12" max="12" width="61.1093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525</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4" t="s">
        <v>1178</v>
      </c>
      <c r="C8" s="564">
        <v>2023</v>
      </c>
      <c r="D8" s="170">
        <f>IF(E10="NO APLICA","NO APLICA",IF(E11="NO SE REPORTA","SIN INFORMACION",+K21))</f>
        <v>1</v>
      </c>
      <c r="E8" s="167"/>
      <c r="F8" s="5" t="s">
        <v>129</v>
      </c>
      <c r="G8" s="5"/>
      <c r="H8" s="5"/>
      <c r="I8" s="5"/>
      <c r="J8" s="5"/>
      <c r="K8" s="5"/>
    </row>
    <row r="9" spans="1:21">
      <c r="B9" s="298" t="s">
        <v>1179</v>
      </c>
      <c r="C9" s="67"/>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23.4" customHeight="1">
      <c r="B12" s="298"/>
      <c r="C12" s="67"/>
      <c r="D12" s="144" t="str">
        <f>IF(E11="SI SE REPORTA","¿Qué programas o proyectos del Plan de Acción están asociados al indicador? ","")</f>
        <v xml:space="preserve">¿Qué programas o proyectos del Plan de Acción están asociados al indicador? </v>
      </c>
      <c r="E12" s="1535" t="s">
        <v>1906</v>
      </c>
      <c r="F12" s="1535"/>
      <c r="G12" s="1535"/>
      <c r="H12" s="1535"/>
      <c r="I12" s="1535"/>
      <c r="J12" s="1535"/>
      <c r="K12" s="1535"/>
      <c r="L12" s="1535"/>
      <c r="M12" s="1535"/>
      <c r="N12" s="1535"/>
      <c r="O12" s="1535"/>
      <c r="P12" s="1535"/>
      <c r="Q12" s="1535"/>
      <c r="R12" s="1535"/>
    </row>
    <row r="13" spans="1:21" ht="147" customHeight="1">
      <c r="B13" s="298"/>
      <c r="C13" s="67"/>
      <c r="D13" s="144" t="s">
        <v>1236</v>
      </c>
      <c r="E13" s="1408" t="s">
        <v>1921</v>
      </c>
      <c r="F13" s="1409"/>
      <c r="G13" s="1409"/>
      <c r="H13" s="1409"/>
      <c r="I13" s="1409"/>
      <c r="J13" s="1409"/>
      <c r="K13" s="1409"/>
      <c r="L13" s="1409"/>
      <c r="M13" s="1409"/>
      <c r="N13" s="1409"/>
      <c r="O13" s="1409"/>
      <c r="P13" s="1409"/>
      <c r="Q13" s="1409"/>
      <c r="R13" s="1410"/>
    </row>
    <row r="14" spans="1:21" ht="6.9" customHeight="1" thickBot="1">
      <c r="B14" s="298"/>
      <c r="C14" s="67"/>
      <c r="D14" s="5"/>
      <c r="E14" s="5"/>
      <c r="F14" s="5"/>
      <c r="G14" s="5"/>
      <c r="H14" s="5"/>
      <c r="I14" s="5"/>
      <c r="J14" s="5"/>
      <c r="K14" s="5"/>
    </row>
    <row r="15" spans="1:21" ht="15" thickBot="1">
      <c r="B15" s="1612" t="s">
        <v>2</v>
      </c>
      <c r="C15" s="81"/>
      <c r="D15" s="1425" t="s">
        <v>335</v>
      </c>
      <c r="E15" s="1426"/>
      <c r="F15" s="1426"/>
      <c r="G15" s="1426"/>
      <c r="H15" s="1426"/>
      <c r="I15" s="1426"/>
      <c r="J15" s="1426"/>
      <c r="K15" s="1426"/>
      <c r="L15" s="1596"/>
    </row>
    <row r="16" spans="1:21" ht="15" thickBot="1">
      <c r="B16" s="1613"/>
      <c r="C16" s="87"/>
      <c r="D16" s="1427"/>
      <c r="E16" s="1630" t="s">
        <v>545</v>
      </c>
      <c r="F16" s="1631"/>
      <c r="G16" s="1632"/>
      <c r="H16" s="1630" t="s">
        <v>546</v>
      </c>
      <c r="I16" s="1631"/>
      <c r="J16" s="1632"/>
      <c r="K16" s="1434" t="s">
        <v>465</v>
      </c>
      <c r="L16" s="10"/>
    </row>
    <row r="17" spans="2:12" ht="15" thickBot="1">
      <c r="B17" s="1613"/>
      <c r="C17" s="87"/>
      <c r="D17" s="1449"/>
      <c r="E17" s="55" t="s">
        <v>505</v>
      </c>
      <c r="F17" s="55" t="s">
        <v>506</v>
      </c>
      <c r="G17" s="55" t="s">
        <v>547</v>
      </c>
      <c r="H17" s="55" t="s">
        <v>505</v>
      </c>
      <c r="I17" s="55" t="s">
        <v>506</v>
      </c>
      <c r="J17" s="55" t="s">
        <v>547</v>
      </c>
      <c r="K17" s="1436"/>
      <c r="L17" s="10"/>
    </row>
    <row r="18" spans="2:12" ht="33" customHeight="1" thickBot="1">
      <c r="B18" s="1613"/>
      <c r="C18" s="87"/>
      <c r="D18" s="32" t="s">
        <v>548</v>
      </c>
      <c r="E18" s="509">
        <v>1</v>
      </c>
      <c r="F18" s="509">
        <v>2</v>
      </c>
      <c r="G18" s="519">
        <f>+E18+F18</f>
        <v>3</v>
      </c>
      <c r="H18" s="509">
        <v>0</v>
      </c>
      <c r="I18" s="509">
        <v>3</v>
      </c>
      <c r="J18" s="519">
        <f>+H18+I18</f>
        <v>3</v>
      </c>
      <c r="K18" s="1290">
        <f>+G18+J18</f>
        <v>6</v>
      </c>
      <c r="L18" s="576"/>
    </row>
    <row r="19" spans="2:12" ht="24.6" thickBot="1">
      <c r="B19" s="1613"/>
      <c r="C19" s="87"/>
      <c r="D19" s="537" t="s">
        <v>549</v>
      </c>
      <c r="E19" s="509">
        <v>2</v>
      </c>
      <c r="F19" s="509"/>
      <c r="G19" s="519">
        <f>+E19+F19</f>
        <v>2</v>
      </c>
      <c r="H19" s="509">
        <v>0</v>
      </c>
      <c r="I19" s="509">
        <v>0</v>
      </c>
      <c r="J19" s="519">
        <f>+H19+I19</f>
        <v>0</v>
      </c>
      <c r="K19" s="519">
        <f>+G19+J19</f>
        <v>2</v>
      </c>
      <c r="L19" s="556"/>
    </row>
    <row r="20" spans="2:12" ht="24.6" thickBot="1">
      <c r="B20" s="1613"/>
      <c r="C20" s="87"/>
      <c r="D20" s="537" t="s">
        <v>550</v>
      </c>
      <c r="E20" s="509">
        <v>2</v>
      </c>
      <c r="F20" s="509"/>
      <c r="G20" s="519">
        <f>+E20+F20</f>
        <v>2</v>
      </c>
      <c r="H20" s="509">
        <v>0</v>
      </c>
      <c r="I20" s="509">
        <v>0</v>
      </c>
      <c r="J20" s="519">
        <f>+H20+I20</f>
        <v>0</v>
      </c>
      <c r="K20" s="519">
        <f>+G20+J20</f>
        <v>2</v>
      </c>
      <c r="L20" s="10"/>
    </row>
    <row r="21" spans="2:12" ht="24.6" thickBot="1">
      <c r="B21" s="1613"/>
      <c r="C21" s="87"/>
      <c r="D21" s="32" t="s">
        <v>525</v>
      </c>
      <c r="E21" s="487">
        <f>IFERROR(E20/E19,"N.A.")</f>
        <v>1</v>
      </c>
      <c r="F21" s="487" t="str">
        <f t="shared" ref="F21:K21" si="0">IFERROR(F20/F19,"N.A.")</f>
        <v>N.A.</v>
      </c>
      <c r="G21" s="487">
        <f t="shared" si="0"/>
        <v>1</v>
      </c>
      <c r="H21" s="487" t="str">
        <f t="shared" si="0"/>
        <v>N.A.</v>
      </c>
      <c r="I21" s="487" t="str">
        <f t="shared" si="0"/>
        <v>N.A.</v>
      </c>
      <c r="J21" s="120" t="str">
        <f t="shared" si="0"/>
        <v>N.A.</v>
      </c>
      <c r="K21" s="120">
        <f t="shared" si="0"/>
        <v>1</v>
      </c>
      <c r="L21" s="10"/>
    </row>
    <row r="22" spans="2:12">
      <c r="B22" s="1613"/>
      <c r="C22" s="82"/>
      <c r="D22" s="1416"/>
      <c r="E22" s="1417"/>
      <c r="F22" s="1417"/>
      <c r="G22" s="1417"/>
      <c r="H22" s="1417"/>
      <c r="I22" s="1417"/>
      <c r="J22" s="1417"/>
      <c r="K22" s="1417"/>
      <c r="L22" s="1579"/>
    </row>
    <row r="23" spans="2:12">
      <c r="B23" s="1613"/>
      <c r="C23" s="82"/>
      <c r="D23" s="1428" t="s">
        <v>245</v>
      </c>
      <c r="E23" s="1429"/>
      <c r="F23" s="1429"/>
      <c r="G23" s="1429"/>
      <c r="H23" s="1429"/>
      <c r="I23" s="1429"/>
      <c r="J23" s="1429"/>
      <c r="K23" s="1429"/>
      <c r="L23" s="1580"/>
    </row>
    <row r="24" spans="2:12">
      <c r="B24" s="1613"/>
      <c r="C24" s="82"/>
      <c r="D24" s="1428" t="s">
        <v>551</v>
      </c>
      <c r="E24" s="1429"/>
      <c r="F24" s="1429"/>
      <c r="G24" s="1429"/>
      <c r="H24" s="1429"/>
      <c r="I24" s="1429"/>
      <c r="J24" s="1429"/>
      <c r="K24" s="1429"/>
      <c r="L24" s="1580"/>
    </row>
    <row r="25" spans="2:12" ht="15" thickBot="1">
      <c r="B25" s="1613"/>
      <c r="C25" s="82"/>
      <c r="D25" s="1447" t="s">
        <v>339</v>
      </c>
      <c r="E25" s="1448"/>
      <c r="F25" s="1448"/>
      <c r="G25" s="1448"/>
      <c r="H25" s="1448"/>
      <c r="I25" s="1448"/>
      <c r="J25" s="1448"/>
      <c r="K25" s="1448"/>
      <c r="L25" s="1581"/>
    </row>
    <row r="26" spans="2:12" ht="21" customHeight="1">
      <c r="B26" s="1613"/>
      <c r="C26" s="1537" t="s">
        <v>18</v>
      </c>
      <c r="D26" s="1624" t="s">
        <v>269</v>
      </c>
      <c r="E26" s="1626" t="s">
        <v>517</v>
      </c>
      <c r="F26" s="1626" t="s">
        <v>518</v>
      </c>
      <c r="G26" s="1626" t="s">
        <v>519</v>
      </c>
      <c r="H26" s="573" t="s">
        <v>472</v>
      </c>
      <c r="I26" s="573" t="s">
        <v>474</v>
      </c>
      <c r="J26" s="1628" t="s">
        <v>273</v>
      </c>
      <c r="K26" s="1628" t="s">
        <v>274</v>
      </c>
      <c r="L26" s="1628" t="s">
        <v>54</v>
      </c>
    </row>
    <row r="27" spans="2:12" ht="15" thickBot="1">
      <c r="B27" s="1613"/>
      <c r="C27" s="1538"/>
      <c r="D27" s="1625"/>
      <c r="E27" s="1627"/>
      <c r="F27" s="1627"/>
      <c r="G27" s="1627"/>
      <c r="H27" s="574" t="s">
        <v>473</v>
      </c>
      <c r="I27" s="574" t="s">
        <v>475</v>
      </c>
      <c r="J27" s="1629"/>
      <c r="K27" s="1629"/>
      <c r="L27" s="1629"/>
    </row>
    <row r="28" spans="2:12" ht="202.2" customHeight="1" thickBot="1">
      <c r="B28" s="1613"/>
      <c r="C28" s="222"/>
      <c r="D28" s="520" t="s">
        <v>1839</v>
      </c>
      <c r="E28" s="521" t="s">
        <v>1916</v>
      </c>
      <c r="F28" s="505" t="s">
        <v>1917</v>
      </c>
      <c r="G28" s="810" t="s">
        <v>2014</v>
      </c>
      <c r="H28" s="805">
        <v>300000000</v>
      </c>
      <c r="I28" s="805">
        <v>300000000</v>
      </c>
      <c r="J28" s="805">
        <v>300000000</v>
      </c>
      <c r="K28" s="805">
        <v>251570056</v>
      </c>
      <c r="L28" s="1298" t="s">
        <v>2655</v>
      </c>
    </row>
    <row r="29" spans="2:12" ht="26.25" customHeight="1" thickBot="1">
      <c r="B29" s="1613"/>
      <c r="C29" s="222"/>
      <c r="D29" s="25"/>
      <c r="E29" s="25"/>
      <c r="F29" s="25"/>
      <c r="G29" s="25"/>
      <c r="H29" s="163"/>
      <c r="I29" s="163"/>
      <c r="J29" s="163"/>
      <c r="K29" s="163"/>
      <c r="L29" s="163"/>
    </row>
    <row r="30" spans="2:12" s="314" customFormat="1" ht="29.25" customHeight="1" thickBot="1">
      <c r="B30" s="1614"/>
      <c r="C30" s="158"/>
      <c r="D30" s="569"/>
      <c r="E30" s="497" t="s">
        <v>150</v>
      </c>
      <c r="F30" s="569"/>
      <c r="G30" s="569"/>
      <c r="H30" s="813">
        <f>SUM(H28:H29)</f>
        <v>300000000</v>
      </c>
      <c r="I30" s="813">
        <f>SUM(I28:I29)</f>
        <v>300000000</v>
      </c>
      <c r="J30" s="813">
        <f>SUM(J28:J29)</f>
        <v>300000000</v>
      </c>
      <c r="K30" s="813">
        <f>SUM(K28:K29)</f>
        <v>251570056</v>
      </c>
      <c r="L30" s="510"/>
    </row>
    <row r="31" spans="2:12" ht="36" customHeight="1" thickBot="1">
      <c r="B31" s="61" t="s">
        <v>33</v>
      </c>
      <c r="C31" s="86"/>
      <c r="D31" s="1437" t="s">
        <v>552</v>
      </c>
      <c r="E31" s="1438"/>
      <c r="F31" s="1438"/>
      <c r="G31" s="1438"/>
      <c r="H31" s="1438"/>
      <c r="I31" s="1438"/>
      <c r="J31" s="1438"/>
      <c r="K31" s="1438"/>
      <c r="L31" s="1578"/>
    </row>
    <row r="32" spans="2:12" ht="24" customHeight="1" thickBot="1">
      <c r="B32" s="61" t="s">
        <v>35</v>
      </c>
      <c r="C32" s="86"/>
      <c r="D32" s="1437" t="s">
        <v>553</v>
      </c>
      <c r="E32" s="1438"/>
      <c r="F32" s="1438"/>
      <c r="G32" s="1438"/>
      <c r="H32" s="1438"/>
      <c r="I32" s="1438"/>
      <c r="J32" s="1438"/>
      <c r="K32" s="1438"/>
      <c r="L32" s="1578"/>
    </row>
    <row r="33" spans="2:11" ht="15" thickBot="1">
      <c r="B33" s="1"/>
      <c r="C33" s="64"/>
      <c r="D33" s="5"/>
      <c r="E33" s="5"/>
      <c r="F33" s="5"/>
      <c r="G33" s="5"/>
      <c r="H33" s="5"/>
      <c r="I33" s="5"/>
      <c r="J33" s="5"/>
      <c r="K33" s="5"/>
    </row>
    <row r="34" spans="2:11" ht="24" customHeight="1" thickBot="1">
      <c r="B34" s="1444" t="s">
        <v>37</v>
      </c>
      <c r="C34" s="1445"/>
      <c r="D34" s="1445"/>
      <c r="E34" s="1446"/>
      <c r="F34" s="5"/>
      <c r="G34" s="5"/>
      <c r="H34" s="5"/>
      <c r="I34" s="5"/>
      <c r="J34" s="5"/>
      <c r="K34" s="5"/>
    </row>
    <row r="35" spans="2:11" ht="15" thickBot="1">
      <c r="B35" s="1434">
        <v>1</v>
      </c>
      <c r="C35" s="73"/>
      <c r="D35" s="38" t="s">
        <v>38</v>
      </c>
      <c r="E35" s="25" t="s">
        <v>1811</v>
      </c>
      <c r="F35" s="5"/>
      <c r="G35" s="5"/>
      <c r="H35" s="5"/>
      <c r="I35" s="5"/>
      <c r="J35" s="5"/>
      <c r="K35" s="5"/>
    </row>
    <row r="36" spans="2:11" ht="24.6" thickBot="1">
      <c r="B36" s="1435"/>
      <c r="C36" s="73"/>
      <c r="D36" s="32" t="s">
        <v>39</v>
      </c>
      <c r="E36" s="24" t="s">
        <v>1820</v>
      </c>
      <c r="F36" s="5"/>
      <c r="G36" s="5"/>
      <c r="H36" s="5"/>
      <c r="I36" s="5"/>
      <c r="J36" s="5"/>
      <c r="K36" s="5"/>
    </row>
    <row r="37" spans="2:11" ht="15" thickBot="1">
      <c r="B37" s="1435"/>
      <c r="C37" s="73"/>
      <c r="D37" s="32" t="s">
        <v>40</v>
      </c>
      <c r="E37" s="24" t="s">
        <v>2015</v>
      </c>
      <c r="F37" s="5"/>
      <c r="G37" s="5"/>
      <c r="H37" s="5"/>
      <c r="I37" s="5"/>
      <c r="J37" s="5"/>
      <c r="K37" s="5"/>
    </row>
    <row r="38" spans="2:11" ht="15" thickBot="1">
      <c r="B38" s="1435"/>
      <c r="C38" s="73"/>
      <c r="D38" s="32" t="s">
        <v>41</v>
      </c>
      <c r="E38" s="24" t="s">
        <v>2028</v>
      </c>
      <c r="F38" s="5"/>
      <c r="G38" s="5"/>
      <c r="H38" s="5"/>
      <c r="I38" s="5"/>
      <c r="J38" s="5"/>
      <c r="K38" s="5"/>
    </row>
    <row r="39" spans="2:11" ht="29.4" thickBot="1">
      <c r="B39" s="1435"/>
      <c r="C39" s="73"/>
      <c r="D39" s="32" t="s">
        <v>42</v>
      </c>
      <c r="E39" s="504" t="s">
        <v>1821</v>
      </c>
      <c r="F39" s="5"/>
      <c r="G39" s="5"/>
      <c r="H39" s="5"/>
      <c r="I39" s="5"/>
      <c r="J39" s="5"/>
      <c r="K39" s="5"/>
    </row>
    <row r="40" spans="2:11" ht="15" thickBot="1">
      <c r="B40" s="1435"/>
      <c r="C40" s="73"/>
      <c r="D40" s="32" t="s">
        <v>43</v>
      </c>
      <c r="E40" s="24" t="s">
        <v>1822</v>
      </c>
      <c r="F40" s="5"/>
      <c r="G40" s="5"/>
      <c r="H40" s="5"/>
      <c r="I40" s="5"/>
      <c r="J40" s="5"/>
      <c r="K40" s="5"/>
    </row>
    <row r="41" spans="2:11" ht="15" thickBot="1">
      <c r="B41" s="1436"/>
      <c r="C41" s="2"/>
      <c r="D41" s="32" t="s">
        <v>44</v>
      </c>
      <c r="E41" s="24" t="s">
        <v>1814</v>
      </c>
      <c r="F41" s="5"/>
      <c r="G41" s="5"/>
      <c r="H41" s="5"/>
      <c r="I41" s="5"/>
      <c r="J41" s="5"/>
      <c r="K41" s="5"/>
    </row>
    <row r="42" spans="2:11" ht="15" thickBot="1">
      <c r="B42" s="1"/>
      <c r="C42" s="64"/>
      <c r="D42" s="5"/>
      <c r="E42" s="5"/>
      <c r="F42" s="5"/>
      <c r="G42" s="5"/>
      <c r="H42" s="5"/>
      <c r="I42" s="5"/>
      <c r="J42" s="5"/>
      <c r="K42" s="5"/>
    </row>
    <row r="43" spans="2:11" ht="15" thickBot="1">
      <c r="B43" s="1444" t="s">
        <v>45</v>
      </c>
      <c r="C43" s="1445"/>
      <c r="D43" s="1445"/>
      <c r="E43" s="1446"/>
      <c r="F43" s="5"/>
      <c r="G43" s="5"/>
      <c r="H43" s="5"/>
      <c r="I43" s="5"/>
      <c r="J43" s="5"/>
      <c r="K43" s="5"/>
    </row>
    <row r="44" spans="2:11" ht="15" thickBot="1">
      <c r="B44" s="1434">
        <v>1</v>
      </c>
      <c r="C44" s="73"/>
      <c r="D44" s="38" t="s">
        <v>38</v>
      </c>
      <c r="E44" s="176" t="s">
        <v>46</v>
      </c>
      <c r="F44" s="5"/>
      <c r="G44" s="5"/>
      <c r="H44" s="5"/>
      <c r="I44" s="5"/>
      <c r="J44" s="5"/>
      <c r="K44" s="5"/>
    </row>
    <row r="45" spans="2:11" ht="15" thickBot="1">
      <c r="B45" s="1435"/>
      <c r="C45" s="73"/>
      <c r="D45" s="32" t="s">
        <v>39</v>
      </c>
      <c r="E45" s="176" t="s">
        <v>47</v>
      </c>
      <c r="F45" s="5"/>
      <c r="G45" s="5"/>
      <c r="H45" s="5"/>
      <c r="I45" s="5"/>
      <c r="J45" s="5"/>
      <c r="K45" s="5"/>
    </row>
    <row r="46" spans="2:11" ht="15" thickBot="1">
      <c r="B46" s="1435"/>
      <c r="C46" s="73"/>
      <c r="D46" s="32" t="s">
        <v>40</v>
      </c>
      <c r="E46" s="193"/>
      <c r="F46" s="5"/>
      <c r="G46" s="5"/>
      <c r="H46" s="5"/>
      <c r="I46" s="5"/>
      <c r="J46" s="5"/>
      <c r="K46" s="5"/>
    </row>
    <row r="47" spans="2:11" ht="15" thickBot="1">
      <c r="B47" s="1435"/>
      <c r="C47" s="73"/>
      <c r="D47" s="32" t="s">
        <v>41</v>
      </c>
      <c r="E47" s="193"/>
      <c r="F47" s="5"/>
      <c r="G47" s="5"/>
      <c r="H47" s="5"/>
      <c r="I47" s="5"/>
      <c r="J47" s="5"/>
      <c r="K47" s="5"/>
    </row>
    <row r="48" spans="2:11" ht="15" thickBot="1">
      <c r="B48" s="1435"/>
      <c r="C48" s="73"/>
      <c r="D48" s="32" t="s">
        <v>42</v>
      </c>
      <c r="E48" s="193"/>
      <c r="F48" s="5"/>
      <c r="G48" s="5"/>
      <c r="H48" s="5"/>
      <c r="I48" s="5"/>
      <c r="J48" s="5"/>
      <c r="K48" s="5"/>
    </row>
    <row r="49" spans="2:11" ht="15" thickBot="1">
      <c r="B49" s="1435"/>
      <c r="C49" s="73"/>
      <c r="D49" s="32" t="s">
        <v>43</v>
      </c>
      <c r="E49" s="193"/>
      <c r="F49" s="5"/>
      <c r="G49" s="5"/>
      <c r="H49" s="5"/>
      <c r="I49" s="5"/>
      <c r="J49" s="5"/>
      <c r="K49" s="5"/>
    </row>
    <row r="50" spans="2:11" ht="15" thickBot="1">
      <c r="B50" s="1436"/>
      <c r="C50" s="2"/>
      <c r="D50" s="32" t="s">
        <v>44</v>
      </c>
      <c r="E50" s="193"/>
      <c r="F50" s="5"/>
      <c r="G50" s="5"/>
      <c r="H50" s="5"/>
      <c r="I50" s="5"/>
      <c r="J50" s="5"/>
      <c r="K50" s="5"/>
    </row>
    <row r="51" spans="2:11" ht="15" thickBot="1">
      <c r="B51" s="1"/>
      <c r="C51" s="64"/>
      <c r="D51" s="5"/>
      <c r="E51" s="5"/>
      <c r="F51" s="5"/>
      <c r="G51" s="5"/>
      <c r="H51" s="5"/>
      <c r="I51" s="5"/>
      <c r="J51" s="5"/>
      <c r="K51" s="5"/>
    </row>
    <row r="52" spans="2:11" ht="15" customHeight="1" thickBot="1">
      <c r="B52" s="97" t="s">
        <v>48</v>
      </c>
      <c r="C52" s="98"/>
      <c r="D52" s="98"/>
      <c r="E52" s="99"/>
      <c r="G52" s="5"/>
      <c r="H52" s="5"/>
      <c r="I52" s="5"/>
      <c r="J52" s="5"/>
      <c r="K52" s="5"/>
    </row>
    <row r="53" spans="2:11" ht="24.6" thickBot="1">
      <c r="B53" s="37" t="s">
        <v>49</v>
      </c>
      <c r="C53" s="32" t="s">
        <v>50</v>
      </c>
      <c r="D53" s="32" t="s">
        <v>51</v>
      </c>
      <c r="E53" s="32" t="s">
        <v>52</v>
      </c>
      <c r="F53" s="5"/>
      <c r="G53" s="5"/>
      <c r="H53" s="5"/>
      <c r="I53" s="5"/>
      <c r="J53" s="5"/>
    </row>
    <row r="54" spans="2:11" ht="72.599999999999994" thickBot="1">
      <c r="B54" s="39">
        <v>42401</v>
      </c>
      <c r="C54" s="32">
        <v>0.01</v>
      </c>
      <c r="D54" s="40" t="s">
        <v>554</v>
      </c>
      <c r="E54" s="32"/>
      <c r="F54" s="5"/>
      <c r="G54" s="5"/>
      <c r="H54" s="5"/>
      <c r="I54" s="5"/>
      <c r="J54" s="5"/>
    </row>
    <row r="55" spans="2:11" ht="15" thickBot="1">
      <c r="B55" s="3"/>
      <c r="C55" s="74"/>
      <c r="D55" s="5"/>
      <c r="E55" s="5"/>
      <c r="F55" s="5"/>
      <c r="G55" s="5"/>
      <c r="H55" s="5"/>
      <c r="I55" s="5"/>
      <c r="J55" s="5"/>
      <c r="K55" s="5"/>
    </row>
    <row r="56" spans="2:11">
      <c r="B56" s="106" t="s">
        <v>54</v>
      </c>
      <c r="C56" s="75"/>
      <c r="D56" s="5"/>
      <c r="E56" s="5"/>
      <c r="F56" s="5"/>
      <c r="G56" s="5"/>
      <c r="H56" s="5"/>
      <c r="I56" s="5"/>
      <c r="J56" s="5"/>
      <c r="K56" s="5"/>
    </row>
    <row r="57" spans="2:11" ht="81" customHeight="1">
      <c r="B57" s="1633" t="s">
        <v>555</v>
      </c>
      <c r="C57" s="1634"/>
      <c r="D57" s="1635"/>
      <c r="E57" s="5"/>
      <c r="F57" s="5"/>
      <c r="G57" s="5"/>
      <c r="H57" s="5"/>
      <c r="I57" s="5"/>
      <c r="J57" s="5"/>
      <c r="K57" s="5"/>
    </row>
    <row r="58" spans="2:11">
      <c r="B58" s="1636"/>
      <c r="C58" s="1637"/>
      <c r="D58" s="1638"/>
      <c r="E58" s="5"/>
      <c r="F58" s="5"/>
      <c r="G58" s="5"/>
      <c r="H58" s="5"/>
      <c r="I58" s="5"/>
      <c r="J58" s="5"/>
      <c r="K58" s="5"/>
    </row>
    <row r="59" spans="2:11">
      <c r="B59" s="1"/>
      <c r="C59" s="64"/>
      <c r="D59" s="5"/>
      <c r="E59" s="5"/>
      <c r="F59" s="5"/>
      <c r="G59" s="5"/>
      <c r="H59" s="5"/>
      <c r="I59" s="5"/>
      <c r="J59" s="5"/>
      <c r="K59" s="5"/>
    </row>
    <row r="60" spans="2:11" ht="15" thickBot="1">
      <c r="B60" s="5"/>
      <c r="D60" s="5"/>
      <c r="E60" s="5"/>
      <c r="F60" s="5"/>
      <c r="G60" s="5"/>
      <c r="H60" s="5"/>
      <c r="I60" s="5"/>
      <c r="J60" s="5"/>
      <c r="K60" s="5"/>
    </row>
    <row r="61" spans="2:11" ht="24.6" thickBot="1">
      <c r="B61" s="41" t="s">
        <v>449</v>
      </c>
      <c r="C61" s="76"/>
      <c r="D61" s="5"/>
      <c r="E61" s="5"/>
      <c r="F61" s="5"/>
      <c r="G61" s="5"/>
      <c r="H61" s="5"/>
      <c r="I61" s="5"/>
      <c r="J61" s="5"/>
      <c r="K61" s="5"/>
    </row>
    <row r="62" spans="2:11" ht="15" thickBot="1">
      <c r="B62" s="29"/>
      <c r="C62" s="67"/>
      <c r="D62" s="5"/>
      <c r="E62" s="5"/>
      <c r="F62" s="5"/>
      <c r="G62" s="5"/>
      <c r="H62" s="5"/>
      <c r="I62" s="5"/>
      <c r="J62" s="5"/>
      <c r="K62" s="5"/>
    </row>
    <row r="63" spans="2:11" ht="72.599999999999994" thickBot="1">
      <c r="B63" s="42" t="s">
        <v>56</v>
      </c>
      <c r="C63" s="77"/>
      <c r="D63" s="34" t="s">
        <v>526</v>
      </c>
      <c r="E63" s="5"/>
      <c r="F63" s="5"/>
      <c r="G63" s="5"/>
      <c r="H63" s="5"/>
      <c r="I63" s="5"/>
      <c r="J63" s="5"/>
      <c r="K63" s="5"/>
    </row>
    <row r="64" spans="2:11">
      <c r="B64" s="1434" t="s">
        <v>58</v>
      </c>
      <c r="C64" s="73"/>
      <c r="D64" s="43" t="s">
        <v>59</v>
      </c>
      <c r="E64" s="5"/>
      <c r="F64" s="5"/>
      <c r="G64" s="5"/>
      <c r="H64" s="5"/>
      <c r="I64" s="5"/>
      <c r="J64" s="5"/>
      <c r="K64" s="5"/>
    </row>
    <row r="65" spans="2:11" ht="96">
      <c r="B65" s="1435"/>
      <c r="C65" s="73"/>
      <c r="D65" s="36" t="s">
        <v>527</v>
      </c>
      <c r="E65" s="5"/>
      <c r="F65" s="5"/>
      <c r="G65" s="5"/>
      <c r="H65" s="5"/>
      <c r="I65" s="5"/>
      <c r="J65" s="5"/>
      <c r="K65" s="5"/>
    </row>
    <row r="66" spans="2:11">
      <c r="B66" s="1435"/>
      <c r="C66" s="73"/>
      <c r="D66" s="43" t="s">
        <v>62</v>
      </c>
      <c r="E66" s="5"/>
      <c r="F66" s="5"/>
      <c r="G66" s="5"/>
      <c r="H66" s="5"/>
      <c r="I66" s="5"/>
      <c r="J66" s="5"/>
      <c r="K66" s="5"/>
    </row>
    <row r="67" spans="2:11">
      <c r="B67" s="1435"/>
      <c r="C67" s="73"/>
      <c r="D67" s="36" t="s">
        <v>164</v>
      </c>
      <c r="E67" s="5"/>
      <c r="F67" s="5"/>
      <c r="G67" s="5"/>
      <c r="H67" s="5"/>
      <c r="I67" s="5"/>
      <c r="J67" s="5"/>
      <c r="K67" s="5"/>
    </row>
    <row r="68" spans="2:11" ht="24">
      <c r="B68" s="1435"/>
      <c r="C68" s="73"/>
      <c r="D68" s="36" t="s">
        <v>528</v>
      </c>
      <c r="E68" s="5"/>
      <c r="F68" s="5"/>
      <c r="G68" s="5"/>
      <c r="H68" s="5"/>
      <c r="I68" s="5"/>
      <c r="J68" s="5"/>
      <c r="K68" s="5"/>
    </row>
    <row r="69" spans="2:11">
      <c r="B69" s="1435"/>
      <c r="C69" s="73"/>
      <c r="D69" s="36" t="s">
        <v>529</v>
      </c>
      <c r="E69" s="5"/>
      <c r="F69" s="5"/>
      <c r="G69" s="5"/>
      <c r="H69" s="5"/>
      <c r="I69" s="5"/>
      <c r="J69" s="5"/>
      <c r="K69" s="5"/>
    </row>
    <row r="70" spans="2:11">
      <c r="B70" s="1435"/>
      <c r="C70" s="73"/>
      <c r="D70" s="36" t="s">
        <v>530</v>
      </c>
      <c r="E70" s="5"/>
      <c r="F70" s="5"/>
      <c r="G70" s="5"/>
      <c r="H70" s="5"/>
      <c r="I70" s="5"/>
      <c r="J70" s="5"/>
      <c r="K70" s="5"/>
    </row>
    <row r="71" spans="2:11">
      <c r="B71" s="1435"/>
      <c r="C71" s="73"/>
      <c r="D71" s="36" t="s">
        <v>531</v>
      </c>
      <c r="E71" s="5"/>
      <c r="F71" s="5"/>
      <c r="G71" s="5"/>
      <c r="H71" s="5"/>
      <c r="I71" s="5"/>
      <c r="J71" s="5"/>
      <c r="K71" s="5"/>
    </row>
    <row r="72" spans="2:11" ht="24">
      <c r="B72" s="1435"/>
      <c r="C72" s="73"/>
      <c r="D72" s="36" t="s">
        <v>532</v>
      </c>
      <c r="E72" s="5"/>
      <c r="F72" s="5"/>
      <c r="G72" s="5"/>
      <c r="H72" s="5"/>
      <c r="I72" s="5"/>
      <c r="J72" s="5"/>
      <c r="K72" s="5"/>
    </row>
    <row r="73" spans="2:11">
      <c r="B73" s="1435"/>
      <c r="C73" s="73"/>
      <c r="D73" s="43" t="s">
        <v>287</v>
      </c>
      <c r="E73" s="5"/>
      <c r="F73" s="5"/>
      <c r="G73" s="5"/>
      <c r="H73" s="5"/>
      <c r="I73" s="5"/>
      <c r="J73" s="5"/>
      <c r="K73" s="5"/>
    </row>
    <row r="74" spans="2:11" ht="24">
      <c r="B74" s="1435"/>
      <c r="C74" s="73"/>
      <c r="D74" s="36" t="s">
        <v>352</v>
      </c>
      <c r="E74" s="5"/>
      <c r="F74" s="5"/>
      <c r="G74" s="5"/>
      <c r="H74" s="5"/>
      <c r="I74" s="5"/>
      <c r="J74" s="5"/>
      <c r="K74" s="5"/>
    </row>
    <row r="75" spans="2:11" ht="36">
      <c r="B75" s="1435"/>
      <c r="C75" s="73"/>
      <c r="D75" s="36" t="s">
        <v>533</v>
      </c>
      <c r="E75" s="5"/>
      <c r="F75" s="5"/>
      <c r="G75" s="5"/>
      <c r="H75" s="5"/>
      <c r="I75" s="5"/>
      <c r="J75" s="5"/>
      <c r="K75" s="5"/>
    </row>
    <row r="76" spans="2:11" ht="72.599999999999994" thickBot="1">
      <c r="B76" s="1436"/>
      <c r="C76" s="2"/>
      <c r="D76" s="32" t="s">
        <v>534</v>
      </c>
      <c r="E76" s="5"/>
      <c r="F76" s="5"/>
      <c r="G76" s="5"/>
      <c r="H76" s="5"/>
      <c r="I76" s="5"/>
      <c r="J76" s="5"/>
      <c r="K76" s="5"/>
    </row>
    <row r="77" spans="2:11" ht="24.6" thickBot="1">
      <c r="B77" s="37" t="s">
        <v>71</v>
      </c>
      <c r="C77" s="2"/>
      <c r="D77" s="32"/>
      <c r="E77" s="5"/>
      <c r="F77" s="5"/>
      <c r="G77" s="5"/>
      <c r="H77" s="5"/>
      <c r="I77" s="5"/>
      <c r="J77" s="5"/>
      <c r="K77" s="5"/>
    </row>
    <row r="78" spans="2:11" ht="72">
      <c r="B78" s="1434" t="s">
        <v>72</v>
      </c>
      <c r="C78" s="73"/>
      <c r="D78" s="36" t="s">
        <v>535</v>
      </c>
      <c r="E78" s="5"/>
      <c r="F78" s="5"/>
      <c r="G78" s="5"/>
      <c r="H78" s="5"/>
      <c r="I78" s="5"/>
      <c r="J78" s="5"/>
      <c r="K78" s="5"/>
    </row>
    <row r="79" spans="2:11" ht="84">
      <c r="B79" s="1435"/>
      <c r="C79" s="73"/>
      <c r="D79" s="36" t="s">
        <v>536</v>
      </c>
      <c r="E79" s="5"/>
      <c r="F79" s="5"/>
      <c r="G79" s="5"/>
      <c r="H79" s="5"/>
      <c r="I79" s="5"/>
      <c r="J79" s="5"/>
      <c r="K79" s="5"/>
    </row>
    <row r="80" spans="2:11" ht="120">
      <c r="B80" s="1435"/>
      <c r="C80" s="73"/>
      <c r="D80" s="36" t="s">
        <v>537</v>
      </c>
      <c r="E80" s="5"/>
      <c r="F80" s="5"/>
      <c r="G80" s="5"/>
      <c r="H80" s="5"/>
      <c r="I80" s="5"/>
      <c r="J80" s="5"/>
      <c r="K80" s="5"/>
    </row>
    <row r="81" spans="2:11" ht="132.6" thickBot="1">
      <c r="B81" s="1436"/>
      <c r="C81" s="2"/>
      <c r="D81" s="32" t="s">
        <v>538</v>
      </c>
      <c r="E81" s="5"/>
      <c r="F81" s="5"/>
      <c r="G81" s="5"/>
      <c r="H81" s="5"/>
      <c r="I81" s="5"/>
      <c r="J81" s="5"/>
      <c r="K81" s="5"/>
    </row>
    <row r="82" spans="2:11" ht="24">
      <c r="B82" s="1434" t="s">
        <v>89</v>
      </c>
      <c r="C82" s="73"/>
      <c r="D82" s="43" t="s">
        <v>525</v>
      </c>
      <c r="E82" s="5"/>
      <c r="F82" s="5"/>
      <c r="G82" s="5"/>
      <c r="H82" s="5"/>
      <c r="I82" s="5"/>
      <c r="J82" s="5"/>
      <c r="K82" s="5"/>
    </row>
    <row r="83" spans="2:11">
      <c r="B83" s="1435"/>
      <c r="C83" s="73"/>
      <c r="D83" s="36" t="s">
        <v>496</v>
      </c>
      <c r="E83" s="5"/>
      <c r="F83" s="5"/>
      <c r="G83" s="5"/>
      <c r="H83" s="5"/>
      <c r="I83" s="5"/>
      <c r="J83" s="5"/>
      <c r="K83" s="5"/>
    </row>
    <row r="84" spans="2:11">
      <c r="B84" s="1435"/>
      <c r="C84" s="73"/>
      <c r="D84" s="36" t="s">
        <v>90</v>
      </c>
      <c r="E84" s="5"/>
      <c r="F84" s="5"/>
      <c r="G84" s="5"/>
      <c r="H84" s="5"/>
      <c r="I84" s="5"/>
      <c r="J84" s="5"/>
      <c r="K84" s="5"/>
    </row>
    <row r="85" spans="2:11" ht="38.4">
      <c r="B85" s="1435"/>
      <c r="C85" s="73"/>
      <c r="D85" s="36" t="s">
        <v>539</v>
      </c>
      <c r="E85" s="5"/>
      <c r="F85" s="5"/>
      <c r="G85" s="5"/>
      <c r="H85" s="5"/>
      <c r="I85" s="5"/>
      <c r="J85" s="5"/>
      <c r="K85" s="5"/>
    </row>
    <row r="86" spans="2:11" ht="38.4">
      <c r="B86" s="1435"/>
      <c r="C86" s="73"/>
      <c r="D86" s="36" t="s">
        <v>540</v>
      </c>
      <c r="E86" s="5"/>
      <c r="F86" s="5"/>
      <c r="G86" s="5"/>
      <c r="H86" s="5"/>
      <c r="I86" s="5"/>
      <c r="J86" s="5"/>
      <c r="K86" s="5"/>
    </row>
    <row r="87" spans="2:11" ht="38.4">
      <c r="B87" s="1435"/>
      <c r="C87" s="73"/>
      <c r="D87" s="36" t="s">
        <v>541</v>
      </c>
      <c r="E87" s="5"/>
      <c r="F87" s="5"/>
      <c r="G87" s="5"/>
      <c r="H87" s="5"/>
      <c r="I87" s="5"/>
      <c r="J87" s="5"/>
      <c r="K87" s="5"/>
    </row>
    <row r="88" spans="2:11" ht="72">
      <c r="B88" s="1435"/>
      <c r="C88" s="73"/>
      <c r="D88" s="44" t="s">
        <v>234</v>
      </c>
      <c r="E88" s="5"/>
      <c r="F88" s="5"/>
      <c r="G88" s="5"/>
      <c r="H88" s="5"/>
      <c r="I88" s="5"/>
      <c r="J88" s="5"/>
      <c r="K88" s="5"/>
    </row>
    <row r="89" spans="2:11">
      <c r="B89" s="1435"/>
      <c r="C89" s="73"/>
      <c r="D89" s="43" t="s">
        <v>245</v>
      </c>
      <c r="E89" s="5"/>
      <c r="F89" s="5"/>
      <c r="G89" s="5"/>
      <c r="H89" s="5"/>
      <c r="I89" s="5"/>
      <c r="J89" s="5"/>
      <c r="K89" s="5"/>
    </row>
    <row r="90" spans="2:11" ht="24">
      <c r="B90" s="1435"/>
      <c r="C90" s="73"/>
      <c r="D90" s="43" t="s">
        <v>542</v>
      </c>
      <c r="E90" s="5"/>
      <c r="F90" s="5"/>
      <c r="G90" s="5"/>
      <c r="H90" s="5"/>
      <c r="I90" s="5"/>
      <c r="J90" s="5"/>
      <c r="K90" s="5"/>
    </row>
    <row r="91" spans="2:11">
      <c r="B91" s="1435"/>
      <c r="C91" s="73"/>
      <c r="D91" s="13"/>
      <c r="E91" s="5"/>
      <c r="F91" s="5"/>
      <c r="G91" s="5"/>
      <c r="H91" s="5"/>
      <c r="I91" s="5"/>
      <c r="J91" s="5"/>
      <c r="K91" s="5"/>
    </row>
    <row r="92" spans="2:11">
      <c r="B92" s="1435"/>
      <c r="C92" s="73"/>
      <c r="D92" s="36" t="s">
        <v>90</v>
      </c>
      <c r="E92" s="5"/>
      <c r="F92" s="5"/>
      <c r="G92" s="5"/>
      <c r="H92" s="5"/>
      <c r="I92" s="5"/>
      <c r="J92" s="5"/>
      <c r="K92" s="5"/>
    </row>
    <row r="93" spans="2:11" ht="38.4">
      <c r="B93" s="1435"/>
      <c r="C93" s="73"/>
      <c r="D93" s="36" t="s">
        <v>543</v>
      </c>
      <c r="E93" s="5"/>
      <c r="F93" s="5"/>
      <c r="G93" s="5"/>
      <c r="H93" s="5"/>
      <c r="I93" s="5"/>
      <c r="J93" s="5"/>
      <c r="K93" s="5"/>
    </row>
    <row r="94" spans="2:11" ht="39" thickBot="1">
      <c r="B94" s="1436"/>
      <c r="C94" s="2"/>
      <c r="D94" s="32" t="s">
        <v>544</v>
      </c>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sheetData>
  <sheetProtection insertRows="0"/>
  <mergeCells count="38">
    <mergeCell ref="B10:D10"/>
    <mergeCell ref="F10:S10"/>
    <mergeCell ref="F11:S11"/>
    <mergeCell ref="E12:R12"/>
    <mergeCell ref="E13:R13"/>
    <mergeCell ref="B64:B76"/>
    <mergeCell ref="B78:B81"/>
    <mergeCell ref="B82:B94"/>
    <mergeCell ref="D16:D17"/>
    <mergeCell ref="E16:G16"/>
    <mergeCell ref="D31:L31"/>
    <mergeCell ref="D32:L32"/>
    <mergeCell ref="B34:E34"/>
    <mergeCell ref="B35:B41"/>
    <mergeCell ref="B43:E43"/>
    <mergeCell ref="B44:B50"/>
    <mergeCell ref="B57:D58"/>
    <mergeCell ref="K26:K27"/>
    <mergeCell ref="B15:B30"/>
    <mergeCell ref="D15:L15"/>
    <mergeCell ref="D22:L22"/>
    <mergeCell ref="D23:L23"/>
    <mergeCell ref="D24:L24"/>
    <mergeCell ref="D25:L25"/>
    <mergeCell ref="K16:K17"/>
    <mergeCell ref="C26:C27"/>
    <mergeCell ref="D26:D27"/>
    <mergeCell ref="E26:E27"/>
    <mergeCell ref="F26:F27"/>
    <mergeCell ref="G26:G27"/>
    <mergeCell ref="J26:J27"/>
    <mergeCell ref="H16:J16"/>
    <mergeCell ref="L26:L27"/>
    <mergeCell ref="A1:P1"/>
    <mergeCell ref="A2:P2"/>
    <mergeCell ref="A3:P3"/>
    <mergeCell ref="A4:D4"/>
    <mergeCell ref="A5:P5"/>
  </mergeCells>
  <conditionalFormatting sqref="E12:R12">
    <cfRule type="expression" dxfId="69" priority="1">
      <formula>E11="SI SE REPORTA"</formula>
    </cfRule>
  </conditionalFormatting>
  <conditionalFormatting sqref="F10">
    <cfRule type="notContainsBlanks" dxfId="68" priority="6">
      <formula>LEN(TRIM(F10))&gt;0</formula>
    </cfRule>
  </conditionalFormatting>
  <conditionalFormatting sqref="F11:S11">
    <cfRule type="expression" dxfId="67" priority="4">
      <formula>E11="NO SE REPORTA"</formula>
    </cfRule>
    <cfRule type="expression" dxfId="66" priority="5">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8:F20 H18:I20" xr:uid="{00000000-0002-0000-1200-000000000000}">
      <formula1>0</formula1>
    </dataValidation>
    <dataValidation type="whole" operator="greaterThanOrEqual" allowBlank="1" showInputMessage="1" showErrorMessage="1" errorTitle="ERROR" error="Valor en PESOS (sin centavos)" sqref="H28:K29" xr:uid="{00000000-0002-0000-1200-000001000000}">
      <formula1>0</formula1>
    </dataValidation>
    <dataValidation type="list" allowBlank="1" showInputMessage="1" showErrorMessage="1" sqref="E11" xr:uid="{00000000-0002-0000-1200-000002000000}">
      <formula1>REPORTE</formula1>
    </dataValidation>
    <dataValidation type="list" allowBlank="1" showInputMessage="1" showErrorMessage="1" sqref="E10" xr:uid="{00000000-0002-0000-1200-000003000000}">
      <formula1>SI</formula1>
    </dataValidation>
  </dataValidations>
  <hyperlinks>
    <hyperlink ref="B9" location="'ANEXO 3'!A1" display="VOLVER AL INDICE" xr:uid="{00000000-0004-0000-1200-000000000000}"/>
    <hyperlink ref="E39" r:id="rId1" xr:uid="{00000000-0004-0000-1200-000001000000}"/>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5">
    <tabColor rgb="FF92D050"/>
  </sheetPr>
  <dimension ref="A1:U175"/>
  <sheetViews>
    <sheetView showGridLines="0" topLeftCell="A26" zoomScale="98" zoomScaleNormal="98" workbookViewId="0">
      <selection activeCell="K27" sqref="K27"/>
    </sheetView>
  </sheetViews>
  <sheetFormatPr baseColWidth="10" defaultRowHeight="14.4"/>
  <cols>
    <col min="1" max="1" width="1.88671875" customWidth="1"/>
    <col min="2" max="2" width="12.88671875" customWidth="1"/>
    <col min="3" max="3" width="5" style="66" bestFit="1" customWidth="1"/>
    <col min="4" max="4" width="34.88671875" customWidth="1"/>
    <col min="5" max="5" width="22.44140625" customWidth="1"/>
    <col min="7" max="10" width="14.44140625" bestFit="1" customWidth="1"/>
    <col min="11" max="11" width="71.55468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556</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4"/>
      <c r="D7" s="5"/>
      <c r="E7" s="14"/>
      <c r="F7" s="5" t="s">
        <v>128</v>
      </c>
      <c r="G7" s="5"/>
      <c r="H7" s="5"/>
      <c r="I7" s="5"/>
      <c r="J7" s="5"/>
      <c r="K7" s="5"/>
    </row>
    <row r="8" spans="1:21" ht="15" thickBot="1">
      <c r="B8" s="145" t="s">
        <v>1178</v>
      </c>
      <c r="C8" s="564">
        <v>2023</v>
      </c>
      <c r="D8" s="255">
        <f>IF(E10="NO APLICA","NO APLICA",IF(E11="NO SE REPORTA","SIN INFORMACION",+H22))</f>
        <v>0.68571428571428572</v>
      </c>
      <c r="E8" s="167"/>
      <c r="F8" s="5" t="s">
        <v>129</v>
      </c>
      <c r="G8" s="5"/>
      <c r="H8" s="5"/>
      <c r="I8" s="5"/>
      <c r="J8" s="5"/>
      <c r="K8" s="5"/>
    </row>
    <row r="9" spans="1:21">
      <c r="B9" s="298" t="s">
        <v>1179</v>
      </c>
      <c r="C9" s="67"/>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t="s">
        <v>1824</v>
      </c>
      <c r="G11" s="1406"/>
      <c r="H11" s="1406"/>
      <c r="I11" s="1406"/>
      <c r="J11" s="1406"/>
      <c r="K11" s="1406"/>
      <c r="L11" s="1406"/>
      <c r="M11" s="1406"/>
      <c r="N11" s="1406"/>
      <c r="O11" s="1406"/>
      <c r="P11" s="1406"/>
      <c r="Q11" s="1406"/>
      <c r="R11" s="1406"/>
      <c r="S11" s="1406"/>
    </row>
    <row r="12" spans="1:21" ht="23.4" customHeight="1">
      <c r="B12" s="298"/>
      <c r="C12" s="67"/>
      <c r="D12" s="144" t="str">
        <f>IF(E11="SI SE REPORTA","¿Qué programas o proyectos del Plan de Acción están asociados al indicador? ","")</f>
        <v xml:space="preserve">¿Qué programas o proyectos del Plan de Acción están asociados al indicador? </v>
      </c>
      <c r="E12" s="1407"/>
      <c r="F12" s="1407"/>
      <c r="G12" s="1407"/>
      <c r="H12" s="1407"/>
      <c r="I12" s="1407"/>
      <c r="J12" s="1407"/>
      <c r="K12" s="1407"/>
      <c r="L12" s="1407"/>
      <c r="M12" s="1407"/>
      <c r="N12" s="1407"/>
      <c r="O12" s="1407"/>
      <c r="P12" s="1407"/>
      <c r="Q12" s="1407"/>
      <c r="R12" s="1407"/>
    </row>
    <row r="13" spans="1:21" ht="21.9" customHeight="1">
      <c r="B13" s="298"/>
      <c r="C13" s="67"/>
      <c r="D13" s="144" t="s">
        <v>1236</v>
      </c>
      <c r="E13" s="1408" t="s">
        <v>1918</v>
      </c>
      <c r="F13" s="1409"/>
      <c r="G13" s="1409"/>
      <c r="H13" s="1409"/>
      <c r="I13" s="1409"/>
      <c r="J13" s="1409"/>
      <c r="K13" s="1409"/>
      <c r="L13" s="1409"/>
      <c r="M13" s="1409"/>
      <c r="N13" s="1409"/>
      <c r="O13" s="1409"/>
      <c r="P13" s="1409"/>
      <c r="Q13" s="1409"/>
      <c r="R13" s="1410"/>
    </row>
    <row r="14" spans="1:21" ht="6.9" customHeight="1" thickBot="1">
      <c r="B14" s="298"/>
      <c r="C14" s="67"/>
      <c r="D14" s="5"/>
      <c r="E14" s="5"/>
      <c r="F14" s="5"/>
      <c r="G14" s="5"/>
      <c r="H14" s="5"/>
      <c r="I14" s="5"/>
      <c r="J14" s="5"/>
      <c r="K14" s="5"/>
    </row>
    <row r="15" spans="1:21" ht="15.6" customHeight="1" thickTop="1" thickBot="1">
      <c r="B15" s="1584" t="s">
        <v>2</v>
      </c>
      <c r="C15" s="68"/>
      <c r="D15" s="1425" t="s">
        <v>335</v>
      </c>
      <c r="E15" s="1426"/>
      <c r="F15" s="1426"/>
      <c r="G15" s="1426"/>
      <c r="H15" s="1426"/>
      <c r="I15" s="1426"/>
      <c r="J15" s="1426"/>
      <c r="K15" s="1427"/>
    </row>
    <row r="16" spans="1:21" ht="20.25" customHeight="1" thickBot="1">
      <c r="B16" s="1585"/>
      <c r="C16" s="73"/>
      <c r="D16" s="34" t="s">
        <v>149</v>
      </c>
      <c r="E16" s="56" t="s">
        <v>19</v>
      </c>
      <c r="F16" s="56" t="s">
        <v>20</v>
      </c>
      <c r="G16" s="56" t="s">
        <v>21</v>
      </c>
      <c r="H16" s="254" t="s">
        <v>22</v>
      </c>
      <c r="I16" s="253"/>
      <c r="J16" s="5"/>
      <c r="K16" s="17"/>
    </row>
    <row r="17" spans="2:11" ht="24.6" thickBot="1">
      <c r="B17" s="1585"/>
      <c r="C17" s="73"/>
      <c r="D17" s="32" t="s">
        <v>575</v>
      </c>
      <c r="E17" s="523">
        <v>0</v>
      </c>
      <c r="F17" s="523">
        <v>0</v>
      </c>
      <c r="G17" s="523">
        <v>150</v>
      </c>
      <c r="H17" s="523">
        <v>140</v>
      </c>
      <c r="I17" s="253"/>
      <c r="J17" s="5"/>
      <c r="K17" s="17"/>
    </row>
    <row r="18" spans="2:11" ht="15" thickBot="1">
      <c r="B18" s="1585"/>
      <c r="C18" s="73"/>
      <c r="D18" s="32" t="s">
        <v>576</v>
      </c>
      <c r="E18" s="523">
        <v>0</v>
      </c>
      <c r="F18" s="523">
        <v>0</v>
      </c>
      <c r="G18" s="523">
        <v>150</v>
      </c>
      <c r="H18" s="524">
        <v>96</v>
      </c>
      <c r="I18" s="253"/>
      <c r="J18" s="5"/>
      <c r="K18" s="17"/>
    </row>
    <row r="19" spans="2:11" ht="15" thickBot="1">
      <c r="B19" s="1585"/>
      <c r="C19" s="73"/>
      <c r="D19" s="32" t="s">
        <v>577</v>
      </c>
      <c r="E19" s="523">
        <v>0</v>
      </c>
      <c r="F19" s="523">
        <v>0</v>
      </c>
      <c r="G19" s="523"/>
      <c r="H19" s="524"/>
      <c r="I19" s="253"/>
      <c r="J19" s="5"/>
      <c r="K19" s="17"/>
    </row>
    <row r="20" spans="2:11" ht="15" thickBot="1">
      <c r="B20" s="1585"/>
      <c r="C20" s="73"/>
      <c r="D20" s="32" t="s">
        <v>578</v>
      </c>
      <c r="E20" s="523">
        <v>0</v>
      </c>
      <c r="F20" s="523">
        <v>0</v>
      </c>
      <c r="G20" s="523">
        <v>0</v>
      </c>
      <c r="H20" s="524">
        <v>0</v>
      </c>
      <c r="I20" s="253"/>
      <c r="J20" s="5"/>
      <c r="K20" s="17"/>
    </row>
    <row r="21" spans="2:11" ht="15" thickBot="1">
      <c r="B21" s="1585"/>
      <c r="C21" s="73"/>
      <c r="D21" s="32" t="s">
        <v>150</v>
      </c>
      <c r="E21" s="544">
        <f>SUM(E18:E20)</f>
        <v>0</v>
      </c>
      <c r="F21" s="544">
        <f>SUM(F18:F20)</f>
        <v>0</v>
      </c>
      <c r="G21" s="544">
        <f t="shared" ref="G21:H21" si="0">SUM(G18:G20)</f>
        <v>150</v>
      </c>
      <c r="H21" s="544">
        <f t="shared" si="0"/>
        <v>96</v>
      </c>
      <c r="I21" s="253"/>
      <c r="J21" s="5"/>
      <c r="K21" s="17"/>
    </row>
    <row r="22" spans="2:11" ht="24.6" thickBot="1">
      <c r="B22" s="1585"/>
      <c r="C22" s="80"/>
      <c r="D22" s="42" t="s">
        <v>556</v>
      </c>
      <c r="E22" s="522" t="e">
        <f>+E21/E17</f>
        <v>#DIV/0!</v>
      </c>
      <c r="F22" s="522" t="e">
        <f>+F21/F17</f>
        <v>#DIV/0!</v>
      </c>
      <c r="G22" s="761">
        <f>+G21/G17</f>
        <v>1</v>
      </c>
      <c r="H22" s="761">
        <f>+H21/H17</f>
        <v>0.68571428571428572</v>
      </c>
      <c r="I22" s="253"/>
      <c r="J22" s="5"/>
      <c r="K22" s="17"/>
    </row>
    <row r="23" spans="2:11">
      <c r="B23" s="1585"/>
      <c r="C23" s="71"/>
      <c r="D23" s="1428" t="s">
        <v>245</v>
      </c>
      <c r="E23" s="1429"/>
      <c r="F23" s="1429"/>
      <c r="G23" s="1429"/>
      <c r="H23" s="1429"/>
      <c r="I23" s="1429"/>
      <c r="J23" s="1429"/>
      <c r="K23" s="1430"/>
    </row>
    <row r="24" spans="2:11">
      <c r="B24" s="1585"/>
      <c r="C24" s="71"/>
      <c r="D24" s="1428" t="s">
        <v>579</v>
      </c>
      <c r="E24" s="1429"/>
      <c r="F24" s="1429"/>
      <c r="G24" s="1429"/>
      <c r="H24" s="1429"/>
      <c r="I24" s="1429"/>
      <c r="J24" s="1429"/>
      <c r="K24" s="1430"/>
    </row>
    <row r="25" spans="2:11" ht="15" thickBot="1">
      <c r="B25" s="1585"/>
      <c r="C25" s="71"/>
      <c r="D25" s="1447" t="s">
        <v>339</v>
      </c>
      <c r="E25" s="1448"/>
      <c r="F25" s="1448"/>
      <c r="G25" s="1448"/>
      <c r="H25" s="1448"/>
      <c r="I25" s="1448"/>
      <c r="J25" s="1448"/>
      <c r="K25" s="1449"/>
    </row>
    <row r="26" spans="2:11" ht="51.6" thickBot="1">
      <c r="B26" s="174"/>
      <c r="C26" s="77" t="s">
        <v>18</v>
      </c>
      <c r="D26" s="56" t="s">
        <v>269</v>
      </c>
      <c r="E26" s="56" t="s">
        <v>580</v>
      </c>
      <c r="F26" s="816" t="s">
        <v>581</v>
      </c>
      <c r="G26" s="816" t="s">
        <v>342</v>
      </c>
      <c r="H26" s="816" t="s">
        <v>343</v>
      </c>
      <c r="I26" s="816" t="s">
        <v>273</v>
      </c>
      <c r="J26" s="816" t="s">
        <v>274</v>
      </c>
      <c r="K26" s="816" t="s">
        <v>54</v>
      </c>
    </row>
    <row r="27" spans="2:11" ht="130.5" customHeight="1" thickBot="1">
      <c r="B27" s="174"/>
      <c r="C27" s="2">
        <v>1</v>
      </c>
      <c r="D27" s="505" t="s">
        <v>1840</v>
      </c>
      <c r="E27" s="536" t="s">
        <v>1940</v>
      </c>
      <c r="F27" s="511">
        <v>56</v>
      </c>
      <c r="G27" s="814">
        <v>563000000</v>
      </c>
      <c r="H27" s="814">
        <v>563000000</v>
      </c>
      <c r="I27" s="814">
        <v>493374250</v>
      </c>
      <c r="J27" s="814">
        <v>467710393</v>
      </c>
      <c r="K27" s="687" t="s">
        <v>1974</v>
      </c>
    </row>
    <row r="28" spans="2:11" s="151" customFormat="1" ht="109.5" customHeight="1" thickBot="1">
      <c r="B28" s="171"/>
      <c r="C28" s="175">
        <v>1</v>
      </c>
      <c r="D28" s="620" t="s">
        <v>1910</v>
      </c>
      <c r="E28" s="536" t="s">
        <v>1940</v>
      </c>
      <c r="F28" s="511">
        <v>40</v>
      </c>
      <c r="G28" s="804">
        <v>550000000</v>
      </c>
      <c r="H28" s="804">
        <v>550000000</v>
      </c>
      <c r="I28" s="804">
        <v>550000000</v>
      </c>
      <c r="J28" s="805">
        <v>418638978</v>
      </c>
      <c r="K28" s="687" t="s">
        <v>1967</v>
      </c>
    </row>
    <row r="29" spans="2:11" ht="15" thickBot="1">
      <c r="B29" s="37"/>
      <c r="C29" s="2"/>
      <c r="D29" s="32" t="s">
        <v>150</v>
      </c>
      <c r="E29" s="32"/>
      <c r="F29" s="113">
        <f>SUM(F27:F28)</f>
        <v>96</v>
      </c>
      <c r="G29" s="815">
        <f>SUM(G27:G28)</f>
        <v>1113000000</v>
      </c>
      <c r="H29" s="815">
        <f>SUM(H27:H28)</f>
        <v>1113000000</v>
      </c>
      <c r="I29" s="815">
        <f>SUM(I27:I28)</f>
        <v>1043374250</v>
      </c>
      <c r="J29" s="815">
        <f>SUM(J27:J28)</f>
        <v>886349371</v>
      </c>
      <c r="K29" s="163"/>
    </row>
    <row r="30" spans="2:11" ht="24" customHeight="1" thickBot="1">
      <c r="B30" s="61" t="s">
        <v>33</v>
      </c>
      <c r="C30" s="86"/>
      <c r="D30" s="1437" t="s">
        <v>582</v>
      </c>
      <c r="E30" s="1438"/>
      <c r="F30" s="1438"/>
      <c r="G30" s="1438"/>
      <c r="H30" s="1438"/>
      <c r="I30" s="1438"/>
      <c r="J30" s="1438"/>
      <c r="K30" s="1439"/>
    </row>
    <row r="31" spans="2:11" ht="24" customHeight="1" thickBot="1">
      <c r="B31" s="61" t="s">
        <v>35</v>
      </c>
      <c r="C31" s="86"/>
      <c r="D31" s="1437" t="s">
        <v>345</v>
      </c>
      <c r="E31" s="1438"/>
      <c r="F31" s="1438"/>
      <c r="G31" s="1438"/>
      <c r="H31" s="1438"/>
      <c r="I31" s="1438"/>
      <c r="J31" s="1438"/>
      <c r="K31" s="1439"/>
    </row>
    <row r="32" spans="2:11" ht="15" thickBot="1">
      <c r="B32" s="1"/>
      <c r="C32" s="64"/>
      <c r="D32" s="5"/>
      <c r="E32" s="5"/>
      <c r="F32" s="5"/>
      <c r="G32" s="5"/>
      <c r="H32" s="5"/>
      <c r="I32" s="5"/>
      <c r="J32" s="5"/>
      <c r="K32" s="5"/>
    </row>
    <row r="33" spans="2:11" ht="24" customHeight="1" thickBot="1">
      <c r="B33" s="1444" t="s">
        <v>37</v>
      </c>
      <c r="C33" s="1445"/>
      <c r="D33" s="1445"/>
      <c r="E33" s="1446"/>
      <c r="F33" s="5"/>
      <c r="G33" s="5"/>
      <c r="H33" s="5"/>
      <c r="I33" s="5"/>
      <c r="J33" s="5"/>
      <c r="K33" s="5"/>
    </row>
    <row r="34" spans="2:11" ht="15" thickBot="1">
      <c r="B34" s="1434">
        <v>1</v>
      </c>
      <c r="C34" s="73"/>
      <c r="D34" s="38" t="s">
        <v>38</v>
      </c>
      <c r="E34" s="25" t="s">
        <v>1811</v>
      </c>
      <c r="F34" s="5"/>
      <c r="G34" s="5"/>
      <c r="H34" s="5"/>
      <c r="I34" s="5"/>
      <c r="J34" s="5"/>
      <c r="K34" s="5"/>
    </row>
    <row r="35" spans="2:11" ht="24.6" thickBot="1">
      <c r="B35" s="1435"/>
      <c r="C35" s="73"/>
      <c r="D35" s="32" t="s">
        <v>39</v>
      </c>
      <c r="E35" s="24" t="s">
        <v>2033</v>
      </c>
      <c r="F35" s="5"/>
      <c r="G35" s="5"/>
      <c r="H35" s="5"/>
      <c r="I35" s="5"/>
      <c r="J35" s="5"/>
      <c r="K35" s="5"/>
    </row>
    <row r="36" spans="2:11" ht="15" thickBot="1">
      <c r="B36" s="1435"/>
      <c r="C36" s="73"/>
      <c r="D36" s="32" t="s">
        <v>40</v>
      </c>
      <c r="E36" s="24" t="s">
        <v>1841</v>
      </c>
      <c r="F36" s="5"/>
      <c r="G36" s="5"/>
      <c r="H36" s="5"/>
      <c r="I36" s="5"/>
      <c r="J36" s="5"/>
      <c r="K36" s="5"/>
    </row>
    <row r="37" spans="2:11" ht="15" thickBot="1">
      <c r="B37" s="1435"/>
      <c r="C37" s="73"/>
      <c r="D37" s="32" t="s">
        <v>41</v>
      </c>
      <c r="E37" s="25" t="s">
        <v>2034</v>
      </c>
      <c r="F37" s="5"/>
      <c r="G37" s="5"/>
      <c r="H37" s="5"/>
      <c r="I37" s="5"/>
      <c r="J37" s="5"/>
      <c r="K37" s="5"/>
    </row>
    <row r="38" spans="2:11" ht="29.4" thickBot="1">
      <c r="B38" s="1435"/>
      <c r="C38" s="73"/>
      <c r="D38" s="32" t="s">
        <v>42</v>
      </c>
      <c r="E38" s="504" t="s">
        <v>1813</v>
      </c>
      <c r="F38" s="5"/>
      <c r="G38" s="5"/>
      <c r="H38" s="5"/>
      <c r="I38" s="5"/>
      <c r="J38" s="5"/>
      <c r="K38" s="5"/>
    </row>
    <row r="39" spans="2:11" ht="15" thickBot="1">
      <c r="B39" s="1435"/>
      <c r="C39" s="73"/>
      <c r="D39" s="32" t="s">
        <v>43</v>
      </c>
      <c r="E39" s="133">
        <v>3686626</v>
      </c>
      <c r="F39" s="5"/>
      <c r="G39" s="5"/>
      <c r="H39" s="5"/>
      <c r="I39" s="5"/>
      <c r="J39" s="5"/>
      <c r="K39" s="5"/>
    </row>
    <row r="40" spans="2:11" ht="15" thickBot="1">
      <c r="B40" s="1436"/>
      <c r="C40" s="2"/>
      <c r="D40" s="32" t="s">
        <v>44</v>
      </c>
      <c r="E40" s="24" t="s">
        <v>1814</v>
      </c>
      <c r="F40" s="5"/>
      <c r="G40" s="5"/>
      <c r="H40" s="5"/>
      <c r="I40" s="5"/>
      <c r="J40" s="5"/>
      <c r="K40" s="5"/>
    </row>
    <row r="41" spans="2:11" ht="15" thickBot="1">
      <c r="B41" s="1"/>
      <c r="C41" s="64"/>
      <c r="D41" s="5"/>
      <c r="E41" s="5"/>
      <c r="F41" s="5"/>
      <c r="G41" s="5"/>
      <c r="H41" s="5"/>
      <c r="I41" s="5"/>
      <c r="J41" s="5"/>
      <c r="K41" s="5"/>
    </row>
    <row r="42" spans="2:11" ht="15" thickBot="1">
      <c r="B42" s="1444" t="s">
        <v>45</v>
      </c>
      <c r="C42" s="1445"/>
      <c r="D42" s="1445"/>
      <c r="E42" s="1446"/>
      <c r="F42" s="5"/>
      <c r="G42" s="5"/>
      <c r="H42" s="5"/>
      <c r="I42" s="5"/>
      <c r="J42" s="5"/>
      <c r="K42" s="5"/>
    </row>
    <row r="43" spans="2:11" ht="24.6" thickBot="1">
      <c r="B43" s="1434">
        <v>1</v>
      </c>
      <c r="C43" s="73"/>
      <c r="D43" s="38" t="s">
        <v>38</v>
      </c>
      <c r="E43" s="28" t="s">
        <v>46</v>
      </c>
      <c r="F43" s="5"/>
      <c r="G43" s="5"/>
      <c r="H43" s="5"/>
      <c r="I43" s="5"/>
      <c r="J43" s="5"/>
      <c r="K43" s="5"/>
    </row>
    <row r="44" spans="2:11" ht="36.6" thickBot="1">
      <c r="B44" s="1435"/>
      <c r="C44" s="73"/>
      <c r="D44" s="32" t="s">
        <v>39</v>
      </c>
      <c r="E44" s="28" t="s">
        <v>159</v>
      </c>
      <c r="F44" s="5"/>
      <c r="G44" s="5"/>
      <c r="H44" s="5"/>
      <c r="I44" s="5"/>
      <c r="J44" s="5"/>
      <c r="K44" s="5"/>
    </row>
    <row r="45" spans="2:11" ht="15" thickBot="1">
      <c r="B45" s="1435"/>
      <c r="C45" s="73"/>
      <c r="D45" s="32" t="s">
        <v>40</v>
      </c>
      <c r="E45" s="193"/>
      <c r="F45" s="5"/>
      <c r="G45" s="5"/>
      <c r="H45" s="5"/>
      <c r="I45" s="5"/>
      <c r="J45" s="5"/>
      <c r="K45" s="5"/>
    </row>
    <row r="46" spans="2:11" ht="15" thickBot="1">
      <c r="B46" s="1435"/>
      <c r="C46" s="73"/>
      <c r="D46" s="32" t="s">
        <v>41</v>
      </c>
      <c r="E46" s="193"/>
      <c r="F46" s="5"/>
      <c r="G46" s="5"/>
      <c r="H46" s="5"/>
      <c r="I46" s="5"/>
      <c r="J46" s="5"/>
      <c r="K46" s="5"/>
    </row>
    <row r="47" spans="2:11" ht="15" thickBot="1">
      <c r="B47" s="1435"/>
      <c r="C47" s="73"/>
      <c r="D47" s="32" t="s">
        <v>42</v>
      </c>
      <c r="E47" s="193"/>
      <c r="F47" s="5"/>
      <c r="G47" s="5"/>
      <c r="H47" s="5"/>
      <c r="I47" s="5"/>
      <c r="J47" s="5"/>
      <c r="K47" s="5"/>
    </row>
    <row r="48" spans="2:11" ht="15" thickBot="1">
      <c r="B48" s="1435"/>
      <c r="C48" s="73"/>
      <c r="D48" s="32" t="s">
        <v>43</v>
      </c>
      <c r="E48" s="193"/>
      <c r="F48" s="5"/>
      <c r="G48" s="5"/>
      <c r="H48" s="5"/>
      <c r="I48" s="5"/>
      <c r="J48" s="5"/>
      <c r="K48" s="5"/>
    </row>
    <row r="49" spans="2:11" ht="15" thickBot="1">
      <c r="B49" s="1436"/>
      <c r="C49" s="2"/>
      <c r="D49" s="32" t="s">
        <v>44</v>
      </c>
      <c r="E49" s="193"/>
      <c r="F49" s="5"/>
      <c r="G49" s="5"/>
      <c r="H49" s="5"/>
      <c r="I49" s="5"/>
      <c r="J49" s="5"/>
      <c r="K49" s="5"/>
    </row>
    <row r="50" spans="2:11" ht="15" thickBot="1">
      <c r="B50" s="1"/>
      <c r="C50" s="64"/>
      <c r="D50" s="5"/>
      <c r="E50" s="5"/>
      <c r="F50" s="5"/>
      <c r="G50" s="5"/>
      <c r="H50" s="5"/>
      <c r="I50" s="5"/>
      <c r="J50" s="5"/>
      <c r="K50" s="5"/>
    </row>
    <row r="51" spans="2:11" ht="15" customHeight="1" thickBot="1">
      <c r="B51" s="100" t="s">
        <v>48</v>
      </c>
      <c r="C51" s="101"/>
      <c r="D51" s="101"/>
      <c r="E51" s="102"/>
      <c r="F51" s="5"/>
      <c r="G51" s="5"/>
      <c r="H51" s="5"/>
      <c r="I51" s="5"/>
      <c r="J51" s="5"/>
      <c r="K51" s="5"/>
    </row>
    <row r="52" spans="2:11" ht="24.6" thickBot="1">
      <c r="B52" s="37" t="s">
        <v>49</v>
      </c>
      <c r="C52" s="32" t="s">
        <v>50</v>
      </c>
      <c r="D52" s="32" t="s">
        <v>51</v>
      </c>
      <c r="E52" s="32" t="s">
        <v>52</v>
      </c>
      <c r="F52" s="5"/>
      <c r="G52" s="5"/>
      <c r="H52" s="5"/>
      <c r="I52" s="5"/>
      <c r="J52" s="5"/>
    </row>
    <row r="53" spans="2:11" ht="72.599999999999994" thickBot="1">
      <c r="B53" s="39">
        <v>42401</v>
      </c>
      <c r="C53" s="32">
        <v>0.01</v>
      </c>
      <c r="D53" s="40" t="s">
        <v>583</v>
      </c>
      <c r="E53" s="32"/>
      <c r="F53" s="5"/>
      <c r="G53" s="5"/>
      <c r="H53" s="5"/>
      <c r="I53" s="5"/>
      <c r="J53" s="5"/>
    </row>
    <row r="54" spans="2:11" ht="15" thickBot="1">
      <c r="B54" s="3"/>
      <c r="C54" s="74"/>
      <c r="D54" s="5"/>
      <c r="E54" s="5"/>
      <c r="F54" s="5"/>
      <c r="G54" s="5"/>
      <c r="H54" s="5"/>
      <c r="I54" s="5"/>
      <c r="J54" s="5"/>
      <c r="K54" s="5"/>
    </row>
    <row r="55" spans="2:11">
      <c r="B55" s="106" t="s">
        <v>54</v>
      </c>
      <c r="C55" s="75"/>
      <c r="D55" s="5"/>
      <c r="E55" s="5"/>
      <c r="F55" s="5"/>
      <c r="G55" s="5"/>
      <c r="H55" s="5"/>
      <c r="I55" s="5"/>
      <c r="J55" s="5"/>
      <c r="K55" s="5"/>
    </row>
    <row r="56" spans="2:11">
      <c r="B56" s="1571"/>
      <c r="C56" s="1572"/>
      <c r="D56" s="1572"/>
      <c r="E56" s="1573"/>
      <c r="F56" s="5"/>
      <c r="G56" s="5"/>
      <c r="H56" s="5"/>
      <c r="I56" s="5"/>
      <c r="J56" s="5"/>
      <c r="K56" s="5"/>
    </row>
    <row r="57" spans="2:11">
      <c r="B57" s="1574"/>
      <c r="C57" s="1575"/>
      <c r="D57" s="1575"/>
      <c r="E57" s="1576"/>
      <c r="F57" s="5"/>
      <c r="G57" s="5"/>
      <c r="H57" s="5"/>
      <c r="I57" s="5"/>
      <c r="J57" s="5"/>
      <c r="K57" s="5"/>
    </row>
    <row r="58" spans="2:11">
      <c r="B58" s="1"/>
      <c r="C58" s="64"/>
      <c r="D58" s="5"/>
      <c r="E58" s="5"/>
      <c r="F58" s="5"/>
      <c r="G58" s="5"/>
      <c r="H58" s="5"/>
      <c r="I58" s="5"/>
      <c r="J58" s="5"/>
      <c r="K58" s="5"/>
    </row>
    <row r="59" spans="2:11" ht="15" thickBot="1">
      <c r="B59" s="5"/>
      <c r="D59" s="5"/>
      <c r="E59" s="5"/>
      <c r="F59" s="5"/>
      <c r="G59" s="5"/>
      <c r="H59" s="5"/>
      <c r="I59" s="5"/>
      <c r="J59" s="5"/>
      <c r="K59" s="5"/>
    </row>
    <row r="60" spans="2:11" ht="24.6" thickBot="1">
      <c r="B60" s="41" t="s">
        <v>449</v>
      </c>
      <c r="C60" s="76"/>
      <c r="D60" s="5"/>
      <c r="E60" s="5"/>
      <c r="F60" s="5"/>
      <c r="G60" s="5"/>
      <c r="H60" s="5"/>
      <c r="I60" s="5"/>
      <c r="J60" s="5"/>
      <c r="K60" s="5"/>
    </row>
    <row r="61" spans="2:11" ht="15" thickBot="1">
      <c r="B61" s="29"/>
      <c r="C61" s="67"/>
      <c r="D61" s="5"/>
      <c r="E61" s="5"/>
      <c r="F61" s="5"/>
      <c r="G61" s="5"/>
      <c r="H61" s="5"/>
      <c r="I61" s="5"/>
      <c r="J61" s="5"/>
      <c r="K61" s="5"/>
    </row>
    <row r="62" spans="2:11" ht="60.6" thickBot="1">
      <c r="B62" s="42" t="s">
        <v>56</v>
      </c>
      <c r="C62" s="77"/>
      <c r="D62" s="34" t="s">
        <v>557</v>
      </c>
      <c r="E62" s="5"/>
      <c r="F62" s="5"/>
      <c r="G62" s="5"/>
      <c r="H62" s="5"/>
      <c r="I62" s="5"/>
      <c r="J62" s="5"/>
      <c r="K62" s="5"/>
    </row>
    <row r="63" spans="2:11">
      <c r="B63" s="1434" t="s">
        <v>58</v>
      </c>
      <c r="C63" s="73"/>
      <c r="D63" s="43" t="s">
        <v>59</v>
      </c>
      <c r="E63" s="5"/>
      <c r="F63" s="5"/>
      <c r="G63" s="5"/>
      <c r="H63" s="5"/>
      <c r="I63" s="5"/>
      <c r="J63" s="5"/>
      <c r="K63" s="5"/>
    </row>
    <row r="64" spans="2:11" ht="72">
      <c r="B64" s="1435"/>
      <c r="C64" s="73"/>
      <c r="D64" s="36" t="s">
        <v>558</v>
      </c>
      <c r="E64" s="5"/>
      <c r="F64" s="5"/>
      <c r="G64" s="5"/>
      <c r="H64" s="5"/>
      <c r="I64" s="5"/>
      <c r="J64" s="5"/>
      <c r="K64" s="5"/>
    </row>
    <row r="65" spans="2:11" ht="24">
      <c r="B65" s="1435"/>
      <c r="C65" s="73"/>
      <c r="D65" s="36" t="s">
        <v>559</v>
      </c>
      <c r="E65" s="5"/>
      <c r="F65" s="5"/>
      <c r="G65" s="5"/>
      <c r="H65" s="5"/>
      <c r="I65" s="5"/>
      <c r="J65" s="5"/>
      <c r="K65" s="5"/>
    </row>
    <row r="66" spans="2:11">
      <c r="B66" s="1435"/>
      <c r="C66" s="73"/>
      <c r="D66" s="43" t="s">
        <v>62</v>
      </c>
      <c r="E66" s="5"/>
      <c r="F66" s="5"/>
      <c r="G66" s="5"/>
      <c r="H66" s="5"/>
      <c r="I66" s="5"/>
      <c r="J66" s="5"/>
      <c r="K66" s="5"/>
    </row>
    <row r="67" spans="2:11">
      <c r="B67" s="1435"/>
      <c r="C67" s="73"/>
      <c r="D67" s="36" t="s">
        <v>64</v>
      </c>
      <c r="E67" s="5"/>
      <c r="F67" s="5"/>
      <c r="G67" s="5"/>
      <c r="H67" s="5"/>
      <c r="I67" s="5"/>
      <c r="J67" s="5"/>
      <c r="K67" s="5"/>
    </row>
    <row r="68" spans="2:11">
      <c r="B68" s="1435"/>
      <c r="C68" s="73"/>
      <c r="D68" s="43" t="s">
        <v>287</v>
      </c>
      <c r="E68" s="5"/>
      <c r="F68" s="5"/>
      <c r="G68" s="5"/>
      <c r="H68" s="5"/>
      <c r="I68" s="5"/>
      <c r="J68" s="5"/>
      <c r="K68" s="5"/>
    </row>
    <row r="69" spans="2:11" ht="24">
      <c r="B69" s="1435"/>
      <c r="C69" s="73"/>
      <c r="D69" s="36" t="s">
        <v>452</v>
      </c>
      <c r="E69" s="5"/>
      <c r="F69" s="5"/>
      <c r="G69" s="5"/>
      <c r="H69" s="5"/>
      <c r="I69" s="5"/>
      <c r="J69" s="5"/>
      <c r="K69" s="5"/>
    </row>
    <row r="70" spans="2:11">
      <c r="B70" s="1435"/>
      <c r="C70" s="73"/>
      <c r="D70" s="36" t="s">
        <v>560</v>
      </c>
      <c r="E70" s="5"/>
      <c r="F70" s="5"/>
      <c r="G70" s="5"/>
      <c r="H70" s="5"/>
      <c r="I70" s="5"/>
      <c r="J70" s="5"/>
      <c r="K70" s="5"/>
    </row>
    <row r="71" spans="2:11" ht="15" thickBot="1">
      <c r="B71" s="1436"/>
      <c r="C71" s="2"/>
      <c r="D71" s="58"/>
      <c r="E71" s="5"/>
      <c r="F71" s="5"/>
      <c r="G71" s="5"/>
      <c r="H71" s="5"/>
      <c r="I71" s="5"/>
      <c r="J71" s="5"/>
      <c r="K71" s="5"/>
    </row>
    <row r="72" spans="2:11" ht="24.6" thickBot="1">
      <c r="B72" s="37" t="s">
        <v>71</v>
      </c>
      <c r="C72" s="2"/>
      <c r="D72" s="32"/>
      <c r="E72" s="5"/>
      <c r="F72" s="5"/>
      <c r="G72" s="5"/>
      <c r="H72" s="5"/>
      <c r="I72" s="5"/>
      <c r="J72" s="5"/>
      <c r="K72" s="5"/>
    </row>
    <row r="73" spans="2:11" ht="72">
      <c r="B73" s="1434" t="s">
        <v>72</v>
      </c>
      <c r="C73" s="73"/>
      <c r="D73" s="36" t="s">
        <v>561</v>
      </c>
      <c r="E73" s="5"/>
      <c r="F73" s="5"/>
      <c r="G73" s="5"/>
      <c r="H73" s="5"/>
      <c r="I73" s="5"/>
      <c r="J73" s="5"/>
      <c r="K73" s="5"/>
    </row>
    <row r="74" spans="2:11" ht="108">
      <c r="B74" s="1435"/>
      <c r="C74" s="73"/>
      <c r="D74" s="36" t="s">
        <v>562</v>
      </c>
      <c r="E74" s="5"/>
      <c r="F74" s="5"/>
      <c r="G74" s="5"/>
      <c r="H74" s="5"/>
      <c r="I74" s="5"/>
      <c r="J74" s="5"/>
      <c r="K74" s="5"/>
    </row>
    <row r="75" spans="2:11" ht="84">
      <c r="B75" s="1435"/>
      <c r="C75" s="73"/>
      <c r="D75" s="36" t="s">
        <v>563</v>
      </c>
      <c r="E75" s="5"/>
      <c r="F75" s="5"/>
      <c r="G75" s="5"/>
      <c r="H75" s="5"/>
      <c r="I75" s="5"/>
      <c r="J75" s="5"/>
      <c r="K75" s="5"/>
    </row>
    <row r="76" spans="2:11" ht="72">
      <c r="B76" s="1435"/>
      <c r="C76" s="73"/>
      <c r="D76" s="36" t="s">
        <v>564</v>
      </c>
      <c r="E76" s="5"/>
      <c r="F76" s="5"/>
      <c r="G76" s="5"/>
      <c r="H76" s="5"/>
      <c r="I76" s="5"/>
      <c r="J76" s="5"/>
      <c r="K76" s="5"/>
    </row>
    <row r="77" spans="2:11" ht="84">
      <c r="B77" s="1435"/>
      <c r="C77" s="73"/>
      <c r="D77" s="36" t="s">
        <v>565</v>
      </c>
      <c r="E77" s="5"/>
      <c r="F77" s="5"/>
      <c r="G77" s="5"/>
      <c r="H77" s="5"/>
      <c r="I77" s="5"/>
      <c r="J77" s="5"/>
      <c r="K77" s="5"/>
    </row>
    <row r="78" spans="2:11" ht="48">
      <c r="B78" s="1435"/>
      <c r="C78" s="73"/>
      <c r="D78" s="36" t="s">
        <v>566</v>
      </c>
      <c r="E78" s="5"/>
      <c r="F78" s="5"/>
      <c r="G78" s="5"/>
      <c r="H78" s="5"/>
      <c r="I78" s="5"/>
      <c r="J78" s="5"/>
      <c r="K78" s="5"/>
    </row>
    <row r="79" spans="2:11" ht="72.599999999999994" thickBot="1">
      <c r="B79" s="1436"/>
      <c r="C79" s="2"/>
      <c r="D79" s="32" t="s">
        <v>567</v>
      </c>
      <c r="E79" s="5"/>
      <c r="F79" s="5"/>
      <c r="G79" s="5"/>
      <c r="H79" s="5"/>
      <c r="I79" s="5"/>
      <c r="J79" s="5"/>
      <c r="K79" s="5"/>
    </row>
    <row r="80" spans="2:11" ht="24">
      <c r="B80" s="1434" t="s">
        <v>89</v>
      </c>
      <c r="C80" s="73"/>
      <c r="D80" s="43" t="s">
        <v>556</v>
      </c>
      <c r="E80" s="5"/>
      <c r="F80" s="5"/>
      <c r="G80" s="5"/>
      <c r="H80" s="5"/>
      <c r="I80" s="5"/>
      <c r="J80" s="5"/>
      <c r="K80" s="5"/>
    </row>
    <row r="81" spans="2:11">
      <c r="B81" s="1435"/>
      <c r="C81" s="73"/>
      <c r="D81" s="13"/>
      <c r="E81" s="5"/>
      <c r="F81" s="5"/>
      <c r="G81" s="5"/>
      <c r="H81" s="5"/>
      <c r="I81" s="5"/>
      <c r="J81" s="5"/>
      <c r="K81" s="5"/>
    </row>
    <row r="82" spans="2:11">
      <c r="B82" s="1435"/>
      <c r="C82" s="73"/>
      <c r="D82" s="36" t="s">
        <v>90</v>
      </c>
      <c r="E82" s="5"/>
      <c r="F82" s="5"/>
      <c r="G82" s="5"/>
      <c r="H82" s="5"/>
      <c r="I82" s="5"/>
      <c r="J82" s="5"/>
      <c r="K82" s="5"/>
    </row>
    <row r="83" spans="2:11" ht="38.4">
      <c r="B83" s="1435"/>
      <c r="C83" s="73"/>
      <c r="D83" s="36" t="s">
        <v>568</v>
      </c>
      <c r="E83" s="5"/>
      <c r="F83" s="5"/>
      <c r="G83" s="5"/>
      <c r="H83" s="5"/>
      <c r="I83" s="5"/>
      <c r="J83" s="5"/>
      <c r="K83" s="5"/>
    </row>
    <row r="84" spans="2:11" ht="38.4">
      <c r="B84" s="1435"/>
      <c r="C84" s="73"/>
      <c r="D84" s="36" t="s">
        <v>569</v>
      </c>
      <c r="E84" s="5"/>
      <c r="F84" s="5"/>
      <c r="G84" s="5"/>
      <c r="H84" s="5"/>
      <c r="I84" s="5"/>
      <c r="J84" s="5"/>
      <c r="K84" s="5"/>
    </row>
    <row r="85" spans="2:11" ht="38.4">
      <c r="B85" s="1435"/>
      <c r="C85" s="73"/>
      <c r="D85" s="36" t="s">
        <v>570</v>
      </c>
      <c r="E85" s="5"/>
      <c r="F85" s="5"/>
      <c r="G85" s="5"/>
      <c r="H85" s="5"/>
      <c r="I85" s="5"/>
      <c r="J85" s="5"/>
      <c r="K85" s="5"/>
    </row>
    <row r="86" spans="2:11" ht="72">
      <c r="B86" s="1435"/>
      <c r="C86" s="73"/>
      <c r="D86" s="44" t="s">
        <v>234</v>
      </c>
      <c r="E86" s="5"/>
      <c r="F86" s="5"/>
      <c r="G86" s="5"/>
      <c r="H86" s="5"/>
      <c r="I86" s="5"/>
      <c r="J86" s="5"/>
      <c r="K86" s="5"/>
    </row>
    <row r="87" spans="2:11">
      <c r="B87" s="1435"/>
      <c r="C87" s="73"/>
      <c r="D87" s="43" t="s">
        <v>245</v>
      </c>
      <c r="E87" s="5"/>
      <c r="F87" s="5"/>
      <c r="G87" s="5"/>
      <c r="H87" s="5"/>
      <c r="I87" s="5"/>
      <c r="J87" s="5"/>
      <c r="K87" s="5"/>
    </row>
    <row r="88" spans="2:11" ht="24">
      <c r="B88" s="1435"/>
      <c r="C88" s="73"/>
      <c r="D88" s="43" t="s">
        <v>571</v>
      </c>
      <c r="E88" s="5"/>
      <c r="F88" s="5"/>
      <c r="G88" s="5"/>
      <c r="H88" s="5"/>
      <c r="I88" s="5"/>
      <c r="J88" s="5"/>
      <c r="K88" s="5"/>
    </row>
    <row r="89" spans="2:11">
      <c r="B89" s="1435"/>
      <c r="C89" s="73"/>
      <c r="D89" s="43" t="s">
        <v>572</v>
      </c>
      <c r="E89" s="5"/>
      <c r="F89" s="5"/>
      <c r="G89" s="5"/>
      <c r="H89" s="5"/>
      <c r="I89" s="5"/>
      <c r="J89" s="5"/>
      <c r="K89" s="5"/>
    </row>
    <row r="90" spans="2:11">
      <c r="B90" s="1435"/>
      <c r="C90" s="73"/>
      <c r="D90" s="13"/>
      <c r="E90" s="5"/>
      <c r="F90" s="5"/>
      <c r="G90" s="5"/>
      <c r="H90" s="5"/>
      <c r="I90" s="5"/>
      <c r="J90" s="5"/>
      <c r="K90" s="5"/>
    </row>
    <row r="91" spans="2:11">
      <c r="B91" s="1435"/>
      <c r="C91" s="73"/>
      <c r="D91" s="36" t="s">
        <v>90</v>
      </c>
      <c r="E91" s="5"/>
      <c r="F91" s="5"/>
      <c r="G91" s="5"/>
      <c r="H91" s="5"/>
      <c r="I91" s="5"/>
      <c r="J91" s="5"/>
      <c r="K91" s="5"/>
    </row>
    <row r="92" spans="2:11" ht="38.4">
      <c r="B92" s="1435"/>
      <c r="C92" s="73"/>
      <c r="D92" s="36" t="s">
        <v>573</v>
      </c>
      <c r="E92" s="5"/>
      <c r="F92" s="5"/>
      <c r="G92" s="5"/>
      <c r="H92" s="5"/>
      <c r="I92" s="5"/>
      <c r="J92" s="5"/>
      <c r="K92" s="5"/>
    </row>
    <row r="93" spans="2:11" ht="51" thickBot="1">
      <c r="B93" s="1436"/>
      <c r="C93" s="2"/>
      <c r="D93" s="32" t="s">
        <v>574</v>
      </c>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sheetData>
  <sheetProtection insertRows="0"/>
  <mergeCells count="25">
    <mergeCell ref="B10:D10"/>
    <mergeCell ref="F10:S10"/>
    <mergeCell ref="F11:S11"/>
    <mergeCell ref="E12:R12"/>
    <mergeCell ref="E13:R13"/>
    <mergeCell ref="B56:E57"/>
    <mergeCell ref="B63:B71"/>
    <mergeCell ref="B73:B79"/>
    <mergeCell ref="B80:B93"/>
    <mergeCell ref="D15:K15"/>
    <mergeCell ref="D23:K23"/>
    <mergeCell ref="D24:K24"/>
    <mergeCell ref="D25:K25"/>
    <mergeCell ref="D30:K30"/>
    <mergeCell ref="D31:K31"/>
    <mergeCell ref="B33:E33"/>
    <mergeCell ref="B34:B40"/>
    <mergeCell ref="B42:E42"/>
    <mergeCell ref="B43:B49"/>
    <mergeCell ref="B15:B25"/>
    <mergeCell ref="A1:P1"/>
    <mergeCell ref="A2:P2"/>
    <mergeCell ref="A3:P3"/>
    <mergeCell ref="A4:D4"/>
    <mergeCell ref="A5:P5"/>
  </mergeCells>
  <conditionalFormatting sqref="E12:R12">
    <cfRule type="expression" dxfId="65" priority="3">
      <formula>E11="SI SE REPORTA"</formula>
    </cfRule>
  </conditionalFormatting>
  <conditionalFormatting sqref="F10">
    <cfRule type="notContainsBlanks" dxfId="64" priority="6">
      <formula>LEN(TRIM(F10))&gt;0</formula>
    </cfRule>
  </conditionalFormatting>
  <conditionalFormatting sqref="F11:S11">
    <cfRule type="expression" dxfId="63" priority="1">
      <formula>E11="NO SE REPORTA"</formula>
    </cfRule>
    <cfRule type="expression" dxfId="62" priority="2">
      <formula>E10="NO APLICA"</formula>
    </cfRule>
  </conditionalFormatting>
  <dataValidations count="5">
    <dataValidation type="whole" operator="greaterThanOrEqual" allowBlank="1" showInputMessage="1" showErrorMessage="1" errorTitle="ERROR" error="Valor en PESOS (sin centavos)" sqref="G27:J28" xr:uid="{00000000-0002-0000-1300-000000000000}">
      <formula1>0</formula1>
    </dataValidation>
    <dataValidation type="whole" operator="greaterThanOrEqual" allowBlank="1" showInputMessage="1" showErrorMessage="1" errorTitle="ERROR" error="Valor en HECTAREAS (sin decimales)" sqref="F27 E17:H20" xr:uid="{00000000-0002-0000-1300-000001000000}">
      <formula1>0</formula1>
    </dataValidation>
    <dataValidation type="list" allowBlank="1" showInputMessage="1" showErrorMessage="1" sqref="E11" xr:uid="{00000000-0002-0000-1300-000002000000}">
      <formula1>REPORTE</formula1>
    </dataValidation>
    <dataValidation type="list" allowBlank="1" showInputMessage="1" showErrorMessage="1" sqref="E10" xr:uid="{00000000-0002-0000-1300-000003000000}">
      <formula1>SI</formula1>
    </dataValidation>
    <dataValidation type="whole" operator="greaterThanOrEqual" allowBlank="1" showInputMessage="1" showErrorMessage="1" errorTitle="ERROR" error="Valor en HECTAREAS (sin decimales)_x000a_" sqref="F28" xr:uid="{36E1019C-6B03-4A71-AD8E-AE1B7DD66E91}">
      <formula1>0</formula1>
    </dataValidation>
  </dataValidations>
  <hyperlinks>
    <hyperlink ref="B9" location="'ANEXO 3'!A1" display="VOLVER AL INDICE" xr:uid="{00000000-0004-0000-1300-000000000000}"/>
    <hyperlink ref="E38" r:id="rId1" xr:uid="{00000000-0004-0000-1300-000001000000}"/>
  </hyperlinks>
  <pageMargins left="0.25" right="0.25" top="0.75" bottom="0.75" header="0.3" footer="0.3"/>
  <pageSetup paperSize="178"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6">
    <tabColor rgb="FF92D050"/>
  </sheetPr>
  <dimension ref="A1:U175"/>
  <sheetViews>
    <sheetView showGridLines="0" topLeftCell="A6" zoomScale="98" zoomScaleNormal="98" workbookViewId="0">
      <selection activeCell="H18" sqref="H18"/>
    </sheetView>
  </sheetViews>
  <sheetFormatPr baseColWidth="10" defaultRowHeight="14.4"/>
  <cols>
    <col min="1" max="1" width="1.88671875" customWidth="1"/>
    <col min="2" max="2" width="12.88671875" customWidth="1"/>
    <col min="3" max="3" width="5" style="66" bestFit="1" customWidth="1"/>
    <col min="4" max="4" width="34.88671875" customWidth="1"/>
    <col min="5" max="5" width="21" customWidth="1"/>
    <col min="10" max="10" width="69.4414062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584</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3" t="s">
        <v>1178</v>
      </c>
      <c r="C8" s="564">
        <v>2023</v>
      </c>
      <c r="D8" s="170">
        <f>IF(E10="NO APLICA","NO APLICA",IF(E11="NO SE REPORTA","SIN INFORMACION",+I27))</f>
        <v>0.99999999999999989</v>
      </c>
      <c r="E8" s="167"/>
      <c r="F8" s="5" t="s">
        <v>129</v>
      </c>
      <c r="G8" s="5"/>
      <c r="H8" s="5"/>
      <c r="I8" s="5"/>
      <c r="J8" s="5"/>
      <c r="K8" s="5"/>
    </row>
    <row r="9" spans="1:21">
      <c r="B9" s="298" t="s">
        <v>1179</v>
      </c>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57.75" customHeight="1">
      <c r="B12" s="298"/>
      <c r="C12" s="67"/>
      <c r="D12" s="144" t="str">
        <f>IF(E11="SI SE REPORTA","¿Qué programas o proyectos del Plan de Acción están asociados al indicador? ","")</f>
        <v xml:space="preserve">¿Qué programas o proyectos del Plan de Acción están asociados al indicador? </v>
      </c>
      <c r="E12" s="1407" t="s">
        <v>1919</v>
      </c>
      <c r="F12" s="1407"/>
      <c r="G12" s="1407"/>
      <c r="H12" s="1407"/>
      <c r="I12" s="1407"/>
      <c r="J12" s="1407"/>
      <c r="K12" s="1407"/>
      <c r="L12" s="1407"/>
      <c r="M12" s="1407"/>
      <c r="N12" s="1407"/>
      <c r="O12" s="1407"/>
      <c r="P12" s="1407"/>
      <c r="Q12" s="1407"/>
      <c r="R12" s="1407"/>
    </row>
    <row r="13" spans="1:21" ht="21.9" customHeight="1">
      <c r="B13" s="298"/>
      <c r="C13" s="67"/>
      <c r="D13" s="144" t="s">
        <v>1236</v>
      </c>
      <c r="E13" s="1408" t="s">
        <v>1920</v>
      </c>
      <c r="F13" s="1409"/>
      <c r="G13" s="1409"/>
      <c r="H13" s="1409"/>
      <c r="I13" s="1409"/>
      <c r="J13" s="1409"/>
      <c r="K13" s="1409"/>
      <c r="L13" s="1409"/>
      <c r="M13" s="1409"/>
      <c r="N13" s="1409"/>
      <c r="O13" s="1409"/>
      <c r="P13" s="1409"/>
      <c r="Q13" s="1409"/>
      <c r="R13" s="1410"/>
    </row>
    <row r="14" spans="1:21" ht="6.9" customHeight="1" thickBot="1">
      <c r="B14" s="298"/>
      <c r="D14" s="5"/>
      <c r="E14" s="5"/>
      <c r="F14" s="5"/>
      <c r="G14" s="5"/>
      <c r="H14" s="5"/>
      <c r="I14" s="5"/>
      <c r="J14" s="5"/>
      <c r="K14" s="5"/>
    </row>
    <row r="15" spans="1:21" ht="15" customHeight="1" thickTop="1">
      <c r="B15" s="1536" t="s">
        <v>2</v>
      </c>
      <c r="C15" s="68"/>
      <c r="D15" s="1425" t="s">
        <v>335</v>
      </c>
      <c r="E15" s="1426"/>
      <c r="F15" s="1426"/>
      <c r="G15" s="1426"/>
      <c r="H15" s="1426"/>
      <c r="I15" s="1426"/>
      <c r="J15" s="1426"/>
      <c r="K15" s="1427"/>
    </row>
    <row r="16" spans="1:21" ht="15" thickBot="1">
      <c r="B16" s="1459"/>
      <c r="C16" s="71"/>
      <c r="D16" s="1639" t="s">
        <v>615</v>
      </c>
      <c r="E16" s="1640"/>
      <c r="F16" s="1640"/>
      <c r="G16" s="1640"/>
      <c r="H16" s="1640"/>
      <c r="I16" s="1640"/>
      <c r="J16" s="1640"/>
      <c r="K16" s="1641"/>
    </row>
    <row r="17" spans="2:11" ht="15" thickBot="1">
      <c r="B17" s="1459"/>
      <c r="C17" s="69" t="s">
        <v>18</v>
      </c>
      <c r="D17" s="30" t="s">
        <v>252</v>
      </c>
      <c r="E17" s="30" t="s">
        <v>19</v>
      </c>
      <c r="F17" s="30" t="s">
        <v>20</v>
      </c>
      <c r="G17" s="30" t="s">
        <v>21</v>
      </c>
      <c r="H17" s="30" t="s">
        <v>22</v>
      </c>
      <c r="I17" s="30" t="s">
        <v>253</v>
      </c>
      <c r="K17" s="17"/>
    </row>
    <row r="18" spans="2:11" ht="29.25" customHeight="1" thickBot="1">
      <c r="B18" s="1459"/>
      <c r="C18" s="70" t="s">
        <v>151</v>
      </c>
      <c r="D18" s="32" t="s">
        <v>616</v>
      </c>
      <c r="E18" s="509">
        <v>3</v>
      </c>
      <c r="F18" s="509">
        <v>2</v>
      </c>
      <c r="G18" s="509">
        <v>5</v>
      </c>
      <c r="H18" s="509">
        <v>7</v>
      </c>
      <c r="I18" s="33">
        <f>SUM(E18:H18)</f>
        <v>17</v>
      </c>
      <c r="J18" s="314" t="s">
        <v>2663</v>
      </c>
      <c r="K18" s="17"/>
    </row>
    <row r="19" spans="2:11" ht="21.75" customHeight="1" thickBot="1">
      <c r="B19" s="1459"/>
      <c r="C19" s="71"/>
      <c r="D19" s="1473" t="s">
        <v>617</v>
      </c>
      <c r="E19" s="1474"/>
      <c r="F19" s="1474"/>
      <c r="G19" s="1474"/>
      <c r="H19" s="1474"/>
      <c r="I19" s="1474"/>
      <c r="J19" s="1474"/>
      <c r="K19" s="1475"/>
    </row>
    <row r="20" spans="2:11" ht="15" customHeight="1" thickBot="1">
      <c r="B20" s="174"/>
      <c r="C20" s="1642" t="s">
        <v>18</v>
      </c>
      <c r="D20" s="1644" t="s">
        <v>269</v>
      </c>
      <c r="E20" s="1644" t="s">
        <v>618</v>
      </c>
      <c r="F20" s="1646" t="s">
        <v>619</v>
      </c>
      <c r="G20" s="1647"/>
      <c r="H20" s="1647"/>
      <c r="I20" s="1647"/>
      <c r="J20" s="1648"/>
      <c r="K20" s="92"/>
    </row>
    <row r="21" spans="2:11" ht="21" thickBot="1">
      <c r="B21" s="174"/>
      <c r="C21" s="1643"/>
      <c r="D21" s="1645"/>
      <c r="E21" s="1645"/>
      <c r="F21" s="817" t="s">
        <v>620</v>
      </c>
      <c r="G21" s="817" t="s">
        <v>621</v>
      </c>
      <c r="H21" s="817" t="s">
        <v>622</v>
      </c>
      <c r="I21" s="817" t="s">
        <v>623</v>
      </c>
      <c r="J21" s="817" t="s">
        <v>54</v>
      </c>
      <c r="K21" s="93"/>
    </row>
    <row r="22" spans="2:11" ht="83.25" customHeight="1" thickBot="1">
      <c r="B22" s="174"/>
      <c r="C22" s="25"/>
      <c r="D22" s="690" t="s">
        <v>1842</v>
      </c>
      <c r="E22" s="281" t="s">
        <v>1844</v>
      </c>
      <c r="F22" s="443">
        <v>1</v>
      </c>
      <c r="G22" s="443">
        <v>1</v>
      </c>
      <c r="H22" s="460">
        <v>0.3</v>
      </c>
      <c r="I22" s="761">
        <f>+G22*H22</f>
        <v>0.3</v>
      </c>
      <c r="J22" s="692" t="s">
        <v>1973</v>
      </c>
      <c r="K22" s="93"/>
    </row>
    <row r="23" spans="2:11" ht="110.25" customHeight="1" thickBot="1">
      <c r="B23" s="174"/>
      <c r="C23" s="25"/>
      <c r="D23" s="691" t="s">
        <v>1942</v>
      </c>
      <c r="E23" s="505" t="s">
        <v>1944</v>
      </c>
      <c r="F23" s="443">
        <v>1</v>
      </c>
      <c r="G23" s="443">
        <v>1</v>
      </c>
      <c r="H23" s="460">
        <v>0.35</v>
      </c>
      <c r="I23" s="761">
        <f t="shared" ref="I23:I24" si="0">+G23*H23</f>
        <v>0.35</v>
      </c>
      <c r="J23" s="442" t="s">
        <v>1975</v>
      </c>
      <c r="K23" s="93"/>
    </row>
    <row r="24" spans="2:11" ht="81.75" customHeight="1" thickBot="1">
      <c r="B24" s="174"/>
      <c r="C24" s="25"/>
      <c r="D24" s="690" t="s">
        <v>1943</v>
      </c>
      <c r="E24" s="620" t="s">
        <v>1945</v>
      </c>
      <c r="F24" s="443">
        <v>1</v>
      </c>
      <c r="G24" s="443">
        <v>1</v>
      </c>
      <c r="H24" s="460">
        <v>0.35</v>
      </c>
      <c r="I24" s="761">
        <f t="shared" si="0"/>
        <v>0.35</v>
      </c>
      <c r="J24" s="442" t="s">
        <v>1976</v>
      </c>
      <c r="K24" s="93"/>
    </row>
    <row r="25" spans="2:11" ht="45" customHeight="1" thickBot="1">
      <c r="B25" s="174"/>
      <c r="C25" s="222"/>
      <c r="D25" s="691" t="s">
        <v>1843</v>
      </c>
      <c r="E25" s="281" t="s">
        <v>624</v>
      </c>
      <c r="F25" s="443">
        <v>0.33</v>
      </c>
      <c r="G25" s="443">
        <v>0</v>
      </c>
      <c r="H25" s="460"/>
      <c r="I25" s="761"/>
      <c r="J25" s="448" t="s">
        <v>1977</v>
      </c>
      <c r="K25" s="93"/>
    </row>
    <row r="26" spans="2:11" ht="24.75" customHeight="1" thickBot="1">
      <c r="B26" s="174"/>
      <c r="C26" s="222"/>
      <c r="D26" s="25"/>
      <c r="E26" s="281"/>
      <c r="F26" s="26"/>
      <c r="G26" s="26"/>
      <c r="H26" s="26"/>
      <c r="I26" s="522">
        <f t="shared" ref="I26" si="1">+G26*H26</f>
        <v>0</v>
      </c>
      <c r="J26" s="24"/>
      <c r="K26" s="93"/>
    </row>
    <row r="27" spans="2:11" ht="21.75" customHeight="1" thickBot="1">
      <c r="B27" s="174"/>
      <c r="C27" s="70"/>
      <c r="D27" s="31" t="s">
        <v>150</v>
      </c>
      <c r="E27" s="31"/>
      <c r="F27" s="31"/>
      <c r="G27" s="31"/>
      <c r="H27" s="153">
        <f>Formulas!D20</f>
        <v>0.99999999999999989</v>
      </c>
      <c r="I27" s="116">
        <f>Formulas!E20</f>
        <v>0.99999999999999989</v>
      </c>
      <c r="J27" s="32"/>
      <c r="K27" s="94"/>
    </row>
    <row r="28" spans="2:11" ht="15" thickBot="1">
      <c r="B28" s="37"/>
      <c r="C28" s="72"/>
      <c r="D28" s="1437" t="s">
        <v>625</v>
      </c>
      <c r="E28" s="1438"/>
      <c r="F28" s="1438"/>
      <c r="G28" s="1438"/>
      <c r="H28" s="1438"/>
      <c r="I28" s="1438"/>
      <c r="J28" s="1438"/>
      <c r="K28" s="1439"/>
    </row>
    <row r="29" spans="2:11" ht="27" customHeight="1" thickBot="1">
      <c r="B29" s="37" t="s">
        <v>33</v>
      </c>
      <c r="C29" s="72"/>
      <c r="D29" s="1437" t="s">
        <v>626</v>
      </c>
      <c r="E29" s="1438"/>
      <c r="F29" s="1438"/>
      <c r="G29" s="1438"/>
      <c r="H29" s="1438"/>
      <c r="I29" s="1438"/>
      <c r="J29" s="1438"/>
      <c r="K29" s="1439"/>
    </row>
    <row r="30" spans="2:11" ht="30.75" customHeight="1" thickBot="1">
      <c r="B30" s="37" t="s">
        <v>35</v>
      </c>
      <c r="C30" s="72"/>
      <c r="D30" s="1437" t="s">
        <v>627</v>
      </c>
      <c r="E30" s="1438"/>
      <c r="F30" s="1438"/>
      <c r="G30" s="1438"/>
      <c r="H30" s="1438"/>
      <c r="I30" s="1438"/>
      <c r="J30" s="1438"/>
      <c r="K30" s="1439"/>
    </row>
    <row r="31" spans="2:11" ht="15" thickBot="1">
      <c r="B31" s="1"/>
      <c r="C31" s="64"/>
      <c r="D31" s="5"/>
      <c r="E31" s="5"/>
      <c r="F31" s="5"/>
      <c r="G31" s="5"/>
      <c r="H31" s="5"/>
      <c r="I31" s="5"/>
      <c r="J31" s="5"/>
      <c r="K31" s="5"/>
    </row>
    <row r="32" spans="2:11" ht="24" customHeight="1" thickBot="1">
      <c r="B32" s="1444" t="s">
        <v>37</v>
      </c>
      <c r="C32" s="1445"/>
      <c r="D32" s="1445"/>
      <c r="E32" s="1446"/>
      <c r="F32" s="5"/>
      <c r="G32" s="5"/>
      <c r="H32" s="5"/>
      <c r="I32" s="5"/>
      <c r="J32" s="5"/>
      <c r="K32" s="5"/>
    </row>
    <row r="33" spans="2:11" ht="26.25" customHeight="1" thickBot="1">
      <c r="B33" s="1434">
        <v>1</v>
      </c>
      <c r="C33" s="73"/>
      <c r="D33" s="38" t="s">
        <v>38</v>
      </c>
      <c r="E33" s="575" t="s">
        <v>1811</v>
      </c>
      <c r="F33" s="5"/>
      <c r="G33" s="5"/>
      <c r="H33" s="5"/>
      <c r="I33" s="5"/>
      <c r="J33" s="5"/>
      <c r="K33" s="5"/>
    </row>
    <row r="34" spans="2:11" ht="24.6" thickBot="1">
      <c r="B34" s="1435"/>
      <c r="C34" s="73"/>
      <c r="D34" s="32" t="s">
        <v>39</v>
      </c>
      <c r="E34" s="24" t="s">
        <v>1959</v>
      </c>
      <c r="F34" s="5"/>
      <c r="G34" s="5"/>
      <c r="H34" s="5"/>
      <c r="I34" s="5"/>
      <c r="J34" s="5"/>
      <c r="K34" s="5"/>
    </row>
    <row r="35" spans="2:11" ht="15" thickBot="1">
      <c r="B35" s="1435"/>
      <c r="C35" s="73"/>
      <c r="D35" s="32" t="s">
        <v>40</v>
      </c>
      <c r="E35" s="24" t="s">
        <v>1818</v>
      </c>
      <c r="F35" s="5"/>
      <c r="G35" s="5"/>
      <c r="H35" s="5"/>
      <c r="I35" s="5"/>
      <c r="J35" s="5"/>
      <c r="K35" s="5"/>
    </row>
    <row r="36" spans="2:11" ht="15" thickBot="1">
      <c r="B36" s="1435"/>
      <c r="C36" s="73"/>
      <c r="D36" s="32" t="s">
        <v>41</v>
      </c>
      <c r="E36" s="25" t="s">
        <v>1960</v>
      </c>
      <c r="F36" s="5"/>
      <c r="G36" s="5"/>
      <c r="H36" s="5"/>
      <c r="I36" s="5"/>
      <c r="J36" s="5"/>
      <c r="K36" s="5"/>
    </row>
    <row r="37" spans="2:11" ht="29.4" thickBot="1">
      <c r="B37" s="1435"/>
      <c r="C37" s="73"/>
      <c r="D37" s="32" t="s">
        <v>42</v>
      </c>
      <c r="E37" s="525" t="s">
        <v>1813</v>
      </c>
      <c r="F37" s="5"/>
      <c r="G37" s="5"/>
      <c r="H37" s="5"/>
      <c r="I37" s="5"/>
      <c r="J37" s="5"/>
      <c r="K37" s="5"/>
    </row>
    <row r="38" spans="2:11" ht="15" thickBot="1">
      <c r="B38" s="1435"/>
      <c r="C38" s="73"/>
      <c r="D38" s="32" t="s">
        <v>43</v>
      </c>
      <c r="E38" s="133">
        <v>3686626</v>
      </c>
      <c r="F38" s="5"/>
      <c r="G38" s="5"/>
      <c r="H38" s="5"/>
      <c r="I38" s="5"/>
      <c r="J38" s="5"/>
      <c r="K38" s="5"/>
    </row>
    <row r="39" spans="2:11" ht="15" thickBot="1">
      <c r="B39" s="1436"/>
      <c r="C39" s="2"/>
      <c r="D39" s="32" t="s">
        <v>44</v>
      </c>
      <c r="E39" s="24" t="s">
        <v>1814</v>
      </c>
      <c r="F39" s="5"/>
      <c r="G39" s="5"/>
      <c r="H39" s="5"/>
      <c r="I39" s="5"/>
      <c r="J39" s="5"/>
      <c r="K39" s="5"/>
    </row>
    <row r="40" spans="2:11" ht="15" thickBot="1">
      <c r="B40" s="1"/>
      <c r="C40" s="64"/>
      <c r="D40" s="5"/>
      <c r="E40" s="5"/>
      <c r="F40" s="5"/>
      <c r="G40" s="5"/>
      <c r="H40" s="5"/>
      <c r="I40" s="5"/>
      <c r="J40" s="5"/>
      <c r="K40" s="5"/>
    </row>
    <row r="41" spans="2:11" ht="15" thickBot="1">
      <c r="B41" s="1444" t="s">
        <v>45</v>
      </c>
      <c r="C41" s="1445"/>
      <c r="D41" s="1445"/>
      <c r="E41" s="1446"/>
      <c r="F41" s="5"/>
      <c r="G41" s="5"/>
      <c r="H41" s="5"/>
      <c r="I41" s="5"/>
      <c r="J41" s="5"/>
      <c r="K41" s="5"/>
    </row>
    <row r="42" spans="2:11" ht="24.6" thickBot="1">
      <c r="B42" s="1434">
        <v>1</v>
      </c>
      <c r="C42" s="73"/>
      <c r="D42" s="38" t="s">
        <v>38</v>
      </c>
      <c r="E42" s="28" t="s">
        <v>46</v>
      </c>
      <c r="F42" s="5"/>
      <c r="G42" s="5"/>
      <c r="H42" s="5"/>
      <c r="I42" s="5"/>
      <c r="J42" s="5"/>
      <c r="K42" s="5"/>
    </row>
    <row r="43" spans="2:11" ht="36.6" thickBot="1">
      <c r="B43" s="1435"/>
      <c r="C43" s="73"/>
      <c r="D43" s="32" t="s">
        <v>39</v>
      </c>
      <c r="E43" s="28" t="s">
        <v>47</v>
      </c>
      <c r="F43" s="5"/>
      <c r="G43" s="5"/>
      <c r="H43" s="5"/>
      <c r="I43" s="5"/>
      <c r="J43" s="5"/>
      <c r="K43" s="5"/>
    </row>
    <row r="44" spans="2:11" ht="15" thickBot="1">
      <c r="B44" s="1435"/>
      <c r="C44" s="73"/>
      <c r="D44" s="32" t="s">
        <v>40</v>
      </c>
      <c r="E44" s="193"/>
      <c r="F44" s="5"/>
      <c r="G44" s="5"/>
      <c r="H44" s="5"/>
      <c r="I44" s="5"/>
      <c r="J44" s="5"/>
      <c r="K44" s="5"/>
    </row>
    <row r="45" spans="2:11" ht="15" thickBot="1">
      <c r="B45" s="1435"/>
      <c r="C45" s="73"/>
      <c r="D45" s="32" t="s">
        <v>41</v>
      </c>
      <c r="E45" s="193"/>
      <c r="F45" s="5"/>
      <c r="G45" s="5"/>
      <c r="H45" s="5"/>
      <c r="I45" s="5"/>
      <c r="J45" s="5"/>
      <c r="K45" s="5"/>
    </row>
    <row r="46" spans="2:11" ht="15" thickBot="1">
      <c r="B46" s="1435"/>
      <c r="C46" s="73"/>
      <c r="D46" s="32" t="s">
        <v>42</v>
      </c>
      <c r="E46" s="193"/>
      <c r="F46" s="5"/>
      <c r="G46" s="5"/>
      <c r="H46" s="5"/>
      <c r="I46" s="5"/>
      <c r="J46" s="5"/>
      <c r="K46" s="5"/>
    </row>
    <row r="47" spans="2:11" ht="15" thickBot="1">
      <c r="B47" s="1435"/>
      <c r="C47" s="73"/>
      <c r="D47" s="32" t="s">
        <v>43</v>
      </c>
      <c r="E47" s="193"/>
      <c r="F47" s="5"/>
      <c r="G47" s="5"/>
      <c r="H47" s="5"/>
      <c r="I47" s="5"/>
      <c r="J47" s="5"/>
      <c r="K47" s="5"/>
    </row>
    <row r="48" spans="2:11" ht="15" thickBot="1">
      <c r="B48" s="1436"/>
      <c r="C48" s="2"/>
      <c r="D48" s="32" t="s">
        <v>44</v>
      </c>
      <c r="E48" s="193"/>
      <c r="F48" s="5"/>
      <c r="G48" s="5"/>
      <c r="H48" s="5"/>
      <c r="I48" s="5"/>
      <c r="J48" s="5"/>
      <c r="K48" s="5"/>
    </row>
    <row r="49" spans="2:11" ht="15" thickBot="1">
      <c r="B49" s="1"/>
      <c r="C49" s="64"/>
      <c r="D49" s="5"/>
      <c r="E49" s="5"/>
      <c r="F49" s="5"/>
      <c r="G49" s="5"/>
      <c r="H49" s="5"/>
      <c r="I49" s="5"/>
      <c r="J49" s="5"/>
      <c r="K49" s="5"/>
    </row>
    <row r="50" spans="2:11" ht="15" customHeight="1" thickBot="1">
      <c r="B50" s="100" t="s">
        <v>48</v>
      </c>
      <c r="C50" s="101"/>
      <c r="D50" s="101"/>
      <c r="E50" s="102"/>
      <c r="G50" s="5"/>
      <c r="H50" s="5"/>
      <c r="I50" s="5"/>
      <c r="J50" s="5"/>
      <c r="K50" s="5"/>
    </row>
    <row r="51" spans="2:11" ht="24.6" thickBot="1">
      <c r="B51" s="37" t="s">
        <v>49</v>
      </c>
      <c r="C51" s="32" t="s">
        <v>50</v>
      </c>
      <c r="D51" s="32" t="s">
        <v>51</v>
      </c>
      <c r="E51" s="32" t="s">
        <v>52</v>
      </c>
      <c r="F51" s="5"/>
      <c r="G51" s="5"/>
      <c r="H51" s="5"/>
      <c r="I51" s="5"/>
      <c r="J51" s="5"/>
    </row>
    <row r="52" spans="2:11" ht="60.6" thickBot="1">
      <c r="B52" s="39">
        <v>42401</v>
      </c>
      <c r="C52" s="32">
        <v>0.01</v>
      </c>
      <c r="D52" s="32" t="s">
        <v>628</v>
      </c>
      <c r="E52" s="32"/>
      <c r="F52" s="5"/>
      <c r="G52" s="5"/>
      <c r="H52" s="5"/>
      <c r="I52" s="5"/>
      <c r="J52" s="5"/>
    </row>
    <row r="53" spans="2:11" ht="15" thickBot="1">
      <c r="B53" s="1"/>
      <c r="C53" s="64"/>
      <c r="D53" s="5"/>
      <c r="E53" s="5"/>
      <c r="F53" s="5"/>
      <c r="G53" s="5"/>
      <c r="H53" s="5"/>
      <c r="I53" s="5"/>
      <c r="J53" s="5"/>
      <c r="K53" s="5"/>
    </row>
    <row r="54" spans="2:11" ht="15" thickBot="1">
      <c r="B54" s="106" t="s">
        <v>54</v>
      </c>
      <c r="C54" s="75"/>
      <c r="D54" s="5"/>
      <c r="E54" s="5"/>
      <c r="F54" s="5"/>
      <c r="G54" s="5"/>
      <c r="H54" s="5"/>
      <c r="I54" s="5"/>
      <c r="J54" s="5"/>
      <c r="K54" s="5"/>
    </row>
    <row r="55" spans="2:11">
      <c r="B55" s="1507"/>
      <c r="C55" s="1508"/>
      <c r="D55" s="1508"/>
      <c r="E55" s="1509"/>
      <c r="F55" s="5"/>
      <c r="G55" s="5"/>
      <c r="H55" s="5"/>
      <c r="I55" s="5"/>
      <c r="J55" s="5"/>
      <c r="K55" s="5"/>
    </row>
    <row r="56" spans="2:11" ht="15" thickBot="1">
      <c r="B56" s="1510"/>
      <c r="C56" s="1511"/>
      <c r="D56" s="1511"/>
      <c r="E56" s="1512"/>
      <c r="F56" s="5"/>
      <c r="G56" s="5"/>
      <c r="H56" s="5"/>
      <c r="I56" s="5"/>
      <c r="J56" s="5"/>
      <c r="K56" s="5"/>
    </row>
    <row r="57" spans="2:11" ht="15" thickBot="1">
      <c r="B57" s="5"/>
      <c r="D57" s="5"/>
      <c r="E57" s="5"/>
      <c r="F57" s="5"/>
      <c r="G57" s="5"/>
      <c r="H57" s="5"/>
      <c r="I57" s="5"/>
      <c r="J57" s="5"/>
      <c r="K57" s="5"/>
    </row>
    <row r="58" spans="2:11" ht="15" thickBot="1">
      <c r="B58" s="1444" t="s">
        <v>449</v>
      </c>
      <c r="C58" s="1445"/>
      <c r="D58" s="1446"/>
      <c r="E58" s="5"/>
      <c r="F58" s="5"/>
      <c r="G58" s="5"/>
      <c r="H58" s="5"/>
      <c r="I58" s="5"/>
      <c r="J58" s="5"/>
      <c r="K58" s="5"/>
    </row>
    <row r="59" spans="2:11" ht="60.6" thickBot="1">
      <c r="B59" s="37" t="s">
        <v>56</v>
      </c>
      <c r="C59" s="2"/>
      <c r="D59" s="32" t="s">
        <v>585</v>
      </c>
      <c r="E59" s="5"/>
      <c r="F59" s="5"/>
      <c r="G59" s="5"/>
      <c r="H59" s="5"/>
      <c r="I59" s="5"/>
      <c r="J59" s="5"/>
      <c r="K59" s="5"/>
    </row>
    <row r="60" spans="2:11">
      <c r="B60" s="1434" t="s">
        <v>58</v>
      </c>
      <c r="C60" s="73"/>
      <c r="D60" s="43" t="s">
        <v>59</v>
      </c>
      <c r="E60" s="5"/>
      <c r="F60" s="5"/>
      <c r="G60" s="5"/>
      <c r="H60" s="5"/>
      <c r="I60" s="5"/>
      <c r="J60" s="5"/>
      <c r="K60" s="5"/>
    </row>
    <row r="61" spans="2:11" ht="108">
      <c r="B61" s="1435"/>
      <c r="C61" s="73"/>
      <c r="D61" s="36" t="s">
        <v>586</v>
      </c>
      <c r="E61" s="5"/>
      <c r="F61" s="5"/>
      <c r="G61" s="5"/>
      <c r="H61" s="5"/>
      <c r="I61" s="5"/>
      <c r="J61" s="5"/>
      <c r="K61" s="5"/>
    </row>
    <row r="62" spans="2:11">
      <c r="B62" s="1435"/>
      <c r="C62" s="73"/>
      <c r="D62" s="43" t="s">
        <v>62</v>
      </c>
      <c r="E62" s="5"/>
      <c r="F62" s="5"/>
      <c r="G62" s="5"/>
      <c r="H62" s="5"/>
      <c r="I62" s="5"/>
      <c r="J62" s="5"/>
      <c r="K62" s="5"/>
    </row>
    <row r="63" spans="2:11">
      <c r="B63" s="1435"/>
      <c r="C63" s="73"/>
      <c r="D63" s="36" t="s">
        <v>587</v>
      </c>
      <c r="E63" s="5"/>
      <c r="F63" s="5"/>
      <c r="G63" s="5"/>
      <c r="H63" s="5"/>
      <c r="I63" s="5"/>
      <c r="J63" s="5"/>
      <c r="K63" s="5"/>
    </row>
    <row r="64" spans="2:11">
      <c r="B64" s="1435"/>
      <c r="C64" s="73"/>
      <c r="D64" s="36" t="s">
        <v>588</v>
      </c>
      <c r="E64" s="5"/>
      <c r="F64" s="5"/>
      <c r="G64" s="5"/>
      <c r="H64" s="5"/>
      <c r="I64" s="5"/>
      <c r="J64" s="5"/>
      <c r="K64" s="5"/>
    </row>
    <row r="65" spans="2:11" ht="24">
      <c r="B65" s="1435"/>
      <c r="C65" s="73"/>
      <c r="D65" s="36" t="s">
        <v>589</v>
      </c>
      <c r="E65" s="5"/>
      <c r="F65" s="5"/>
      <c r="G65" s="5"/>
      <c r="H65" s="5"/>
      <c r="I65" s="5"/>
      <c r="J65" s="5"/>
      <c r="K65" s="5"/>
    </row>
    <row r="66" spans="2:11">
      <c r="B66" s="1435"/>
      <c r="C66" s="73"/>
      <c r="D66" s="36" t="s">
        <v>590</v>
      </c>
      <c r="E66" s="5"/>
      <c r="F66" s="5"/>
      <c r="G66" s="5"/>
      <c r="H66" s="5"/>
      <c r="I66" s="5"/>
      <c r="J66" s="5"/>
      <c r="K66" s="5"/>
    </row>
    <row r="67" spans="2:11">
      <c r="B67" s="1435"/>
      <c r="C67" s="73"/>
      <c r="D67" s="36" t="s">
        <v>591</v>
      </c>
      <c r="E67" s="5"/>
      <c r="F67" s="5"/>
      <c r="G67" s="5"/>
      <c r="H67" s="5"/>
      <c r="I67" s="5"/>
      <c r="J67" s="5"/>
      <c r="K67" s="5"/>
    </row>
    <row r="68" spans="2:11">
      <c r="B68" s="1435"/>
      <c r="C68" s="73"/>
      <c r="D68" s="36" t="s">
        <v>592</v>
      </c>
      <c r="E68" s="5"/>
      <c r="F68" s="5"/>
      <c r="G68" s="5"/>
      <c r="H68" s="5"/>
      <c r="I68" s="5"/>
      <c r="J68" s="5"/>
      <c r="K68" s="5"/>
    </row>
    <row r="69" spans="2:11">
      <c r="B69" s="1435"/>
      <c r="C69" s="73"/>
      <c r="D69" s="43" t="s">
        <v>287</v>
      </c>
      <c r="E69" s="5"/>
      <c r="F69" s="5"/>
      <c r="G69" s="5"/>
      <c r="H69" s="5"/>
      <c r="I69" s="5"/>
      <c r="J69" s="5"/>
      <c r="K69" s="5"/>
    </row>
    <row r="70" spans="2:11" ht="36">
      <c r="B70" s="1435"/>
      <c r="C70" s="73"/>
      <c r="D70" s="36" t="s">
        <v>593</v>
      </c>
      <c r="E70" s="5"/>
      <c r="F70" s="5"/>
      <c r="G70" s="5"/>
      <c r="H70" s="5"/>
      <c r="I70" s="5"/>
      <c r="J70" s="5"/>
      <c r="K70" s="5"/>
    </row>
    <row r="71" spans="2:11" ht="15" thickBot="1">
      <c r="B71" s="1436"/>
      <c r="C71" s="2"/>
      <c r="D71" s="58"/>
      <c r="E71" s="5"/>
      <c r="F71" s="5"/>
      <c r="G71" s="5"/>
      <c r="H71" s="5"/>
      <c r="I71" s="5"/>
      <c r="J71" s="5"/>
      <c r="K71" s="5"/>
    </row>
    <row r="72" spans="2:11">
      <c r="B72" s="1434" t="s">
        <v>71</v>
      </c>
      <c r="C72" s="78"/>
      <c r="D72" s="1434"/>
      <c r="E72" s="5"/>
      <c r="F72" s="5"/>
      <c r="G72" s="5"/>
      <c r="H72" s="5"/>
      <c r="I72" s="5"/>
      <c r="J72" s="5"/>
      <c r="K72" s="5"/>
    </row>
    <row r="73" spans="2:11" ht="15" thickBot="1">
      <c r="B73" s="1436"/>
      <c r="C73" s="79"/>
      <c r="D73" s="1436"/>
      <c r="E73" s="5"/>
      <c r="F73" s="5"/>
      <c r="G73" s="5"/>
      <c r="H73" s="5"/>
      <c r="I73" s="5"/>
      <c r="J73" s="5"/>
      <c r="K73" s="5"/>
    </row>
    <row r="74" spans="2:11" ht="15" thickBot="1">
      <c r="B74" s="29"/>
      <c r="C74" s="67"/>
      <c r="D74" s="5"/>
      <c r="E74" s="5"/>
      <c r="F74" s="5"/>
      <c r="G74" s="5"/>
      <c r="H74" s="5"/>
      <c r="I74" s="5"/>
      <c r="J74" s="5"/>
      <c r="K74" s="5"/>
    </row>
    <row r="75" spans="2:11" ht="156">
      <c r="B75" s="1434" t="s">
        <v>72</v>
      </c>
      <c r="C75" s="84"/>
      <c r="D75" s="53" t="s">
        <v>594</v>
      </c>
      <c r="E75" s="5"/>
      <c r="F75" s="5"/>
      <c r="G75" s="5"/>
      <c r="H75" s="5"/>
      <c r="I75" s="5"/>
      <c r="J75" s="5"/>
      <c r="K75" s="5"/>
    </row>
    <row r="76" spans="2:11" ht="180">
      <c r="B76" s="1435"/>
      <c r="C76" s="73"/>
      <c r="D76" s="36" t="s">
        <v>595</v>
      </c>
      <c r="E76" s="5"/>
      <c r="F76" s="5"/>
      <c r="G76" s="5"/>
      <c r="H76" s="5"/>
      <c r="I76" s="5"/>
      <c r="J76" s="5"/>
      <c r="K76" s="5"/>
    </row>
    <row r="77" spans="2:11" ht="48">
      <c r="B77" s="1435"/>
      <c r="C77" s="73"/>
      <c r="D77" s="36" t="s">
        <v>596</v>
      </c>
      <c r="E77" s="5"/>
      <c r="F77" s="5"/>
      <c r="G77" s="5"/>
      <c r="H77" s="5"/>
      <c r="I77" s="5"/>
      <c r="J77" s="5"/>
      <c r="K77" s="5"/>
    </row>
    <row r="78" spans="2:11" ht="24">
      <c r="B78" s="1435"/>
      <c r="C78" s="73"/>
      <c r="D78" s="36" t="s">
        <v>597</v>
      </c>
      <c r="E78" s="5"/>
      <c r="F78" s="5"/>
      <c r="G78" s="5"/>
      <c r="H78" s="5"/>
      <c r="I78" s="5"/>
      <c r="J78" s="5"/>
      <c r="K78" s="5"/>
    </row>
    <row r="79" spans="2:11" ht="48">
      <c r="B79" s="1435"/>
      <c r="C79" s="73"/>
      <c r="D79" s="36" t="s">
        <v>598</v>
      </c>
      <c r="E79" s="5"/>
      <c r="F79" s="5"/>
      <c r="G79" s="5"/>
      <c r="H79" s="5"/>
      <c r="I79" s="5"/>
      <c r="J79" s="5"/>
      <c r="K79" s="5"/>
    </row>
    <row r="80" spans="2:11" ht="24">
      <c r="B80" s="1435"/>
      <c r="C80" s="73"/>
      <c r="D80" s="36" t="s">
        <v>599</v>
      </c>
      <c r="E80" s="5"/>
      <c r="F80" s="5"/>
      <c r="G80" s="5"/>
      <c r="H80" s="5"/>
      <c r="I80" s="5"/>
      <c r="J80" s="5"/>
      <c r="K80" s="5"/>
    </row>
    <row r="81" spans="2:11">
      <c r="B81" s="1435"/>
      <c r="C81" s="73"/>
      <c r="D81" s="36" t="s">
        <v>600</v>
      </c>
      <c r="E81" s="5"/>
      <c r="F81" s="5"/>
      <c r="G81" s="5"/>
      <c r="H81" s="5"/>
      <c r="I81" s="5"/>
      <c r="J81" s="5"/>
      <c r="K81" s="5"/>
    </row>
    <row r="82" spans="2:11" ht="24">
      <c r="B82" s="1435"/>
      <c r="C82" s="73"/>
      <c r="D82" s="36" t="s">
        <v>601</v>
      </c>
      <c r="E82" s="5"/>
      <c r="F82" s="5"/>
      <c r="G82" s="5"/>
      <c r="H82" s="5"/>
      <c r="I82" s="5"/>
      <c r="J82" s="5"/>
      <c r="K82" s="5"/>
    </row>
    <row r="83" spans="2:11" ht="24">
      <c r="B83" s="1435"/>
      <c r="C83" s="73"/>
      <c r="D83" s="36" t="s">
        <v>602</v>
      </c>
      <c r="E83" s="5"/>
      <c r="F83" s="5"/>
      <c r="G83" s="5"/>
      <c r="H83" s="5"/>
      <c r="I83" s="5"/>
      <c r="J83" s="5"/>
      <c r="K83" s="5"/>
    </row>
    <row r="84" spans="2:11" ht="24">
      <c r="B84" s="1435"/>
      <c r="C84" s="73"/>
      <c r="D84" s="36" t="s">
        <v>603</v>
      </c>
      <c r="E84" s="5"/>
      <c r="F84" s="5"/>
      <c r="G84" s="5"/>
      <c r="H84" s="5"/>
      <c r="I84" s="5"/>
      <c r="J84" s="5"/>
      <c r="K84" s="5"/>
    </row>
    <row r="85" spans="2:11" ht="24">
      <c r="B85" s="1435"/>
      <c r="C85" s="73"/>
      <c r="D85" s="36" t="s">
        <v>604</v>
      </c>
      <c r="E85" s="5"/>
      <c r="F85" s="5"/>
      <c r="G85" s="5"/>
      <c r="H85" s="5"/>
      <c r="I85" s="5"/>
      <c r="J85" s="5"/>
      <c r="K85" s="5"/>
    </row>
    <row r="86" spans="2:11" ht="36">
      <c r="B86" s="1435"/>
      <c r="C86" s="73"/>
      <c r="D86" s="36" t="s">
        <v>605</v>
      </c>
      <c r="E86" s="5"/>
      <c r="F86" s="5"/>
      <c r="G86" s="5"/>
      <c r="H86" s="5"/>
      <c r="I86" s="5"/>
      <c r="J86" s="5"/>
      <c r="K86" s="5"/>
    </row>
    <row r="87" spans="2:11" ht="24">
      <c r="B87" s="1435"/>
      <c r="C87" s="73"/>
      <c r="D87" s="36" t="s">
        <v>606</v>
      </c>
      <c r="E87" s="5"/>
      <c r="F87" s="5"/>
      <c r="G87" s="5"/>
      <c r="H87" s="5"/>
      <c r="I87" s="5"/>
      <c r="J87" s="5"/>
      <c r="K87" s="5"/>
    </row>
    <row r="88" spans="2:11" ht="48.6" thickBot="1">
      <c r="B88" s="1436"/>
      <c r="C88" s="2"/>
      <c r="D88" s="32" t="s">
        <v>607</v>
      </c>
      <c r="E88" s="5"/>
      <c r="F88" s="5"/>
      <c r="G88" s="5"/>
      <c r="H88" s="5"/>
      <c r="I88" s="5"/>
      <c r="J88" s="5"/>
      <c r="K88" s="5"/>
    </row>
    <row r="89" spans="2:11" ht="36">
      <c r="B89" s="1434" t="s">
        <v>89</v>
      </c>
      <c r="C89" s="73"/>
      <c r="D89" s="43" t="s">
        <v>608</v>
      </c>
      <c r="E89" s="5"/>
      <c r="F89" s="5"/>
      <c r="G89" s="5"/>
      <c r="H89" s="5"/>
      <c r="I89" s="5"/>
      <c r="J89" s="5"/>
      <c r="K89" s="5"/>
    </row>
    <row r="90" spans="2:11" ht="36">
      <c r="B90" s="1435"/>
      <c r="C90" s="73"/>
      <c r="D90" s="36" t="s">
        <v>609</v>
      </c>
      <c r="E90" s="5"/>
      <c r="F90" s="5"/>
      <c r="G90" s="5"/>
      <c r="H90" s="5"/>
      <c r="I90" s="5"/>
      <c r="J90" s="5"/>
      <c r="K90" s="5"/>
    </row>
    <row r="91" spans="2:11">
      <c r="B91" s="1435"/>
      <c r="C91" s="73"/>
      <c r="D91" s="13"/>
      <c r="E91" s="5"/>
      <c r="F91" s="5"/>
      <c r="G91" s="5"/>
      <c r="H91" s="5"/>
      <c r="I91" s="5"/>
      <c r="J91" s="5"/>
      <c r="K91" s="5"/>
    </row>
    <row r="92" spans="2:11">
      <c r="B92" s="1435"/>
      <c r="C92" s="73"/>
      <c r="D92" s="36" t="s">
        <v>90</v>
      </c>
      <c r="E92" s="5"/>
      <c r="F92" s="5"/>
      <c r="G92" s="5"/>
      <c r="H92" s="5"/>
      <c r="I92" s="5"/>
      <c r="J92" s="5"/>
      <c r="K92" s="5"/>
    </row>
    <row r="93" spans="2:11" ht="38.4">
      <c r="B93" s="1435"/>
      <c r="C93" s="73"/>
      <c r="D93" s="36" t="s">
        <v>610</v>
      </c>
      <c r="E93" s="5"/>
      <c r="F93" s="5"/>
      <c r="G93" s="5"/>
      <c r="H93" s="5"/>
      <c r="I93" s="5"/>
      <c r="J93" s="5"/>
      <c r="K93" s="5"/>
    </row>
    <row r="94" spans="2:11" ht="38.4">
      <c r="B94" s="1435"/>
      <c r="C94" s="73"/>
      <c r="D94" s="36" t="s">
        <v>611</v>
      </c>
      <c r="E94" s="5"/>
      <c r="F94" s="5"/>
      <c r="G94" s="5"/>
      <c r="H94" s="5"/>
      <c r="I94" s="5"/>
      <c r="J94" s="5"/>
      <c r="K94" s="5"/>
    </row>
    <row r="95" spans="2:11" ht="26.4">
      <c r="B95" s="1435"/>
      <c r="C95" s="73"/>
      <c r="D95" s="36" t="s">
        <v>612</v>
      </c>
      <c r="E95" s="5"/>
      <c r="F95" s="5"/>
      <c r="G95" s="5"/>
      <c r="H95" s="5"/>
      <c r="I95" s="5"/>
      <c r="J95" s="5"/>
      <c r="K95" s="5"/>
    </row>
    <row r="96" spans="2:11">
      <c r="B96" s="1435"/>
      <c r="C96" s="73"/>
      <c r="D96" s="36" t="s">
        <v>613</v>
      </c>
      <c r="E96" s="5"/>
      <c r="F96" s="5"/>
      <c r="G96" s="5"/>
      <c r="H96" s="5"/>
      <c r="I96" s="5"/>
      <c r="J96" s="5"/>
      <c r="K96" s="5"/>
    </row>
    <row r="97" spans="2:11" ht="36.6" thickBot="1">
      <c r="B97" s="1436"/>
      <c r="C97" s="2"/>
      <c r="D97" s="60" t="s">
        <v>614</v>
      </c>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sheetData>
  <mergeCells count="32">
    <mergeCell ref="B10:D10"/>
    <mergeCell ref="F10:S10"/>
    <mergeCell ref="F11:S11"/>
    <mergeCell ref="E12:R12"/>
    <mergeCell ref="E13:R13"/>
    <mergeCell ref="B75:B88"/>
    <mergeCell ref="B89:B97"/>
    <mergeCell ref="B58:D58"/>
    <mergeCell ref="B60:B71"/>
    <mergeCell ref="B72:B73"/>
    <mergeCell ref="D72:D73"/>
    <mergeCell ref="B15:B19"/>
    <mergeCell ref="B42:B48"/>
    <mergeCell ref="B55:E56"/>
    <mergeCell ref="D15:K15"/>
    <mergeCell ref="D16:K16"/>
    <mergeCell ref="D19:K19"/>
    <mergeCell ref="D28:K28"/>
    <mergeCell ref="C20:C21"/>
    <mergeCell ref="D20:D21"/>
    <mergeCell ref="E20:E21"/>
    <mergeCell ref="F20:J20"/>
    <mergeCell ref="D29:K29"/>
    <mergeCell ref="D30:K30"/>
    <mergeCell ref="B32:E32"/>
    <mergeCell ref="B33:B39"/>
    <mergeCell ref="B41:E41"/>
    <mergeCell ref="A1:P1"/>
    <mergeCell ref="A2:P2"/>
    <mergeCell ref="A3:P3"/>
    <mergeCell ref="A4:D4"/>
    <mergeCell ref="A5:P5"/>
  </mergeCells>
  <conditionalFormatting sqref="E12:R12">
    <cfRule type="expression" dxfId="61" priority="1">
      <formula>E11="SI SE REPORTA"</formula>
    </cfRule>
  </conditionalFormatting>
  <conditionalFormatting sqref="F10">
    <cfRule type="notContainsBlanks" dxfId="60" priority="4">
      <formula>LEN(TRIM(F10))&gt;0</formula>
    </cfRule>
  </conditionalFormatting>
  <conditionalFormatting sqref="F11:S11">
    <cfRule type="expression" dxfId="59" priority="2">
      <formula>E11="NO SE REPORTA"</formula>
    </cfRule>
    <cfRule type="expression" dxfId="58" priority="3">
      <formula>E10="NO APLICA"</formula>
    </cfRule>
  </conditionalFormatting>
  <conditionalFormatting sqref="H27">
    <cfRule type="containsText" dxfId="57" priority="5" operator="containsText" text="ERROR">
      <formula>NOT(ISERROR(SEARCH("ERROR",H27)))</formula>
    </cfRule>
  </conditionalFormatting>
  <dataValidations count="5">
    <dataValidation type="whole" operator="greaterThanOrEqual" allowBlank="1" showErrorMessage="1" errorTitle="ERROR" error="Escriba un número igual o mayor que 0" promptTitle="ERROR" prompt="Escriba un número igual o mayor que 0" sqref="E18:H18" xr:uid="{00000000-0002-0000-1400-000000000000}">
      <formula1>0</formula1>
    </dataValidation>
    <dataValidation allowBlank="1" showInputMessage="1" showErrorMessage="1" sqref="H27 I22:I27" xr:uid="{00000000-0002-0000-1400-000002000000}"/>
    <dataValidation type="list" allowBlank="1" showInputMessage="1" showErrorMessage="1" sqref="E11" xr:uid="{00000000-0002-0000-1400-000003000000}">
      <formula1>REPORTE</formula1>
    </dataValidation>
    <dataValidation type="list" allowBlank="1" showInputMessage="1" showErrorMessage="1" sqref="E10" xr:uid="{00000000-0002-0000-1400-000004000000}">
      <formula1>SI</formula1>
    </dataValidation>
    <dataValidation type="decimal" allowBlank="1" showInputMessage="1" showErrorMessage="1" errorTitle="ERROR" error="Escriba un valor entre 0% y 100%" sqref="F22:H26" xr:uid="{00000000-0002-0000-1400-000001000000}">
      <formula1>0</formula1>
      <formula2>1</formula2>
    </dataValidation>
  </dataValidations>
  <hyperlinks>
    <hyperlink ref="B9" location="'ANEXO 3'!A1" display="VOLVER AL INDICE" xr:uid="{00000000-0004-0000-1400-000000000000}"/>
    <hyperlink ref="E37" r:id="rId1" xr:uid="{00000000-0004-0000-1400-000001000000}"/>
  </hyperlinks>
  <pageMargins left="0.25" right="0.25" top="0.75" bottom="0.75" header="0.3" footer="0.3"/>
  <pageSetup paperSize="178"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7">
    <tabColor rgb="FF92D050"/>
  </sheetPr>
  <dimension ref="A1:U179"/>
  <sheetViews>
    <sheetView showGridLines="0" topLeftCell="A20" zoomScale="98" zoomScaleNormal="98" workbookViewId="0">
      <selection activeCell="D8" sqref="D8"/>
    </sheetView>
  </sheetViews>
  <sheetFormatPr baseColWidth="10" defaultRowHeight="14.4"/>
  <cols>
    <col min="1" max="1" width="1.88671875" customWidth="1"/>
    <col min="2" max="2" width="12.88671875" customWidth="1"/>
    <col min="3" max="3" width="5" style="66" bestFit="1" customWidth="1"/>
    <col min="4" max="4" width="41.6640625" customWidth="1"/>
    <col min="5" max="5" width="17.886718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629</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4" t="s">
        <v>1178</v>
      </c>
      <c r="C8" s="564">
        <v>2023</v>
      </c>
      <c r="D8" s="170">
        <f>IF(E10="NO APLICA","NO APLICA",IF(E11="NO SE REPORTA","SIN INFORMACION",+H22))</f>
        <v>1</v>
      </c>
      <c r="E8" s="167"/>
      <c r="F8" s="5" t="s">
        <v>129</v>
      </c>
      <c r="G8" s="5"/>
      <c r="H8" s="5"/>
      <c r="I8" s="5"/>
      <c r="J8" s="5"/>
      <c r="K8" s="5"/>
    </row>
    <row r="9" spans="1:21">
      <c r="B9" s="298" t="s">
        <v>1179</v>
      </c>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30" customHeight="1">
      <c r="B12" s="298"/>
      <c r="C12" s="67"/>
      <c r="D12" s="144" t="str">
        <f>IF(E11="SI SE REPORTA","¿Qué programas o proyectos del Plan de Acción están asociados al indicador? ","")</f>
        <v xml:space="preserve">¿Qué programas o proyectos del Plan de Acción están asociados al indicador? </v>
      </c>
      <c r="E12" s="1535" t="s">
        <v>1845</v>
      </c>
      <c r="F12" s="1535"/>
      <c r="G12" s="1535"/>
      <c r="H12" s="1535"/>
      <c r="I12" s="1535"/>
      <c r="J12" s="1535"/>
      <c r="K12" s="1535"/>
      <c r="L12" s="1535"/>
      <c r="M12" s="1535"/>
      <c r="N12" s="1535"/>
      <c r="O12" s="1535"/>
      <c r="P12" s="1535"/>
      <c r="Q12" s="1535"/>
      <c r="R12" s="1535"/>
    </row>
    <row r="13" spans="1:21" ht="39.75" customHeight="1">
      <c r="B13" s="298"/>
      <c r="C13" s="67"/>
      <c r="D13" s="144" t="s">
        <v>1236</v>
      </c>
      <c r="E13" s="1408" t="s">
        <v>1946</v>
      </c>
      <c r="F13" s="1409"/>
      <c r="G13" s="1409"/>
      <c r="H13" s="1409"/>
      <c r="I13" s="1409"/>
      <c r="J13" s="1409"/>
      <c r="K13" s="1409"/>
      <c r="L13" s="1409"/>
      <c r="M13" s="1409"/>
      <c r="N13" s="1409"/>
      <c r="O13" s="1409"/>
      <c r="P13" s="1409"/>
      <c r="Q13" s="1409"/>
      <c r="R13" s="1410"/>
    </row>
    <row r="14" spans="1:21" ht="6.9" customHeight="1" thickBot="1">
      <c r="B14" s="298"/>
      <c r="D14" s="5"/>
      <c r="E14" s="5"/>
      <c r="F14" s="5"/>
      <c r="G14" s="5"/>
      <c r="H14" s="5"/>
      <c r="I14" s="5"/>
      <c r="J14" s="5"/>
      <c r="K14" s="5"/>
    </row>
    <row r="15" spans="1:21" ht="15" thickBot="1">
      <c r="B15" s="1434" t="s">
        <v>2</v>
      </c>
      <c r="C15" s="68"/>
      <c r="D15" s="1425" t="s">
        <v>3</v>
      </c>
      <c r="E15" s="1426"/>
      <c r="F15" s="1426"/>
      <c r="G15" s="1426"/>
      <c r="H15" s="1426"/>
      <c r="I15" s="1427"/>
      <c r="J15" s="5"/>
      <c r="K15" s="5"/>
    </row>
    <row r="16" spans="1:21" ht="47.25" customHeight="1" thickBot="1">
      <c r="B16" s="1435"/>
      <c r="C16" s="73"/>
      <c r="D16" s="34" t="s">
        <v>643</v>
      </c>
      <c r="E16" s="509">
        <v>22</v>
      </c>
      <c r="F16" s="5"/>
      <c r="G16" s="5"/>
      <c r="H16" s="5"/>
      <c r="I16" s="17"/>
      <c r="J16" s="5"/>
      <c r="K16" s="5"/>
    </row>
    <row r="17" spans="2:11" ht="66.75" customHeight="1" thickBot="1">
      <c r="B17" s="1435"/>
      <c r="C17" s="73"/>
      <c r="D17" s="32" t="s">
        <v>1978</v>
      </c>
      <c r="E17" s="509">
        <v>22</v>
      </c>
      <c r="F17" s="5"/>
      <c r="G17" s="5"/>
      <c r="H17" s="5"/>
      <c r="I17" s="17"/>
      <c r="J17" s="5"/>
      <c r="K17" s="5"/>
    </row>
    <row r="18" spans="2:11" ht="15" thickBot="1">
      <c r="B18" s="1435"/>
      <c r="C18" s="71"/>
      <c r="D18" s="1447"/>
      <c r="E18" s="1448"/>
      <c r="F18" s="1448"/>
      <c r="G18" s="1448"/>
      <c r="H18" s="1448"/>
      <c r="I18" s="1449"/>
      <c r="J18" s="5"/>
      <c r="K18" s="5"/>
    </row>
    <row r="19" spans="2:11" ht="21.75" customHeight="1" thickBot="1">
      <c r="B19" s="1435"/>
      <c r="C19" s="73"/>
      <c r="D19" s="572" t="s">
        <v>149</v>
      </c>
      <c r="E19" s="578" t="s">
        <v>19</v>
      </c>
      <c r="F19" s="578" t="s">
        <v>20</v>
      </c>
      <c r="G19" s="578" t="s">
        <v>21</v>
      </c>
      <c r="H19" s="578" t="s">
        <v>22</v>
      </c>
      <c r="I19" s="578" t="s">
        <v>150</v>
      </c>
      <c r="J19" s="5"/>
      <c r="K19" s="5"/>
    </row>
    <row r="20" spans="2:11" ht="36.6" thickBot="1">
      <c r="B20" s="1435"/>
      <c r="C20" s="73"/>
      <c r="D20" s="32" t="s">
        <v>644</v>
      </c>
      <c r="E20" s="509">
        <v>23</v>
      </c>
      <c r="F20" s="509">
        <v>23</v>
      </c>
      <c r="G20" s="509">
        <v>22</v>
      </c>
      <c r="H20" s="509">
        <v>22</v>
      </c>
      <c r="I20" s="519">
        <f>SUM(E20:H20)</f>
        <v>90</v>
      </c>
      <c r="J20" s="5"/>
      <c r="K20" s="5"/>
    </row>
    <row r="21" spans="2:11" ht="36.6" thickBot="1">
      <c r="B21" s="1435"/>
      <c r="C21" s="73"/>
      <c r="D21" s="32" t="s">
        <v>645</v>
      </c>
      <c r="E21" s="509">
        <v>23</v>
      </c>
      <c r="F21" s="509">
        <v>22</v>
      </c>
      <c r="G21" s="509">
        <v>22</v>
      </c>
      <c r="H21" s="509">
        <v>22</v>
      </c>
      <c r="I21" s="519">
        <f>SUM(E21:H21)</f>
        <v>89</v>
      </c>
      <c r="J21" s="5"/>
      <c r="K21" s="5"/>
    </row>
    <row r="22" spans="2:11" ht="36.6" thickBot="1">
      <c r="B22" s="1436"/>
      <c r="C22" s="2"/>
      <c r="D22" s="32" t="s">
        <v>646</v>
      </c>
      <c r="E22" s="120">
        <f>IFERROR(E21/E20,0)</f>
        <v>1</v>
      </c>
      <c r="F22" s="120">
        <f>IFERROR(F21/F20,0)</f>
        <v>0.95652173913043481</v>
      </c>
      <c r="G22" s="120">
        <f>IFERROR(G21/G20,0)</f>
        <v>1</v>
      </c>
      <c r="H22" s="120">
        <f>IFERROR(H21/H20,0)</f>
        <v>1</v>
      </c>
      <c r="I22" s="120">
        <f>IFERROR(I21/I20,0)</f>
        <v>0.98888888888888893</v>
      </c>
      <c r="J22" s="5"/>
      <c r="K22" s="5"/>
    </row>
    <row r="23" spans="2:11" ht="36" customHeight="1" thickBot="1">
      <c r="B23" s="37" t="s">
        <v>33</v>
      </c>
      <c r="C23" s="72"/>
      <c r="D23" s="1437" t="s">
        <v>647</v>
      </c>
      <c r="E23" s="1438"/>
      <c r="F23" s="1438"/>
      <c r="G23" s="1438"/>
      <c r="H23" s="1438"/>
      <c r="I23" s="1439"/>
      <c r="J23" s="5"/>
      <c r="K23" s="5"/>
    </row>
    <row r="24" spans="2:11" ht="36" customHeight="1" thickBot="1">
      <c r="B24" s="37" t="s">
        <v>35</v>
      </c>
      <c r="C24" s="72"/>
      <c r="D24" s="1437" t="s">
        <v>158</v>
      </c>
      <c r="E24" s="1438"/>
      <c r="F24" s="1438"/>
      <c r="G24" s="1438"/>
      <c r="H24" s="1438"/>
      <c r="I24" s="1439"/>
      <c r="J24" s="5"/>
      <c r="K24" s="5"/>
    </row>
    <row r="25" spans="2:11" ht="15" thickBot="1">
      <c r="B25" s="29"/>
      <c r="C25" s="67"/>
      <c r="D25" s="5"/>
      <c r="E25" s="5"/>
      <c r="F25" s="5"/>
      <c r="G25" s="5"/>
      <c r="H25" s="5"/>
      <c r="I25" s="5"/>
      <c r="J25" s="5"/>
      <c r="K25" s="5"/>
    </row>
    <row r="26" spans="2:11" ht="24" customHeight="1" thickBot="1">
      <c r="B26" s="1444" t="s">
        <v>37</v>
      </c>
      <c r="C26" s="1445"/>
      <c r="D26" s="1445"/>
      <c r="E26" s="1446"/>
      <c r="F26" s="5"/>
      <c r="G26" s="5"/>
      <c r="H26" s="5"/>
      <c r="I26" s="5"/>
      <c r="J26" s="5"/>
      <c r="K26" s="5"/>
    </row>
    <row r="27" spans="2:11" ht="25.5" customHeight="1" thickBot="1">
      <c r="B27" s="1434">
        <v>1</v>
      </c>
      <c r="C27" s="73"/>
      <c r="D27" s="38" t="s">
        <v>38</v>
      </c>
      <c r="E27" s="577" t="s">
        <v>1811</v>
      </c>
      <c r="F27" s="5"/>
      <c r="G27" s="5"/>
      <c r="H27" s="5"/>
      <c r="I27" s="5"/>
      <c r="J27" s="5"/>
      <c r="K27" s="5"/>
    </row>
    <row r="28" spans="2:11" ht="24.6" thickBot="1">
      <c r="B28" s="1435"/>
      <c r="C28" s="73"/>
      <c r="D28" s="32" t="s">
        <v>39</v>
      </c>
      <c r="E28" s="24" t="s">
        <v>1820</v>
      </c>
      <c r="F28" s="5"/>
      <c r="G28" s="5"/>
      <c r="H28" s="5"/>
      <c r="I28" s="5"/>
      <c r="J28" s="5"/>
      <c r="K28" s="5"/>
    </row>
    <row r="29" spans="2:11" ht="15" thickBot="1">
      <c r="B29" s="1435"/>
      <c r="C29" s="73"/>
      <c r="D29" s="32" t="s">
        <v>40</v>
      </c>
      <c r="E29" s="24" t="s">
        <v>2035</v>
      </c>
      <c r="F29" s="5"/>
      <c r="G29" s="5"/>
      <c r="H29" s="5"/>
      <c r="I29" s="5"/>
      <c r="J29" s="5"/>
      <c r="K29" s="5"/>
    </row>
    <row r="30" spans="2:11" ht="15" thickBot="1">
      <c r="B30" s="1435"/>
      <c r="C30" s="73"/>
      <c r="D30" s="32" t="s">
        <v>41</v>
      </c>
      <c r="E30" s="24" t="s">
        <v>2028</v>
      </c>
      <c r="F30" s="5"/>
      <c r="G30" s="5"/>
      <c r="H30" s="5"/>
      <c r="I30" s="5"/>
      <c r="J30" s="5"/>
      <c r="K30" s="5"/>
    </row>
    <row r="31" spans="2:11" ht="29.4" thickBot="1">
      <c r="B31" s="1435"/>
      <c r="C31" s="73"/>
      <c r="D31" s="32" t="s">
        <v>42</v>
      </c>
      <c r="E31" s="504" t="s">
        <v>1821</v>
      </c>
      <c r="F31" s="5"/>
      <c r="G31" s="5"/>
      <c r="H31" s="5"/>
      <c r="I31" s="5"/>
      <c r="J31" s="5"/>
      <c r="K31" s="5"/>
    </row>
    <row r="32" spans="2:11" ht="15" thickBot="1">
      <c r="B32" s="1435"/>
      <c r="C32" s="73"/>
      <c r="D32" s="32" t="s">
        <v>43</v>
      </c>
      <c r="E32" s="24" t="s">
        <v>1822</v>
      </c>
      <c r="F32" s="5"/>
      <c r="G32" s="5"/>
      <c r="H32" s="5"/>
      <c r="I32" s="5"/>
      <c r="J32" s="5"/>
      <c r="K32" s="5"/>
    </row>
    <row r="33" spans="2:11" ht="15" thickBot="1">
      <c r="B33" s="1436"/>
      <c r="C33" s="2"/>
      <c r="D33" s="32" t="s">
        <v>44</v>
      </c>
      <c r="E33" s="24" t="s">
        <v>1814</v>
      </c>
      <c r="F33" s="5"/>
      <c r="G33" s="5"/>
      <c r="H33" s="5"/>
      <c r="I33" s="5"/>
      <c r="J33" s="5"/>
      <c r="K33" s="5"/>
    </row>
    <row r="34" spans="2:11" ht="15" thickBot="1">
      <c r="B34" s="1"/>
      <c r="C34" s="64"/>
      <c r="D34" s="5"/>
      <c r="E34" s="5"/>
      <c r="F34" s="5"/>
      <c r="G34" s="5"/>
      <c r="H34" s="5"/>
      <c r="I34" s="5"/>
      <c r="J34" s="5"/>
      <c r="K34" s="5"/>
    </row>
    <row r="35" spans="2:11" ht="15" thickBot="1">
      <c r="B35" s="1444" t="s">
        <v>45</v>
      </c>
      <c r="C35" s="1445"/>
      <c r="D35" s="1445"/>
      <c r="E35" s="1446"/>
      <c r="F35" s="5"/>
      <c r="G35" s="5"/>
      <c r="H35" s="5"/>
      <c r="I35" s="5"/>
      <c r="J35" s="5"/>
      <c r="K35" s="5"/>
    </row>
    <row r="36" spans="2:11" ht="15" thickBot="1">
      <c r="B36" s="1434">
        <v>1</v>
      </c>
      <c r="C36" s="73"/>
      <c r="D36" s="38" t="s">
        <v>38</v>
      </c>
      <c r="E36" s="176" t="s">
        <v>46</v>
      </c>
      <c r="F36" s="5"/>
      <c r="G36" s="5"/>
      <c r="H36" s="5"/>
      <c r="I36" s="5"/>
      <c r="J36" s="5"/>
      <c r="K36" s="5"/>
    </row>
    <row r="37" spans="2:11" ht="15" thickBot="1">
      <c r="B37" s="1435"/>
      <c r="C37" s="73"/>
      <c r="D37" s="32" t="s">
        <v>39</v>
      </c>
      <c r="E37" s="176" t="s">
        <v>159</v>
      </c>
      <c r="F37" s="5"/>
      <c r="G37" s="5"/>
      <c r="H37" s="5"/>
      <c r="I37" s="5"/>
      <c r="J37" s="5"/>
      <c r="K37" s="5"/>
    </row>
    <row r="38" spans="2:11" ht="15" thickBot="1">
      <c r="B38" s="1435"/>
      <c r="C38" s="73"/>
      <c r="D38" s="32" t="s">
        <v>40</v>
      </c>
      <c r="E38" s="193"/>
      <c r="F38" s="5"/>
      <c r="G38" s="5"/>
      <c r="H38" s="5"/>
      <c r="I38" s="5"/>
      <c r="J38" s="5"/>
      <c r="K38" s="5"/>
    </row>
    <row r="39" spans="2:11" ht="15" thickBot="1">
      <c r="B39" s="1435"/>
      <c r="C39" s="73"/>
      <c r="D39" s="32" t="s">
        <v>41</v>
      </c>
      <c r="E39" s="193"/>
      <c r="F39" s="5"/>
      <c r="G39" s="5"/>
      <c r="H39" s="5"/>
      <c r="I39" s="5"/>
      <c r="J39" s="5"/>
      <c r="K39" s="5"/>
    </row>
    <row r="40" spans="2:11" ht="15" thickBot="1">
      <c r="B40" s="1435"/>
      <c r="C40" s="73"/>
      <c r="D40" s="32" t="s">
        <v>42</v>
      </c>
      <c r="E40" s="193"/>
      <c r="F40" s="5"/>
      <c r="G40" s="5"/>
      <c r="H40" s="5"/>
      <c r="I40" s="5"/>
      <c r="J40" s="5"/>
      <c r="K40" s="5"/>
    </row>
    <row r="41" spans="2:11" ht="15" thickBot="1">
      <c r="B41" s="1435"/>
      <c r="C41" s="73"/>
      <c r="D41" s="32" t="s">
        <v>43</v>
      </c>
      <c r="E41" s="193"/>
      <c r="F41" s="5"/>
      <c r="G41" s="5"/>
      <c r="H41" s="5"/>
      <c r="I41" s="5"/>
      <c r="J41" s="5"/>
      <c r="K41" s="5"/>
    </row>
    <row r="42" spans="2:11" ht="15" thickBot="1">
      <c r="B42" s="1436"/>
      <c r="C42" s="2"/>
      <c r="D42" s="32" t="s">
        <v>44</v>
      </c>
      <c r="E42" s="193"/>
      <c r="F42" s="5"/>
      <c r="G42" s="5"/>
      <c r="H42" s="5"/>
      <c r="I42" s="5"/>
      <c r="J42" s="5"/>
      <c r="K42" s="5"/>
    </row>
    <row r="43" spans="2:11" ht="15" thickBot="1">
      <c r="B43" s="29"/>
      <c r="C43" s="67"/>
      <c r="D43" s="5"/>
      <c r="E43" s="5"/>
      <c r="F43" s="5"/>
      <c r="G43" s="5"/>
      <c r="H43" s="5"/>
      <c r="I43" s="5"/>
      <c r="J43" s="5"/>
      <c r="K43" s="5"/>
    </row>
    <row r="44" spans="2:11" ht="15" customHeight="1" thickBot="1">
      <c r="B44" s="97" t="s">
        <v>48</v>
      </c>
      <c r="C44" s="98"/>
      <c r="D44" s="98"/>
      <c r="E44" s="99"/>
      <c r="G44" s="5"/>
      <c r="H44" s="5"/>
      <c r="I44" s="5"/>
      <c r="J44" s="5"/>
      <c r="K44" s="5"/>
    </row>
    <row r="45" spans="2:11" ht="24.6" thickBot="1">
      <c r="B45" s="37" t="s">
        <v>49</v>
      </c>
      <c r="C45" s="32" t="s">
        <v>50</v>
      </c>
      <c r="D45" s="32" t="s">
        <v>51</v>
      </c>
      <c r="E45" s="32" t="s">
        <v>52</v>
      </c>
      <c r="F45" s="5"/>
      <c r="G45" s="5"/>
      <c r="H45" s="5"/>
      <c r="I45" s="5"/>
      <c r="J45" s="5"/>
    </row>
    <row r="46" spans="2:11" ht="60.6" thickBot="1">
      <c r="B46" s="39">
        <v>42401</v>
      </c>
      <c r="C46" s="32">
        <v>0.01</v>
      </c>
      <c r="D46" s="40" t="s">
        <v>648</v>
      </c>
      <c r="E46" s="32"/>
      <c r="F46" s="5"/>
      <c r="G46" s="5"/>
      <c r="H46" s="5"/>
      <c r="I46" s="5"/>
      <c r="J46" s="5"/>
    </row>
    <row r="47" spans="2:11" ht="15" thickBot="1">
      <c r="B47" s="3"/>
      <c r="C47" s="74"/>
      <c r="D47" s="5"/>
      <c r="E47" s="5"/>
      <c r="F47" s="5"/>
      <c r="G47" s="5"/>
      <c r="H47" s="5"/>
      <c r="I47" s="5"/>
      <c r="J47" s="5"/>
      <c r="K47" s="5"/>
    </row>
    <row r="48" spans="2:11" ht="15" thickBot="1">
      <c r="B48" s="106" t="s">
        <v>54</v>
      </c>
      <c r="C48" s="75"/>
      <c r="D48" s="5"/>
      <c r="E48" s="5"/>
      <c r="F48" s="5"/>
      <c r="G48" s="5"/>
      <c r="H48" s="5"/>
      <c r="I48" s="5"/>
      <c r="J48" s="5"/>
      <c r="K48" s="5"/>
    </row>
    <row r="49" spans="2:11">
      <c r="B49" s="1507"/>
      <c r="C49" s="1508"/>
      <c r="D49" s="1508"/>
      <c r="E49" s="1509"/>
      <c r="F49" s="5"/>
      <c r="G49" s="5"/>
      <c r="H49" s="5"/>
      <c r="I49" s="5"/>
      <c r="J49" s="5"/>
      <c r="K49" s="5"/>
    </row>
    <row r="50" spans="2:11" ht="15" thickBot="1">
      <c r="B50" s="1510"/>
      <c r="C50" s="1511"/>
      <c r="D50" s="1511"/>
      <c r="E50" s="1512"/>
      <c r="F50" s="5"/>
      <c r="G50" s="5"/>
      <c r="H50" s="5"/>
      <c r="I50" s="5"/>
      <c r="J50" s="5"/>
      <c r="K50" s="5"/>
    </row>
    <row r="51" spans="2:11" ht="15" thickBot="1">
      <c r="B51" s="5"/>
      <c r="D51" s="5"/>
      <c r="E51" s="5"/>
      <c r="F51" s="5"/>
      <c r="G51" s="5"/>
      <c r="H51" s="5"/>
      <c r="I51" s="5"/>
      <c r="J51" s="5"/>
      <c r="K51" s="5"/>
    </row>
    <row r="52" spans="2:11" ht="24.6" thickBot="1">
      <c r="B52" s="41" t="s">
        <v>55</v>
      </c>
      <c r="C52" s="76"/>
      <c r="D52" s="5"/>
      <c r="E52" s="5"/>
      <c r="F52" s="5"/>
      <c r="G52" s="5"/>
      <c r="H52" s="5"/>
      <c r="I52" s="5"/>
      <c r="J52" s="5"/>
      <c r="K52" s="5"/>
    </row>
    <row r="53" spans="2:11" ht="15" thickBot="1">
      <c r="B53" s="1"/>
      <c r="C53" s="64"/>
      <c r="D53" s="5"/>
      <c r="E53" s="5"/>
      <c r="F53" s="5"/>
      <c r="G53" s="5"/>
      <c r="H53" s="5"/>
      <c r="I53" s="5"/>
      <c r="J53" s="5"/>
      <c r="K53" s="5"/>
    </row>
    <row r="54" spans="2:11" ht="60.6" thickBot="1">
      <c r="B54" s="42" t="s">
        <v>56</v>
      </c>
      <c r="C54" s="77"/>
      <c r="D54" s="34" t="s">
        <v>630</v>
      </c>
      <c r="E54" s="5"/>
      <c r="F54" s="5"/>
      <c r="G54" s="5"/>
      <c r="H54" s="5"/>
      <c r="I54" s="5"/>
      <c r="J54" s="5"/>
      <c r="K54" s="5"/>
    </row>
    <row r="55" spans="2:11">
      <c r="B55" s="1434" t="s">
        <v>58</v>
      </c>
      <c r="C55" s="73"/>
      <c r="D55" s="43" t="s">
        <v>59</v>
      </c>
      <c r="E55" s="5"/>
      <c r="F55" s="5"/>
      <c r="G55" s="5"/>
      <c r="H55" s="5"/>
      <c r="I55" s="5"/>
      <c r="J55" s="5"/>
      <c r="K55" s="5"/>
    </row>
    <row r="56" spans="2:11" ht="60">
      <c r="B56" s="1435"/>
      <c r="C56" s="73"/>
      <c r="D56" s="36" t="s">
        <v>631</v>
      </c>
      <c r="E56" s="5"/>
      <c r="F56" s="5"/>
      <c r="G56" s="5"/>
      <c r="H56" s="5"/>
      <c r="I56" s="5"/>
      <c r="J56" s="5"/>
      <c r="K56" s="5"/>
    </row>
    <row r="57" spans="2:11">
      <c r="B57" s="1435"/>
      <c r="C57" s="73"/>
      <c r="D57" s="43" t="s">
        <v>133</v>
      </c>
      <c r="E57" s="5"/>
      <c r="F57" s="5"/>
      <c r="G57" s="5"/>
      <c r="H57" s="5"/>
      <c r="I57" s="5"/>
      <c r="J57" s="5"/>
      <c r="K57" s="5"/>
    </row>
    <row r="58" spans="2:11">
      <c r="B58" s="1435"/>
      <c r="C58" s="73"/>
      <c r="D58" s="36" t="s">
        <v>63</v>
      </c>
      <c r="E58" s="5"/>
      <c r="F58" s="5"/>
      <c r="G58" s="5"/>
      <c r="H58" s="5"/>
      <c r="I58" s="5"/>
      <c r="J58" s="5"/>
      <c r="K58" s="5"/>
    </row>
    <row r="59" spans="2:11" ht="24">
      <c r="B59" s="1435"/>
      <c r="C59" s="73"/>
      <c r="D59" s="36" t="s">
        <v>632</v>
      </c>
      <c r="E59" s="5"/>
      <c r="F59" s="5"/>
      <c r="G59" s="5"/>
      <c r="H59" s="5"/>
      <c r="I59" s="5"/>
      <c r="J59" s="5"/>
      <c r="K59" s="5"/>
    </row>
    <row r="60" spans="2:11" ht="24">
      <c r="B60" s="1435"/>
      <c r="C60" s="73"/>
      <c r="D60" s="36" t="s">
        <v>633</v>
      </c>
      <c r="E60" s="5"/>
      <c r="F60" s="5"/>
      <c r="G60" s="5"/>
      <c r="H60" s="5"/>
      <c r="I60" s="5"/>
      <c r="J60" s="5"/>
      <c r="K60" s="5"/>
    </row>
    <row r="61" spans="2:11">
      <c r="B61" s="1435"/>
      <c r="C61" s="73"/>
      <c r="D61" s="36" t="s">
        <v>634</v>
      </c>
      <c r="E61" s="5"/>
      <c r="F61" s="5"/>
      <c r="G61" s="5"/>
      <c r="H61" s="5"/>
      <c r="I61" s="5"/>
      <c r="J61" s="5"/>
      <c r="K61" s="5"/>
    </row>
    <row r="62" spans="2:11">
      <c r="B62" s="1435"/>
      <c r="C62" s="73"/>
      <c r="D62" s="43" t="s">
        <v>140</v>
      </c>
      <c r="E62" s="5"/>
      <c r="F62" s="5"/>
      <c r="G62" s="5"/>
      <c r="H62" s="5"/>
      <c r="I62" s="5"/>
      <c r="J62" s="5"/>
      <c r="K62" s="5"/>
    </row>
    <row r="63" spans="2:11" ht="36.6" thickBot="1">
      <c r="B63" s="1436"/>
      <c r="C63" s="2"/>
      <c r="D63" s="32" t="s">
        <v>635</v>
      </c>
      <c r="E63" s="5"/>
      <c r="F63" s="5"/>
      <c r="G63" s="5"/>
      <c r="H63" s="5"/>
      <c r="I63" s="5"/>
      <c r="J63" s="5"/>
      <c r="K63" s="5"/>
    </row>
    <row r="64" spans="2:11" ht="24.6" thickBot="1">
      <c r="B64" s="37" t="s">
        <v>71</v>
      </c>
      <c r="C64" s="2"/>
      <c r="D64" s="32"/>
      <c r="E64" s="5"/>
      <c r="F64" s="5"/>
      <c r="G64" s="5"/>
      <c r="H64" s="5"/>
      <c r="I64" s="5"/>
      <c r="J64" s="5"/>
      <c r="K64" s="5"/>
    </row>
    <row r="65" spans="2:11" ht="192">
      <c r="B65" s="1434" t="s">
        <v>72</v>
      </c>
      <c r="C65" s="73"/>
      <c r="D65" s="36" t="s">
        <v>636</v>
      </c>
      <c r="E65" s="5"/>
      <c r="F65" s="5"/>
      <c r="G65" s="5"/>
      <c r="H65" s="5"/>
      <c r="I65" s="5"/>
      <c r="J65" s="5"/>
      <c r="K65" s="5"/>
    </row>
    <row r="66" spans="2:11" ht="96">
      <c r="B66" s="1435"/>
      <c r="C66" s="73"/>
      <c r="D66" s="36" t="s">
        <v>637</v>
      </c>
      <c r="E66" s="5"/>
      <c r="F66" s="5"/>
      <c r="G66" s="5"/>
      <c r="H66" s="5"/>
      <c r="I66" s="5"/>
      <c r="J66" s="5"/>
      <c r="K66" s="5"/>
    </row>
    <row r="67" spans="2:11" ht="48.6" thickBot="1">
      <c r="B67" s="1436"/>
      <c r="C67" s="2"/>
      <c r="D67" s="32" t="s">
        <v>638</v>
      </c>
      <c r="E67" s="5"/>
      <c r="F67" s="5"/>
      <c r="G67" s="5"/>
      <c r="H67" s="5"/>
      <c r="I67" s="5"/>
      <c r="J67" s="5"/>
      <c r="K67" s="5"/>
    </row>
    <row r="68" spans="2:11">
      <c r="B68" s="1434" t="s">
        <v>89</v>
      </c>
      <c r="C68" s="73"/>
      <c r="D68" s="36"/>
      <c r="E68" s="5"/>
      <c r="F68" s="5"/>
      <c r="G68" s="5"/>
      <c r="H68" s="5"/>
      <c r="I68" s="5"/>
      <c r="J68" s="5"/>
      <c r="K68" s="5"/>
    </row>
    <row r="69" spans="2:11">
      <c r="B69" s="1435"/>
      <c r="C69" s="73"/>
      <c r="D69" s="13"/>
      <c r="E69" s="5"/>
      <c r="F69" s="5"/>
      <c r="G69" s="5"/>
      <c r="H69" s="5"/>
      <c r="I69" s="5"/>
      <c r="J69" s="5"/>
      <c r="K69" s="5"/>
    </row>
    <row r="70" spans="2:11">
      <c r="B70" s="1435"/>
      <c r="C70" s="73"/>
      <c r="D70" s="36" t="s">
        <v>90</v>
      </c>
      <c r="E70" s="5"/>
      <c r="F70" s="5"/>
      <c r="G70" s="5"/>
      <c r="H70" s="5"/>
      <c r="I70" s="5"/>
      <c r="J70" s="5"/>
      <c r="K70" s="5"/>
    </row>
    <row r="71" spans="2:11" ht="50.4">
      <c r="B71" s="1435"/>
      <c r="C71" s="73"/>
      <c r="D71" s="36" t="s">
        <v>639</v>
      </c>
      <c r="E71" s="5"/>
      <c r="F71" s="5"/>
      <c r="G71" s="5"/>
      <c r="H71" s="5"/>
      <c r="I71" s="5"/>
      <c r="J71" s="5"/>
      <c r="K71" s="5"/>
    </row>
    <row r="72" spans="2:11" ht="38.4">
      <c r="B72" s="1435"/>
      <c r="C72" s="73"/>
      <c r="D72" s="36" t="s">
        <v>640</v>
      </c>
      <c r="E72" s="5"/>
      <c r="F72" s="5"/>
      <c r="G72" s="5"/>
      <c r="H72" s="5"/>
      <c r="I72" s="5"/>
      <c r="J72" s="5"/>
      <c r="K72" s="5"/>
    </row>
    <row r="73" spans="2:11" ht="38.4">
      <c r="B73" s="1435"/>
      <c r="C73" s="73"/>
      <c r="D73" s="36" t="s">
        <v>641</v>
      </c>
      <c r="E73" s="5"/>
      <c r="F73" s="5"/>
      <c r="G73" s="5"/>
      <c r="H73" s="5"/>
      <c r="I73" s="5"/>
      <c r="J73" s="5"/>
      <c r="K73" s="5"/>
    </row>
    <row r="74" spans="2:11" ht="48.6" thickBot="1">
      <c r="B74" s="1436"/>
      <c r="C74" s="2"/>
      <c r="D74" s="32" t="s">
        <v>642</v>
      </c>
      <c r="E74" s="5"/>
      <c r="F74" s="5"/>
      <c r="G74" s="5"/>
      <c r="H74" s="5"/>
      <c r="I74" s="5"/>
      <c r="J74" s="5"/>
      <c r="K74" s="5"/>
    </row>
    <row r="75" spans="2:11">
      <c r="B75" s="5"/>
      <c r="D75" s="5"/>
      <c r="E75" s="5"/>
      <c r="F75" s="5"/>
      <c r="G75" s="5"/>
      <c r="H75" s="5"/>
      <c r="I75" s="5"/>
      <c r="J75" s="5"/>
      <c r="K75" s="5"/>
    </row>
    <row r="76" spans="2:11">
      <c r="B76" s="5"/>
      <c r="D76" s="5"/>
      <c r="E76" s="5"/>
      <c r="F76" s="5"/>
      <c r="G76" s="5"/>
      <c r="H76" s="5"/>
      <c r="I76" s="5"/>
      <c r="J76" s="5"/>
      <c r="K76" s="5"/>
    </row>
    <row r="77" spans="2:11">
      <c r="B77" s="5"/>
      <c r="D77" s="5"/>
      <c r="E77" s="5"/>
      <c r="F77" s="5"/>
      <c r="G77" s="5"/>
      <c r="H77" s="5"/>
      <c r="I77" s="5"/>
      <c r="J77" s="5"/>
      <c r="K77" s="5"/>
    </row>
    <row r="78" spans="2:11">
      <c r="B78" s="5"/>
      <c r="D78" s="5"/>
      <c r="E78" s="5"/>
      <c r="F78" s="5"/>
      <c r="G78" s="5"/>
      <c r="H78" s="5"/>
      <c r="I78" s="5"/>
      <c r="J78" s="5"/>
      <c r="K78" s="5"/>
    </row>
    <row r="79" spans="2:11">
      <c r="B79" s="5"/>
      <c r="D79" s="5"/>
      <c r="E79" s="5"/>
      <c r="F79" s="5"/>
      <c r="G79" s="5"/>
      <c r="H79" s="5"/>
      <c r="I79" s="5"/>
      <c r="J79" s="5"/>
      <c r="K79" s="5"/>
    </row>
    <row r="80" spans="2:11">
      <c r="B80" s="5"/>
      <c r="D80" s="5"/>
      <c r="E80" s="5"/>
      <c r="F80" s="5"/>
      <c r="G80" s="5"/>
      <c r="H80" s="5"/>
      <c r="I80" s="5"/>
      <c r="J80" s="5"/>
      <c r="K80" s="5"/>
    </row>
    <row r="81" spans="2:11">
      <c r="B81" s="5"/>
      <c r="D81" s="5"/>
      <c r="E81" s="5"/>
      <c r="F81" s="5"/>
      <c r="G81" s="5"/>
      <c r="H81" s="5"/>
      <c r="I81" s="5"/>
      <c r="J81" s="5"/>
      <c r="K81" s="5"/>
    </row>
    <row r="82" spans="2:11">
      <c r="B82" s="5"/>
      <c r="D82" s="5"/>
      <c r="E82" s="5"/>
      <c r="F82" s="5"/>
      <c r="G82" s="5"/>
      <c r="H82" s="5"/>
      <c r="I82" s="5"/>
      <c r="J82" s="5"/>
      <c r="K82" s="5"/>
    </row>
    <row r="83" spans="2:11">
      <c r="B83" s="5"/>
      <c r="D83" s="5"/>
      <c r="E83" s="5"/>
      <c r="F83" s="5"/>
      <c r="G83" s="5"/>
      <c r="H83" s="5"/>
      <c r="I83" s="5"/>
      <c r="J83" s="5"/>
      <c r="K83" s="5"/>
    </row>
    <row r="84" spans="2:11">
      <c r="B84" s="5"/>
      <c r="D84" s="5"/>
      <c r="E84" s="5"/>
      <c r="F84" s="5"/>
      <c r="G84" s="5"/>
      <c r="H84" s="5"/>
      <c r="I84" s="5"/>
      <c r="J84" s="5"/>
      <c r="K84" s="5"/>
    </row>
    <row r="85" spans="2:11">
      <c r="B85" s="5"/>
      <c r="D85" s="5"/>
      <c r="E85" s="5"/>
      <c r="F85" s="5"/>
      <c r="G85" s="5"/>
      <c r="H85" s="5"/>
      <c r="I85" s="5"/>
      <c r="J85" s="5"/>
      <c r="K85" s="5"/>
    </row>
    <row r="86" spans="2:11">
      <c r="B86" s="5"/>
      <c r="D86" s="5"/>
      <c r="E86" s="5"/>
      <c r="F86" s="5"/>
      <c r="G86" s="5"/>
      <c r="H86" s="5"/>
      <c r="I86" s="5"/>
      <c r="J86" s="5"/>
      <c r="K86" s="5"/>
    </row>
    <row r="87" spans="2:11">
      <c r="B87" s="5"/>
      <c r="D87" s="5"/>
      <c r="E87" s="5"/>
      <c r="F87" s="5"/>
      <c r="G87" s="5"/>
      <c r="H87" s="5"/>
      <c r="I87" s="5"/>
      <c r="J87" s="5"/>
      <c r="K87" s="5"/>
    </row>
    <row r="88" spans="2:11">
      <c r="B88" s="5"/>
      <c r="D88" s="5"/>
      <c r="E88" s="5"/>
      <c r="F88" s="5"/>
      <c r="G88" s="5"/>
      <c r="H88" s="5"/>
      <c r="I88" s="5"/>
      <c r="J88" s="5"/>
      <c r="K88" s="5"/>
    </row>
    <row r="89" spans="2:11">
      <c r="B89" s="5"/>
      <c r="D89" s="5"/>
      <c r="E89" s="5"/>
      <c r="F89" s="5"/>
      <c r="G89" s="5"/>
      <c r="H89" s="5"/>
      <c r="I89" s="5"/>
      <c r="J89" s="5"/>
      <c r="K89" s="5"/>
    </row>
    <row r="90" spans="2:11">
      <c r="B90" s="5"/>
      <c r="D90" s="5"/>
      <c r="E90" s="5"/>
      <c r="F90" s="5"/>
      <c r="G90" s="5"/>
      <c r="H90" s="5"/>
      <c r="I90" s="5"/>
      <c r="J90" s="5"/>
      <c r="K90" s="5"/>
    </row>
    <row r="91" spans="2:11">
      <c r="B91" s="5"/>
      <c r="D91" s="5"/>
      <c r="E91" s="5"/>
      <c r="F91" s="5"/>
      <c r="G91" s="5"/>
      <c r="H91" s="5"/>
      <c r="I91" s="5"/>
      <c r="J91" s="5"/>
      <c r="K91" s="5"/>
    </row>
    <row r="92" spans="2:11">
      <c r="B92" s="5"/>
      <c r="D92" s="5"/>
      <c r="E92" s="5"/>
      <c r="F92" s="5"/>
      <c r="G92" s="5"/>
      <c r="H92" s="5"/>
      <c r="I92" s="5"/>
      <c r="J92" s="5"/>
      <c r="K92" s="5"/>
    </row>
    <row r="93" spans="2:11">
      <c r="B93" s="5"/>
      <c r="D93" s="5"/>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sheetData>
  <mergeCells count="23">
    <mergeCell ref="B10:D10"/>
    <mergeCell ref="F10:S10"/>
    <mergeCell ref="F11:S11"/>
    <mergeCell ref="E12:R12"/>
    <mergeCell ref="E13:R13"/>
    <mergeCell ref="B55:B63"/>
    <mergeCell ref="B65:B67"/>
    <mergeCell ref="B68:B74"/>
    <mergeCell ref="B15:B22"/>
    <mergeCell ref="D15:I15"/>
    <mergeCell ref="D18:I18"/>
    <mergeCell ref="D23:I23"/>
    <mergeCell ref="D24:I24"/>
    <mergeCell ref="B26:E26"/>
    <mergeCell ref="B27:B33"/>
    <mergeCell ref="B35:E35"/>
    <mergeCell ref="B36:B42"/>
    <mergeCell ref="B49:E50"/>
    <mergeCell ref="A1:P1"/>
    <mergeCell ref="A2:P2"/>
    <mergeCell ref="A3:P3"/>
    <mergeCell ref="A4:D4"/>
    <mergeCell ref="A5:P5"/>
  </mergeCells>
  <conditionalFormatting sqref="E12:R12">
    <cfRule type="expression" dxfId="56" priority="1">
      <formula>E11="SI SE REPORTA"</formula>
    </cfRule>
  </conditionalFormatting>
  <conditionalFormatting sqref="F10">
    <cfRule type="notContainsBlanks" dxfId="55" priority="4">
      <formula>LEN(TRIM(F10))&gt;0</formula>
    </cfRule>
  </conditionalFormatting>
  <conditionalFormatting sqref="F11:S11">
    <cfRule type="expression" dxfId="54" priority="2">
      <formula>E11="NO SE REPORTA"</formula>
    </cfRule>
    <cfRule type="expression" dxfId="53"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xr:uid="{00000000-0002-0000-1500-000000000000}">
      <formula1>0</formula1>
    </dataValidation>
    <dataValidation allowBlank="1" showInputMessage="1" showErrorMessage="1" sqref="I20:I21" xr:uid="{00000000-0002-0000-1500-000001000000}"/>
    <dataValidation type="list" allowBlank="1" showInputMessage="1" showErrorMessage="1" sqref="E11" xr:uid="{00000000-0002-0000-1500-000002000000}">
      <formula1>REPORTE</formula1>
    </dataValidation>
    <dataValidation type="list" allowBlank="1" showInputMessage="1" showErrorMessage="1" sqref="E10" xr:uid="{00000000-0002-0000-1500-000003000000}">
      <formula1>SI</formula1>
    </dataValidation>
  </dataValidations>
  <hyperlinks>
    <hyperlink ref="B9" location="'ANEXO 3'!A1" display="VOLVER AL INDICE" xr:uid="{00000000-0004-0000-1500-000000000000}"/>
    <hyperlink ref="E31" r:id="rId1" xr:uid="{00000000-0004-0000-1500-000001000000}"/>
  </hyperlinks>
  <pageMargins left="0.25" right="0.25" top="0.75" bottom="0.75" header="0.3" footer="0.3"/>
  <pageSetup paperSize="178" orientation="landscape" horizontalDpi="1200" verticalDpi="1200" r:id="rId2"/>
  <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8">
    <tabColor rgb="FF92D050"/>
  </sheetPr>
  <dimension ref="A1:U177"/>
  <sheetViews>
    <sheetView showGridLines="0" topLeftCell="A34" zoomScale="98" zoomScaleNormal="98" workbookViewId="0">
      <selection activeCell="D8" sqref="D8"/>
    </sheetView>
  </sheetViews>
  <sheetFormatPr baseColWidth="10" defaultRowHeight="14.4"/>
  <cols>
    <col min="1" max="1" width="1.88671875" customWidth="1"/>
    <col min="2" max="2" width="12.88671875" customWidth="1"/>
    <col min="3" max="3" width="5" style="66" bestFit="1" customWidth="1"/>
    <col min="4" max="4" width="34.88671875" customWidth="1"/>
    <col min="5" max="5" width="25" customWidth="1"/>
    <col min="6" max="6" width="22.6640625" customWidth="1"/>
    <col min="7" max="7" width="22.88671875" customWidth="1"/>
    <col min="8" max="8" width="15.109375" customWidth="1"/>
    <col min="9" max="9" width="16" customWidth="1"/>
    <col min="10" max="10" width="15.33203125" customWidth="1"/>
    <col min="11" max="11" width="17.1093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649</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23"/>
      <c r="C7" s="65"/>
      <c r="D7" s="5"/>
      <c r="E7" s="14"/>
      <c r="F7" s="5" t="s">
        <v>128</v>
      </c>
      <c r="G7" s="5"/>
      <c r="H7" s="5"/>
      <c r="I7" s="5"/>
      <c r="J7" s="5"/>
      <c r="K7" s="5"/>
    </row>
    <row r="8" spans="1:21" ht="15" thickBot="1">
      <c r="B8" s="143" t="s">
        <v>1178</v>
      </c>
      <c r="C8" s="564">
        <v>2023</v>
      </c>
      <c r="D8" s="170">
        <f>IF(E10="NO APLICA","NO APLICA",IF(E11="NO SE REPORTA","SIN INFORMACION",+H20))</f>
        <v>1</v>
      </c>
      <c r="E8" s="167"/>
      <c r="F8" s="5" t="s">
        <v>129</v>
      </c>
      <c r="G8" s="5"/>
      <c r="H8" s="5"/>
      <c r="I8" s="5"/>
      <c r="J8" s="5"/>
      <c r="K8" s="5"/>
    </row>
    <row r="9" spans="1:21">
      <c r="B9" s="298" t="s">
        <v>1179</v>
      </c>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63.75" customHeight="1">
      <c r="B12" s="298"/>
      <c r="C12" s="67"/>
      <c r="D12" s="144" t="str">
        <f>IF(E11="SI SE REPORTA","¿Qué programas o proyectos del Plan de Acción están asociados al indicador? ","")</f>
        <v xml:space="preserve">¿Qué programas o proyectos del Plan de Acción están asociados al indicador? </v>
      </c>
      <c r="E12" s="1407" t="s">
        <v>1852</v>
      </c>
      <c r="F12" s="1407"/>
      <c r="G12" s="1407"/>
      <c r="H12" s="1407"/>
      <c r="I12" s="1407"/>
      <c r="J12" s="1407"/>
      <c r="K12" s="1407"/>
      <c r="L12" s="1407"/>
      <c r="M12" s="1407"/>
      <c r="N12" s="1407"/>
      <c r="O12" s="1407"/>
      <c r="P12" s="1407"/>
      <c r="Q12" s="1407"/>
      <c r="R12" s="1407"/>
    </row>
    <row r="13" spans="1:21" ht="21.9" customHeight="1">
      <c r="B13" s="298"/>
      <c r="C13" s="67"/>
      <c r="D13" s="144" t="s">
        <v>1236</v>
      </c>
      <c r="E13" s="1408"/>
      <c r="F13" s="1409"/>
      <c r="G13" s="1409"/>
      <c r="H13" s="1409"/>
      <c r="I13" s="1409"/>
      <c r="J13" s="1409"/>
      <c r="K13" s="1409"/>
      <c r="L13" s="1409"/>
      <c r="M13" s="1409"/>
      <c r="N13" s="1409"/>
      <c r="O13" s="1409"/>
      <c r="P13" s="1409"/>
      <c r="Q13" s="1409"/>
      <c r="R13" s="1410"/>
    </row>
    <row r="14" spans="1:21" ht="6.9" customHeight="1" thickBot="1">
      <c r="B14" s="298"/>
      <c r="D14" s="5"/>
      <c r="E14" s="5"/>
      <c r="F14" s="5"/>
      <c r="G14" s="5"/>
      <c r="H14" s="5"/>
      <c r="I14" s="5"/>
      <c r="J14" s="5"/>
      <c r="K14" s="5"/>
    </row>
    <row r="15" spans="1:21" ht="15" customHeight="1" thickTop="1">
      <c r="B15" s="1536" t="s">
        <v>2</v>
      </c>
      <c r="C15" s="68"/>
      <c r="D15" s="1425" t="s">
        <v>335</v>
      </c>
      <c r="E15" s="1426"/>
      <c r="F15" s="1426"/>
      <c r="G15" s="1426"/>
      <c r="H15" s="1426"/>
      <c r="I15" s="1426"/>
      <c r="J15" s="1426"/>
      <c r="K15" s="1427"/>
    </row>
    <row r="16" spans="1:21" ht="15" thickBot="1">
      <c r="B16" s="1459"/>
      <c r="C16" s="71"/>
      <c r="D16" s="1639" t="s">
        <v>649</v>
      </c>
      <c r="E16" s="1640"/>
      <c r="F16" s="1640"/>
      <c r="G16" s="1640"/>
      <c r="H16" s="1640"/>
      <c r="I16" s="1640"/>
      <c r="J16" s="1640"/>
      <c r="K16" s="1641"/>
    </row>
    <row r="17" spans="2:12" ht="18.75" customHeight="1" thickBot="1">
      <c r="B17" s="1459"/>
      <c r="C17" s="69" t="s">
        <v>18</v>
      </c>
      <c r="D17" s="585" t="s">
        <v>252</v>
      </c>
      <c r="E17" s="585" t="s">
        <v>19</v>
      </c>
      <c r="F17" s="585" t="s">
        <v>20</v>
      </c>
      <c r="G17" s="585" t="s">
        <v>21</v>
      </c>
      <c r="H17" s="585" t="s">
        <v>22</v>
      </c>
      <c r="I17" s="585" t="s">
        <v>253</v>
      </c>
      <c r="K17" s="17"/>
    </row>
    <row r="18" spans="2:12" ht="48.75" customHeight="1" thickBot="1">
      <c r="B18" s="1459"/>
      <c r="C18" s="70" t="s">
        <v>151</v>
      </c>
      <c r="D18" s="32" t="s">
        <v>684</v>
      </c>
      <c r="E18" s="509">
        <v>2</v>
      </c>
      <c r="F18" s="509">
        <v>4</v>
      </c>
      <c r="G18" s="509">
        <v>4</v>
      </c>
      <c r="H18" s="509">
        <v>3</v>
      </c>
      <c r="I18" s="519">
        <f>SUM(E18:H18)</f>
        <v>13</v>
      </c>
      <c r="K18" s="17"/>
    </row>
    <row r="19" spans="2:12" ht="42.75" customHeight="1" thickBot="1">
      <c r="B19" s="1459"/>
      <c r="C19" s="70" t="s">
        <v>153</v>
      </c>
      <c r="D19" s="32" t="s">
        <v>1171</v>
      </c>
      <c r="E19" s="509">
        <v>2</v>
      </c>
      <c r="F19" s="509">
        <v>4</v>
      </c>
      <c r="G19" s="509">
        <v>4</v>
      </c>
      <c r="H19" s="509">
        <v>3</v>
      </c>
      <c r="I19" s="519">
        <f>SUM(E19:H19)</f>
        <v>13</v>
      </c>
      <c r="K19" s="17"/>
    </row>
    <row r="20" spans="2:12" ht="36.6" thickBot="1">
      <c r="B20" s="1459"/>
      <c r="C20" s="70" t="s">
        <v>155</v>
      </c>
      <c r="D20" s="32" t="s">
        <v>1170</v>
      </c>
      <c r="E20" s="120">
        <f>IFERROR(E19/E18,0)</f>
        <v>1</v>
      </c>
      <c r="F20" s="120">
        <f>IFERROR(F19/F18,0)</f>
        <v>1</v>
      </c>
      <c r="G20" s="120">
        <f>IFERROR(G19/G18,0)</f>
        <v>1</v>
      </c>
      <c r="H20" s="120">
        <f>IFERROR(H19/H18,0)</f>
        <v>1</v>
      </c>
      <c r="I20" s="120">
        <f>IFERROR(I19/I18,0)</f>
        <v>1</v>
      </c>
      <c r="K20" s="17"/>
    </row>
    <row r="21" spans="2:12">
      <c r="B21" s="174"/>
      <c r="C21" s="71"/>
      <c r="D21" s="1416"/>
      <c r="E21" s="1417"/>
      <c r="F21" s="1417"/>
      <c r="G21" s="1417"/>
      <c r="H21" s="1417"/>
      <c r="I21" s="1417"/>
      <c r="J21" s="1417"/>
      <c r="K21" s="1418"/>
    </row>
    <row r="22" spans="2:12">
      <c r="B22" s="174"/>
      <c r="C22" s="71"/>
      <c r="D22" s="1639" t="s">
        <v>685</v>
      </c>
      <c r="E22" s="1640"/>
      <c r="F22" s="1640"/>
      <c r="G22" s="1640"/>
      <c r="H22" s="1640"/>
      <c r="I22" s="1640"/>
      <c r="J22" s="1640"/>
      <c r="K22" s="1641"/>
    </row>
    <row r="23" spans="2:12" ht="24" customHeight="1" thickBot="1">
      <c r="B23" s="174"/>
      <c r="C23" s="71"/>
      <c r="D23" s="1655" t="s">
        <v>680</v>
      </c>
      <c r="E23" s="1656"/>
      <c r="F23" s="1656"/>
      <c r="G23" s="1656"/>
      <c r="H23" s="1656"/>
      <c r="I23" s="1656"/>
      <c r="J23" s="1656"/>
      <c r="K23" s="1657"/>
    </row>
    <row r="24" spans="2:12" ht="15" thickBot="1">
      <c r="B24" s="174"/>
      <c r="C24" s="1642" t="s">
        <v>18</v>
      </c>
      <c r="D24" s="1624" t="s">
        <v>269</v>
      </c>
      <c r="E24" s="1624" t="s">
        <v>618</v>
      </c>
      <c r="F24" s="1628" t="s">
        <v>686</v>
      </c>
      <c r="G24" s="1659" t="s">
        <v>687</v>
      </c>
      <c r="H24" s="1660"/>
      <c r="I24" s="1660"/>
      <c r="J24" s="1661"/>
      <c r="K24" s="95"/>
    </row>
    <row r="25" spans="2:12" ht="15" thickBot="1">
      <c r="B25" s="174"/>
      <c r="C25" s="1663"/>
      <c r="D25" s="1664"/>
      <c r="E25" s="1664"/>
      <c r="F25" s="1658"/>
      <c r="G25" s="579" t="s">
        <v>472</v>
      </c>
      <c r="H25" s="1628" t="s">
        <v>689</v>
      </c>
      <c r="I25" s="1628" t="s">
        <v>273</v>
      </c>
      <c r="J25" s="1628" t="s">
        <v>274</v>
      </c>
      <c r="K25" s="8"/>
    </row>
    <row r="26" spans="2:12" ht="15" thickBot="1">
      <c r="B26" s="174"/>
      <c r="C26" s="1643"/>
      <c r="D26" s="1664"/>
      <c r="E26" s="1664"/>
      <c r="F26" s="1658"/>
      <c r="G26" s="579" t="s">
        <v>688</v>
      </c>
      <c r="H26" s="1658"/>
      <c r="I26" s="1658"/>
      <c r="J26" s="1662"/>
      <c r="K26" s="95"/>
    </row>
    <row r="27" spans="2:12" ht="77.25" customHeight="1" thickBot="1">
      <c r="B27" s="174"/>
      <c r="C27" s="580">
        <v>1</v>
      </c>
      <c r="D27" s="693" t="s">
        <v>1849</v>
      </c>
      <c r="E27" s="696" t="s">
        <v>1850</v>
      </c>
      <c r="F27" s="1297" t="s">
        <v>2672</v>
      </c>
      <c r="G27" s="818">
        <v>175000000</v>
      </c>
      <c r="H27" s="818">
        <v>175000000</v>
      </c>
      <c r="I27" s="818">
        <v>175000000</v>
      </c>
      <c r="J27" s="819">
        <v>12113167</v>
      </c>
      <c r="K27" s="582"/>
      <c r="L27" s="169"/>
    </row>
    <row r="28" spans="2:12" ht="48.6" thickBot="1">
      <c r="B28" s="174"/>
      <c r="C28" s="580">
        <v>2</v>
      </c>
      <c r="D28" s="694" t="s">
        <v>1847</v>
      </c>
      <c r="E28" s="697" t="s">
        <v>1851</v>
      </c>
      <c r="F28" s="699" t="s">
        <v>2673</v>
      </c>
      <c r="G28" s="820">
        <v>110000000</v>
      </c>
      <c r="H28" s="820">
        <v>110000000</v>
      </c>
      <c r="I28" s="820">
        <v>110000000</v>
      </c>
      <c r="J28" s="821">
        <v>5709364</v>
      </c>
      <c r="K28" s="583"/>
      <c r="L28" s="169"/>
    </row>
    <row r="29" spans="2:12" ht="60.6" thickBot="1">
      <c r="B29" s="174"/>
      <c r="C29" s="580">
        <v>3</v>
      </c>
      <c r="D29" s="695" t="s">
        <v>1848</v>
      </c>
      <c r="E29" s="698" t="s">
        <v>1851</v>
      </c>
      <c r="F29" s="700" t="s">
        <v>2673</v>
      </c>
      <c r="G29" s="822">
        <v>150000000</v>
      </c>
      <c r="H29" s="822">
        <v>150000000</v>
      </c>
      <c r="I29" s="822">
        <v>150000000</v>
      </c>
      <c r="J29" s="823">
        <v>70785500</v>
      </c>
      <c r="K29" s="584"/>
      <c r="L29" s="169"/>
    </row>
    <row r="30" spans="2:12" ht="15" thickBot="1">
      <c r="B30" s="174"/>
      <c r="C30" s="25">
        <v>4</v>
      </c>
      <c r="D30" s="526"/>
      <c r="E30" s="527"/>
      <c r="F30" s="526"/>
      <c r="G30" s="528"/>
      <c r="H30" s="528"/>
      <c r="I30" s="528"/>
      <c r="J30" s="581"/>
      <c r="K30" s="8"/>
      <c r="L30" s="169"/>
    </row>
    <row r="31" spans="2:12" ht="23.25" customHeight="1" thickBot="1">
      <c r="B31" s="174"/>
      <c r="C31" s="31"/>
      <c r="D31" s="529" t="s">
        <v>150</v>
      </c>
      <c r="E31" s="529"/>
      <c r="F31" s="530"/>
      <c r="G31" s="824">
        <f>SUM(G27:G30)</f>
        <v>435000000</v>
      </c>
      <c r="H31" s="824">
        <f>SUM(H27:H30)</f>
        <v>435000000</v>
      </c>
      <c r="I31" s="824">
        <f>SUM(I27:I30)</f>
        <v>435000000</v>
      </c>
      <c r="J31" s="825">
        <f>SUM(J27:J30)</f>
        <v>88608031</v>
      </c>
      <c r="K31" s="9"/>
    </row>
    <row r="32" spans="2:12">
      <c r="B32" s="174"/>
      <c r="C32" s="71"/>
      <c r="D32" s="1425" t="s">
        <v>625</v>
      </c>
      <c r="E32" s="1426"/>
      <c r="F32" s="1426"/>
      <c r="G32" s="1426"/>
      <c r="H32" s="1426"/>
      <c r="I32" s="1426"/>
      <c r="J32" s="1426"/>
      <c r="K32" s="1427"/>
    </row>
    <row r="33" spans="2:11" ht="24" customHeight="1" thickBot="1">
      <c r="B33" s="174"/>
      <c r="C33" s="71"/>
      <c r="D33" s="1416" t="s">
        <v>690</v>
      </c>
      <c r="E33" s="1417"/>
      <c r="F33" s="1417"/>
      <c r="G33" s="1417"/>
      <c r="H33" s="1417"/>
      <c r="I33" s="1417"/>
      <c r="J33" s="1417"/>
      <c r="K33" s="1418"/>
    </row>
    <row r="34" spans="2:11" ht="15" thickBot="1">
      <c r="B34" s="174"/>
      <c r="C34" s="1424" t="s">
        <v>18</v>
      </c>
      <c r="D34" s="1665" t="s">
        <v>691</v>
      </c>
      <c r="E34" s="1668" t="s">
        <v>692</v>
      </c>
      <c r="F34" s="1669"/>
      <c r="G34" s="59"/>
      <c r="H34" s="5"/>
      <c r="I34" s="5"/>
      <c r="K34" s="17"/>
    </row>
    <row r="35" spans="2:11">
      <c r="B35" s="174"/>
      <c r="C35" s="1430"/>
      <c r="D35" s="1666"/>
      <c r="E35" s="1434" t="s">
        <v>693</v>
      </c>
      <c r="F35" s="36" t="s">
        <v>694</v>
      </c>
      <c r="G35" s="1434" t="s">
        <v>54</v>
      </c>
      <c r="H35" s="5"/>
      <c r="I35" s="5"/>
      <c r="K35" s="17"/>
    </row>
    <row r="36" spans="2:11" ht="15" thickBot="1">
      <c r="B36" s="174"/>
      <c r="C36" s="1421"/>
      <c r="D36" s="1667"/>
      <c r="E36" s="1436"/>
      <c r="F36" s="32" t="s">
        <v>689</v>
      </c>
      <c r="G36" s="1436"/>
      <c r="H36" s="5"/>
      <c r="I36" s="5"/>
      <c r="K36" s="17"/>
    </row>
    <row r="37" spans="2:11" ht="15" thickBot="1">
      <c r="B37" s="174"/>
      <c r="C37" s="282">
        <v>1</v>
      </c>
      <c r="D37" s="130">
        <v>0.35</v>
      </c>
      <c r="E37" s="117">
        <f t="shared" ref="E37:F39" si="0">IFERROR(I27/H27,0)</f>
        <v>1</v>
      </c>
      <c r="F37" s="117">
        <f>IFERROR(J27/I27,0)</f>
        <v>6.9218097142857149E-2</v>
      </c>
      <c r="G37" s="281"/>
      <c r="H37" s="5"/>
      <c r="I37" s="5"/>
      <c r="K37" s="17"/>
    </row>
    <row r="38" spans="2:11" ht="15" thickBot="1">
      <c r="B38" s="174"/>
      <c r="C38" s="282">
        <v>2</v>
      </c>
      <c r="D38" s="130">
        <v>0.35</v>
      </c>
      <c r="E38" s="117">
        <f t="shared" si="0"/>
        <v>1</v>
      </c>
      <c r="F38" s="117">
        <f t="shared" si="0"/>
        <v>5.1903309090909087E-2</v>
      </c>
      <c r="G38" s="281"/>
      <c r="H38" s="5"/>
      <c r="I38" s="5"/>
      <c r="K38" s="17"/>
    </row>
    <row r="39" spans="2:11" ht="15" thickBot="1">
      <c r="B39" s="174"/>
      <c r="C39" s="282">
        <v>3</v>
      </c>
      <c r="D39" s="130">
        <v>0.3</v>
      </c>
      <c r="E39" s="117">
        <f t="shared" si="0"/>
        <v>1</v>
      </c>
      <c r="F39" s="117">
        <f t="shared" si="0"/>
        <v>0.47190333333333334</v>
      </c>
      <c r="G39" s="281"/>
      <c r="H39" s="5"/>
      <c r="I39" s="5"/>
      <c r="K39" s="17"/>
    </row>
    <row r="40" spans="2:11" ht="15" thickBot="1">
      <c r="B40" s="174"/>
      <c r="C40" s="282">
        <v>4</v>
      </c>
      <c r="D40" s="130"/>
      <c r="E40" s="117">
        <f>IFERROR(#REF!/#REF!,0)</f>
        <v>0</v>
      </c>
      <c r="F40" s="117">
        <f>IFERROR(#REF!/#REF!,0)</f>
        <v>0</v>
      </c>
      <c r="G40" s="281"/>
      <c r="H40" s="5"/>
      <c r="I40" s="5"/>
      <c r="K40" s="17"/>
    </row>
    <row r="41" spans="2:11" ht="15" thickBot="1">
      <c r="B41" s="174"/>
      <c r="C41" s="282">
        <v>5</v>
      </c>
      <c r="D41" s="130"/>
      <c r="E41" s="117">
        <f>IFERROR(I30/H30,0)</f>
        <v>0</v>
      </c>
      <c r="F41" s="117">
        <f t="shared" ref="F41:F42" si="1">IFERROR(J30/I30,0)</f>
        <v>0</v>
      </c>
      <c r="G41" s="281"/>
      <c r="H41" s="5"/>
      <c r="I41" s="5"/>
      <c r="K41" s="17"/>
    </row>
    <row r="42" spans="2:11" ht="15" thickBot="1">
      <c r="B42" s="37"/>
      <c r="C42" s="58"/>
      <c r="D42" s="131">
        <f>Formulas!$D$22</f>
        <v>1</v>
      </c>
      <c r="E42" s="118">
        <f>+$D37*E37+$D38*E38+$D39*E39+$D40*E40+$D41*E41</f>
        <v>1</v>
      </c>
      <c r="F42" s="117">
        <f t="shared" si="1"/>
        <v>0.20369662298850574</v>
      </c>
      <c r="G42" s="32"/>
      <c r="H42" s="18"/>
      <c r="I42" s="18"/>
      <c r="J42" s="18"/>
      <c r="K42" s="19"/>
    </row>
    <row r="43" spans="2:11" ht="15" thickBot="1">
      <c r="B43" s="29"/>
      <c r="C43" s="67"/>
      <c r="D43" s="5"/>
      <c r="E43" s="5"/>
      <c r="F43" s="5"/>
      <c r="G43" s="5"/>
      <c r="H43" s="5"/>
      <c r="I43" s="5"/>
      <c r="J43" s="5"/>
      <c r="K43" s="5"/>
    </row>
    <row r="44" spans="2:11" ht="72.599999999999994" thickBot="1">
      <c r="B44" s="42" t="s">
        <v>33</v>
      </c>
      <c r="C44" s="77"/>
      <c r="D44" s="34" t="s">
        <v>695</v>
      </c>
      <c r="E44" s="5"/>
      <c r="F44" s="5"/>
      <c r="G44" s="5"/>
      <c r="H44" s="5"/>
      <c r="I44" s="5"/>
      <c r="J44" s="5"/>
      <c r="K44" s="5"/>
    </row>
    <row r="45" spans="2:11" ht="60.6" thickBot="1">
      <c r="B45" s="37" t="s">
        <v>35</v>
      </c>
      <c r="C45" s="2"/>
      <c r="D45" s="32" t="s">
        <v>345</v>
      </c>
      <c r="E45" s="5"/>
      <c r="F45" s="5"/>
      <c r="G45" s="5"/>
      <c r="H45" s="5"/>
      <c r="I45" s="5"/>
      <c r="J45" s="5"/>
      <c r="K45" s="5"/>
    </row>
    <row r="46" spans="2:11" ht="15" thickBot="1">
      <c r="B46" s="1"/>
      <c r="C46" s="64"/>
      <c r="D46" s="5"/>
      <c r="E46" s="5"/>
      <c r="F46" s="5"/>
      <c r="G46" s="5"/>
      <c r="H46" s="5"/>
      <c r="I46" s="5"/>
      <c r="J46" s="5"/>
      <c r="K46" s="5"/>
    </row>
    <row r="47" spans="2:11" ht="24" customHeight="1" thickBot="1">
      <c r="B47" s="1444" t="s">
        <v>37</v>
      </c>
      <c r="C47" s="1445"/>
      <c r="D47" s="1445"/>
      <c r="E47" s="1446"/>
      <c r="F47" s="5"/>
      <c r="G47" s="5"/>
      <c r="H47" s="5"/>
      <c r="I47" s="5"/>
      <c r="J47" s="5"/>
      <c r="K47" s="5"/>
    </row>
    <row r="48" spans="2:11" ht="15" thickBot="1">
      <c r="B48" s="1434">
        <v>1</v>
      </c>
      <c r="C48" s="73"/>
      <c r="D48" s="38" t="s">
        <v>38</v>
      </c>
      <c r="E48" s="25" t="s">
        <v>1811</v>
      </c>
      <c r="F48" s="5"/>
      <c r="G48" s="5"/>
      <c r="H48" s="5"/>
      <c r="I48" s="5"/>
      <c r="J48" s="5"/>
      <c r="K48" s="5"/>
    </row>
    <row r="49" spans="2:11" ht="24.6" thickBot="1">
      <c r="B49" s="1435"/>
      <c r="C49" s="73"/>
      <c r="D49" s="32" t="s">
        <v>39</v>
      </c>
      <c r="E49" s="24" t="s">
        <v>1820</v>
      </c>
      <c r="F49" s="5"/>
      <c r="G49" s="5"/>
      <c r="H49" s="5"/>
      <c r="I49" s="5"/>
      <c r="J49" s="5"/>
      <c r="K49" s="5"/>
    </row>
    <row r="50" spans="2:11" ht="15" thickBot="1">
      <c r="B50" s="1435"/>
      <c r="C50" s="73"/>
      <c r="D50" s="32" t="s">
        <v>40</v>
      </c>
      <c r="E50" s="24" t="s">
        <v>2035</v>
      </c>
      <c r="F50" s="5"/>
      <c r="G50" s="5"/>
      <c r="H50" s="5"/>
      <c r="I50" s="5"/>
      <c r="J50" s="5"/>
      <c r="K50" s="5"/>
    </row>
    <row r="51" spans="2:11" ht="15" thickBot="1">
      <c r="B51" s="1435"/>
      <c r="C51" s="73"/>
      <c r="D51" s="32" t="s">
        <v>41</v>
      </c>
      <c r="E51" s="24" t="s">
        <v>2028</v>
      </c>
      <c r="F51" s="5"/>
      <c r="G51" s="5"/>
      <c r="H51" s="5"/>
      <c r="I51" s="5"/>
      <c r="J51" s="5"/>
      <c r="K51" s="5"/>
    </row>
    <row r="52" spans="2:11" ht="29.4" thickBot="1">
      <c r="B52" s="1435"/>
      <c r="C52" s="73"/>
      <c r="D52" s="32" t="s">
        <v>42</v>
      </c>
      <c r="E52" s="504" t="s">
        <v>1821</v>
      </c>
      <c r="F52" s="5"/>
      <c r="G52" s="5"/>
      <c r="H52" s="5"/>
      <c r="I52" s="5"/>
      <c r="J52" s="5"/>
      <c r="K52" s="5"/>
    </row>
    <row r="53" spans="2:11" ht="15" thickBot="1">
      <c r="B53" s="1435"/>
      <c r="C53" s="73"/>
      <c r="D53" s="32" t="s">
        <v>43</v>
      </c>
      <c r="E53" s="24" t="s">
        <v>1822</v>
      </c>
      <c r="F53" s="5"/>
      <c r="G53" s="5"/>
      <c r="H53" s="5"/>
      <c r="I53" s="5"/>
      <c r="J53" s="5"/>
      <c r="K53" s="5"/>
    </row>
    <row r="54" spans="2:11" ht="15" thickBot="1">
      <c r="B54" s="1436"/>
      <c r="C54" s="2"/>
      <c r="D54" s="32" t="s">
        <v>44</v>
      </c>
      <c r="E54" s="24" t="s">
        <v>1814</v>
      </c>
      <c r="F54" s="5"/>
      <c r="G54" s="5"/>
      <c r="H54" s="5"/>
      <c r="I54" s="5"/>
      <c r="J54" s="5"/>
      <c r="K54" s="5"/>
    </row>
    <row r="55" spans="2:11" ht="15" thickBot="1">
      <c r="B55" s="1"/>
      <c r="C55" s="64"/>
      <c r="D55" s="5"/>
      <c r="E55" s="5"/>
      <c r="F55" s="5"/>
      <c r="G55" s="5"/>
      <c r="H55" s="5"/>
      <c r="I55" s="5"/>
      <c r="J55" s="5"/>
      <c r="K55" s="5"/>
    </row>
    <row r="56" spans="2:11" ht="15" thickBot="1">
      <c r="B56" s="1444" t="s">
        <v>45</v>
      </c>
      <c r="C56" s="1445"/>
      <c r="D56" s="1445"/>
      <c r="E56" s="1446"/>
      <c r="F56" s="5"/>
      <c r="G56" s="5"/>
      <c r="H56" s="5"/>
      <c r="I56" s="5"/>
      <c r="J56" s="5"/>
      <c r="K56" s="5"/>
    </row>
    <row r="57" spans="2:11" ht="15" thickBot="1">
      <c r="B57" s="1434">
        <v>1</v>
      </c>
      <c r="C57" s="73"/>
      <c r="D57" s="38" t="s">
        <v>38</v>
      </c>
      <c r="E57" s="104" t="s">
        <v>46</v>
      </c>
      <c r="F57" s="5"/>
      <c r="G57" s="5"/>
      <c r="H57" s="5"/>
      <c r="I57" s="5"/>
      <c r="J57" s="5"/>
      <c r="K57" s="5"/>
    </row>
    <row r="58" spans="2:11" ht="15" thickBot="1">
      <c r="B58" s="1435"/>
      <c r="C58" s="73"/>
      <c r="D58" s="32" t="s">
        <v>39</v>
      </c>
      <c r="E58" s="104" t="s">
        <v>47</v>
      </c>
      <c r="F58" s="5"/>
      <c r="G58" s="5"/>
      <c r="H58" s="5"/>
      <c r="I58" s="5"/>
      <c r="J58" s="5"/>
      <c r="K58" s="5"/>
    </row>
    <row r="59" spans="2:11" ht="15" thickBot="1">
      <c r="B59" s="1435"/>
      <c r="C59" s="73"/>
      <c r="D59" s="32" t="s">
        <v>40</v>
      </c>
      <c r="E59" s="139"/>
      <c r="F59" s="5"/>
      <c r="G59" s="5"/>
      <c r="H59" s="5"/>
      <c r="I59" s="5"/>
      <c r="J59" s="5"/>
      <c r="K59" s="5"/>
    </row>
    <row r="60" spans="2:11" ht="15" thickBot="1">
      <c r="B60" s="1435"/>
      <c r="C60" s="73"/>
      <c r="D60" s="32" t="s">
        <v>41</v>
      </c>
      <c r="E60" s="139"/>
      <c r="F60" s="5"/>
      <c r="G60" s="5"/>
      <c r="H60" s="5"/>
      <c r="I60" s="5"/>
      <c r="J60" s="5"/>
      <c r="K60" s="5"/>
    </row>
    <row r="61" spans="2:11" ht="15" thickBot="1">
      <c r="B61" s="1435"/>
      <c r="C61" s="73"/>
      <c r="D61" s="32" t="s">
        <v>42</v>
      </c>
      <c r="E61" s="139"/>
      <c r="F61" s="5"/>
      <c r="G61" s="5"/>
      <c r="H61" s="5"/>
      <c r="I61" s="5"/>
      <c r="J61" s="5"/>
      <c r="K61" s="5"/>
    </row>
    <row r="62" spans="2:11" ht="15" thickBot="1">
      <c r="B62" s="1435"/>
      <c r="C62" s="73"/>
      <c r="D62" s="32" t="s">
        <v>43</v>
      </c>
      <c r="E62" s="139"/>
      <c r="F62" s="5"/>
      <c r="G62" s="5"/>
      <c r="H62" s="5"/>
      <c r="I62" s="5"/>
      <c r="J62" s="5"/>
      <c r="K62" s="5"/>
    </row>
    <row r="63" spans="2:11" ht="15" thickBot="1">
      <c r="B63" s="1436"/>
      <c r="C63" s="2"/>
      <c r="D63" s="32" t="s">
        <v>44</v>
      </c>
      <c r="E63" s="139"/>
      <c r="F63" s="5"/>
      <c r="G63" s="5"/>
      <c r="H63" s="5"/>
      <c r="I63" s="5"/>
      <c r="J63" s="5"/>
      <c r="K63" s="5"/>
    </row>
    <row r="64" spans="2:11" ht="15" thickBot="1">
      <c r="B64" s="1"/>
      <c r="C64" s="64"/>
      <c r="D64" s="5"/>
      <c r="E64" s="5"/>
      <c r="F64" s="5"/>
      <c r="G64" s="5"/>
      <c r="H64" s="5"/>
      <c r="I64" s="5"/>
      <c r="J64" s="5"/>
      <c r="K64" s="5"/>
    </row>
    <row r="65" spans="2:11" ht="15" thickBot="1">
      <c r="B65" s="1444" t="s">
        <v>48</v>
      </c>
      <c r="C65" s="1445"/>
      <c r="D65" s="1445"/>
      <c r="E65" s="1445"/>
      <c r="F65" s="1446"/>
      <c r="G65" s="5"/>
      <c r="H65" s="5"/>
      <c r="I65" s="5"/>
      <c r="J65" s="5"/>
      <c r="K65" s="5"/>
    </row>
    <row r="66" spans="2:11" ht="24.6" thickBot="1">
      <c r="B66" s="37" t="s">
        <v>49</v>
      </c>
      <c r="C66" s="32" t="s">
        <v>50</v>
      </c>
      <c r="D66" s="32" t="s">
        <v>51</v>
      </c>
      <c r="E66" s="32" t="s">
        <v>52</v>
      </c>
      <c r="F66" s="5"/>
      <c r="G66" s="5"/>
      <c r="H66" s="5"/>
      <c r="I66" s="5"/>
      <c r="J66" s="5"/>
    </row>
    <row r="67" spans="2:11" ht="72.599999999999994" thickBot="1">
      <c r="B67" s="39">
        <v>42401</v>
      </c>
      <c r="C67" s="32">
        <v>0.01</v>
      </c>
      <c r="D67" s="40" t="s">
        <v>696</v>
      </c>
      <c r="E67" s="32"/>
      <c r="F67" s="5"/>
      <c r="G67" s="5"/>
      <c r="H67" s="5"/>
      <c r="I67" s="5"/>
      <c r="J67" s="5"/>
    </row>
    <row r="68" spans="2:11" ht="15" thickBot="1">
      <c r="B68" s="3"/>
      <c r="C68" s="74"/>
      <c r="D68" s="5"/>
      <c r="E68" s="5"/>
      <c r="F68" s="5"/>
      <c r="G68" s="5"/>
      <c r="H68" s="5"/>
      <c r="I68" s="5"/>
      <c r="J68" s="5"/>
      <c r="K68" s="5"/>
    </row>
    <row r="69" spans="2:11">
      <c r="B69" s="106" t="s">
        <v>54</v>
      </c>
      <c r="C69" s="75"/>
      <c r="D69" s="5"/>
      <c r="E69" s="5"/>
      <c r="F69" s="5"/>
      <c r="G69" s="5"/>
      <c r="H69" s="5"/>
      <c r="I69" s="5"/>
      <c r="J69" s="5"/>
      <c r="K69" s="5"/>
    </row>
    <row r="70" spans="2:11">
      <c r="B70" s="1649"/>
      <c r="C70" s="1650"/>
      <c r="D70" s="1650"/>
      <c r="E70" s="1650"/>
      <c r="F70" s="1651"/>
      <c r="G70" s="5"/>
      <c r="H70" s="5"/>
      <c r="I70" s="5"/>
      <c r="J70" s="5"/>
      <c r="K70" s="5"/>
    </row>
    <row r="71" spans="2:11">
      <c r="B71" s="1652"/>
      <c r="C71" s="1653"/>
      <c r="D71" s="1653"/>
      <c r="E71" s="1653"/>
      <c r="F71" s="1654"/>
      <c r="G71" s="5"/>
      <c r="H71" s="5"/>
      <c r="I71" s="5"/>
      <c r="J71" s="5"/>
      <c r="K71" s="5"/>
    </row>
    <row r="72" spans="2:11">
      <c r="B72" s="1"/>
      <c r="C72" s="64"/>
      <c r="D72" s="5"/>
      <c r="E72" s="5"/>
      <c r="F72" s="5"/>
      <c r="G72" s="5"/>
      <c r="H72" s="5"/>
      <c r="I72" s="5"/>
      <c r="J72" s="5"/>
      <c r="K72" s="5"/>
    </row>
    <row r="73" spans="2:11" ht="15" thickBot="1">
      <c r="B73" s="5"/>
      <c r="D73" s="5"/>
      <c r="E73" s="5"/>
      <c r="F73" s="5"/>
      <c r="G73" s="5"/>
      <c r="H73" s="5"/>
      <c r="I73" s="5"/>
      <c r="J73" s="5"/>
      <c r="K73" s="5"/>
    </row>
    <row r="74" spans="2:11" ht="24.6" thickBot="1">
      <c r="B74" s="41" t="s">
        <v>55</v>
      </c>
      <c r="C74" s="76"/>
      <c r="D74" s="5"/>
      <c r="E74" s="5"/>
      <c r="F74" s="5"/>
      <c r="G74" s="5"/>
      <c r="H74" s="5"/>
      <c r="I74" s="5"/>
      <c r="J74" s="5"/>
      <c r="K74" s="5"/>
    </row>
    <row r="75" spans="2:11" ht="15" thickBot="1">
      <c r="B75" s="29"/>
      <c r="C75" s="67"/>
      <c r="D75" s="5"/>
      <c r="E75" s="5"/>
      <c r="F75" s="5"/>
      <c r="G75" s="5"/>
      <c r="H75" s="5"/>
      <c r="I75" s="5"/>
      <c r="J75" s="5"/>
      <c r="K75" s="5"/>
    </row>
    <row r="76" spans="2:11" ht="72.599999999999994" thickBot="1">
      <c r="B76" s="42" t="s">
        <v>56</v>
      </c>
      <c r="C76" s="77"/>
      <c r="D76" s="34" t="s">
        <v>650</v>
      </c>
      <c r="E76" s="5"/>
      <c r="F76" s="5"/>
      <c r="G76" s="5"/>
      <c r="H76" s="5"/>
      <c r="I76" s="5"/>
      <c r="J76" s="5"/>
      <c r="K76" s="5"/>
    </row>
    <row r="77" spans="2:11">
      <c r="B77" s="1434" t="s">
        <v>58</v>
      </c>
      <c r="C77" s="73"/>
      <c r="D77" s="43" t="s">
        <v>59</v>
      </c>
      <c r="E77" s="5"/>
      <c r="F77" s="5"/>
      <c r="G77" s="5"/>
      <c r="H77" s="5"/>
      <c r="I77" s="5"/>
      <c r="J77" s="5"/>
      <c r="K77" s="5"/>
    </row>
    <row r="78" spans="2:11" ht="108">
      <c r="B78" s="1435"/>
      <c r="C78" s="73"/>
      <c r="D78" s="36" t="s">
        <v>651</v>
      </c>
      <c r="E78" s="5"/>
      <c r="F78" s="5"/>
      <c r="G78" s="5"/>
      <c r="H78" s="5"/>
      <c r="I78" s="5"/>
      <c r="J78" s="5"/>
      <c r="K78" s="5"/>
    </row>
    <row r="79" spans="2:11">
      <c r="B79" s="1435"/>
      <c r="C79" s="73"/>
      <c r="D79" s="43" t="s">
        <v>62</v>
      </c>
      <c r="E79" s="5"/>
      <c r="F79" s="5"/>
      <c r="G79" s="5"/>
      <c r="H79" s="5"/>
      <c r="I79" s="5"/>
      <c r="J79" s="5"/>
      <c r="K79" s="5"/>
    </row>
    <row r="80" spans="2:11">
      <c r="B80" s="1435"/>
      <c r="C80" s="73"/>
      <c r="D80" s="36" t="s">
        <v>652</v>
      </c>
      <c r="E80" s="5"/>
      <c r="F80" s="5"/>
      <c r="G80" s="5"/>
      <c r="H80" s="5"/>
      <c r="I80" s="5"/>
      <c r="J80" s="5"/>
      <c r="K80" s="5"/>
    </row>
    <row r="81" spans="2:11">
      <c r="B81" s="1435"/>
      <c r="C81" s="73"/>
      <c r="D81" s="36" t="s">
        <v>653</v>
      </c>
      <c r="E81" s="5"/>
      <c r="F81" s="5"/>
      <c r="G81" s="5"/>
      <c r="H81" s="5"/>
      <c r="I81" s="5"/>
      <c r="J81" s="5"/>
      <c r="K81" s="5"/>
    </row>
    <row r="82" spans="2:11">
      <c r="B82" s="1435"/>
      <c r="C82" s="73"/>
      <c r="D82" s="43" t="s">
        <v>287</v>
      </c>
      <c r="E82" s="5"/>
      <c r="F82" s="5"/>
      <c r="G82" s="5"/>
      <c r="H82" s="5"/>
      <c r="I82" s="5"/>
      <c r="J82" s="5"/>
      <c r="K82" s="5"/>
    </row>
    <row r="83" spans="2:11" ht="24">
      <c r="B83" s="1435"/>
      <c r="C83" s="73"/>
      <c r="D83" s="36" t="s">
        <v>654</v>
      </c>
      <c r="E83" s="5"/>
      <c r="F83" s="5"/>
      <c r="G83" s="5"/>
      <c r="H83" s="5"/>
      <c r="I83" s="5"/>
      <c r="J83" s="5"/>
      <c r="K83" s="5"/>
    </row>
    <row r="84" spans="2:11" ht="15" thickBot="1">
      <c r="B84" s="1436"/>
      <c r="C84" s="2"/>
      <c r="D84" s="32" t="s">
        <v>655</v>
      </c>
      <c r="E84" s="5"/>
      <c r="F84" s="5"/>
      <c r="G84" s="5"/>
      <c r="H84" s="5"/>
      <c r="I84" s="5"/>
      <c r="J84" s="5"/>
      <c r="K84" s="5"/>
    </row>
    <row r="85" spans="2:11" ht="24.6" thickBot="1">
      <c r="B85" s="37" t="s">
        <v>71</v>
      </c>
      <c r="C85" s="2"/>
      <c r="D85" s="32"/>
      <c r="E85" s="5"/>
      <c r="F85" s="5"/>
      <c r="G85" s="5"/>
      <c r="H85" s="5"/>
      <c r="I85" s="5"/>
      <c r="J85" s="5"/>
      <c r="K85" s="5"/>
    </row>
    <row r="86" spans="2:11" ht="96">
      <c r="B86" s="1434" t="s">
        <v>72</v>
      </c>
      <c r="C86" s="73"/>
      <c r="D86" s="36" t="s">
        <v>656</v>
      </c>
      <c r="E86" s="5"/>
      <c r="F86" s="5"/>
      <c r="G86" s="5"/>
      <c r="H86" s="5"/>
      <c r="I86" s="5"/>
      <c r="J86" s="5"/>
      <c r="K86" s="5"/>
    </row>
    <row r="87" spans="2:11">
      <c r="B87" s="1435"/>
      <c r="C87" s="73"/>
      <c r="D87" s="36" t="s">
        <v>657</v>
      </c>
      <c r="E87" s="5"/>
      <c r="F87" s="5"/>
      <c r="G87" s="5"/>
      <c r="H87" s="5"/>
      <c r="I87" s="5"/>
      <c r="J87" s="5"/>
      <c r="K87" s="5"/>
    </row>
    <row r="88" spans="2:11" ht="84">
      <c r="B88" s="1435"/>
      <c r="C88" s="73"/>
      <c r="D88" s="36" t="s">
        <v>658</v>
      </c>
      <c r="E88" s="5"/>
      <c r="F88" s="5"/>
      <c r="G88" s="5"/>
      <c r="H88" s="5"/>
      <c r="I88" s="5"/>
      <c r="J88" s="5"/>
      <c r="K88" s="5"/>
    </row>
    <row r="89" spans="2:11" ht="84">
      <c r="B89" s="1435"/>
      <c r="C89" s="73"/>
      <c r="D89" s="36" t="s">
        <v>659</v>
      </c>
      <c r="E89" s="5"/>
      <c r="F89" s="5"/>
      <c r="G89" s="5"/>
      <c r="H89" s="5"/>
      <c r="I89" s="5"/>
      <c r="J89" s="5"/>
      <c r="K89" s="5"/>
    </row>
    <row r="90" spans="2:11" ht="96">
      <c r="B90" s="1435"/>
      <c r="C90" s="73"/>
      <c r="D90" s="36" t="s">
        <v>660</v>
      </c>
      <c r="E90" s="5"/>
      <c r="F90" s="5"/>
      <c r="G90" s="5"/>
      <c r="H90" s="5"/>
      <c r="I90" s="5"/>
      <c r="J90" s="5"/>
      <c r="K90" s="5"/>
    </row>
    <row r="91" spans="2:11" ht="72">
      <c r="B91" s="1435"/>
      <c r="C91" s="73"/>
      <c r="D91" s="36" t="s">
        <v>661</v>
      </c>
      <c r="E91" s="5"/>
      <c r="F91" s="5"/>
      <c r="G91" s="5"/>
      <c r="H91" s="5"/>
      <c r="I91" s="5"/>
      <c r="J91" s="5"/>
      <c r="K91" s="5"/>
    </row>
    <row r="92" spans="2:11" ht="72">
      <c r="B92" s="1435"/>
      <c r="C92" s="73"/>
      <c r="D92" s="36" t="s">
        <v>662</v>
      </c>
      <c r="E92" s="5"/>
      <c r="F92" s="5"/>
      <c r="G92" s="5"/>
      <c r="H92" s="5"/>
      <c r="I92" s="5"/>
      <c r="J92" s="5"/>
      <c r="K92" s="5"/>
    </row>
    <row r="93" spans="2:11" ht="192">
      <c r="B93" s="1435"/>
      <c r="C93" s="73"/>
      <c r="D93" s="36" t="s">
        <v>663</v>
      </c>
      <c r="E93" s="5"/>
      <c r="F93" s="5"/>
      <c r="G93" s="5"/>
      <c r="H93" s="5"/>
      <c r="I93" s="5"/>
      <c r="J93" s="5"/>
      <c r="K93" s="5"/>
    </row>
    <row r="94" spans="2:11" ht="156">
      <c r="B94" s="1435"/>
      <c r="C94" s="73"/>
      <c r="D94" s="36" t="s">
        <v>664</v>
      </c>
      <c r="E94" s="5"/>
      <c r="F94" s="5"/>
      <c r="G94" s="5"/>
      <c r="H94" s="5"/>
      <c r="I94" s="5"/>
      <c r="J94" s="5"/>
      <c r="K94" s="5"/>
    </row>
    <row r="95" spans="2:11" ht="24">
      <c r="B95" s="1435"/>
      <c r="C95" s="73"/>
      <c r="D95" s="36" t="s">
        <v>665</v>
      </c>
      <c r="E95" s="5"/>
      <c r="F95" s="5"/>
      <c r="G95" s="5"/>
      <c r="H95" s="5"/>
      <c r="I95" s="5"/>
      <c r="J95" s="5"/>
      <c r="K95" s="5"/>
    </row>
    <row r="96" spans="2:11" ht="24">
      <c r="B96" s="1435"/>
      <c r="C96" s="73"/>
      <c r="D96" s="21" t="s">
        <v>666</v>
      </c>
      <c r="E96" s="5"/>
      <c r="F96" s="5"/>
      <c r="G96" s="5"/>
      <c r="H96" s="5"/>
      <c r="I96" s="5"/>
      <c r="J96" s="5"/>
      <c r="K96" s="5"/>
    </row>
    <row r="97" spans="2:11" ht="36">
      <c r="B97" s="1435"/>
      <c r="C97" s="73"/>
      <c r="D97" s="21" t="s">
        <v>667</v>
      </c>
      <c r="E97" s="5"/>
      <c r="F97" s="5"/>
      <c r="G97" s="5"/>
      <c r="H97" s="5"/>
      <c r="I97" s="5"/>
      <c r="J97" s="5"/>
      <c r="K97" s="5"/>
    </row>
    <row r="98" spans="2:11" ht="36">
      <c r="B98" s="1435"/>
      <c r="C98" s="73"/>
      <c r="D98" s="21" t="s">
        <v>668</v>
      </c>
      <c r="E98" s="5"/>
      <c r="F98" s="5"/>
      <c r="G98" s="5"/>
      <c r="H98" s="5"/>
      <c r="I98" s="5"/>
      <c r="J98" s="5"/>
      <c r="K98" s="5"/>
    </row>
    <row r="99" spans="2:11" ht="120">
      <c r="B99" s="1435"/>
      <c r="C99" s="73"/>
      <c r="D99" s="36" t="s">
        <v>669</v>
      </c>
      <c r="E99" s="5"/>
      <c r="F99" s="5"/>
      <c r="G99" s="5"/>
      <c r="H99" s="5"/>
      <c r="I99" s="5"/>
      <c r="J99" s="5"/>
      <c r="K99" s="5"/>
    </row>
    <row r="100" spans="2:11" ht="60">
      <c r="B100" s="1435"/>
      <c r="C100" s="73"/>
      <c r="D100" s="36" t="s">
        <v>670</v>
      </c>
      <c r="E100" s="5"/>
      <c r="F100" s="5"/>
      <c r="G100" s="5"/>
      <c r="H100" s="5"/>
      <c r="I100" s="5"/>
      <c r="J100" s="5"/>
      <c r="K100" s="5"/>
    </row>
    <row r="101" spans="2:11" ht="24">
      <c r="B101" s="1435"/>
      <c r="C101" s="73"/>
      <c r="D101" s="36" t="s">
        <v>671</v>
      </c>
      <c r="E101" s="5"/>
      <c r="F101" s="5"/>
      <c r="G101" s="5"/>
      <c r="H101" s="5"/>
      <c r="I101" s="5"/>
      <c r="J101" s="5"/>
      <c r="K101" s="5"/>
    </row>
    <row r="102" spans="2:11" ht="48">
      <c r="B102" s="1435"/>
      <c r="C102" s="73"/>
      <c r="D102" s="51" t="s">
        <v>672</v>
      </c>
      <c r="E102" s="5"/>
      <c r="F102" s="5"/>
      <c r="G102" s="5"/>
      <c r="H102" s="5"/>
      <c r="I102" s="5"/>
      <c r="J102" s="5"/>
      <c r="K102" s="5"/>
    </row>
    <row r="103" spans="2:11" ht="24">
      <c r="B103" s="1435"/>
      <c r="C103" s="73"/>
      <c r="D103" s="51" t="s">
        <v>673</v>
      </c>
      <c r="E103" s="5"/>
      <c r="F103" s="5"/>
      <c r="G103" s="5"/>
      <c r="H103" s="5"/>
      <c r="I103" s="5"/>
      <c r="J103" s="5"/>
      <c r="K103" s="5"/>
    </row>
    <row r="104" spans="2:11" ht="24">
      <c r="B104" s="1435"/>
      <c r="C104" s="73"/>
      <c r="D104" s="51" t="s">
        <v>674</v>
      </c>
      <c r="E104" s="5"/>
      <c r="F104" s="5"/>
      <c r="G104" s="5"/>
      <c r="H104" s="5"/>
      <c r="I104" s="5"/>
      <c r="J104" s="5"/>
      <c r="K104" s="5"/>
    </row>
    <row r="105" spans="2:11" ht="24.6" thickBot="1">
      <c r="B105" s="1436"/>
      <c r="C105" s="2"/>
      <c r="D105" s="52" t="s">
        <v>675</v>
      </c>
      <c r="E105" s="5"/>
      <c r="F105" s="5"/>
      <c r="G105" s="5"/>
      <c r="H105" s="5"/>
      <c r="I105" s="5"/>
      <c r="J105" s="5"/>
      <c r="K105" s="5"/>
    </row>
    <row r="106" spans="2:11" ht="36">
      <c r="B106" s="1434" t="s">
        <v>89</v>
      </c>
      <c r="C106" s="73"/>
      <c r="D106" s="43" t="s">
        <v>676</v>
      </c>
      <c r="E106" s="5"/>
      <c r="F106" s="5"/>
      <c r="G106" s="5"/>
      <c r="H106" s="5"/>
      <c r="I106" s="5"/>
      <c r="J106" s="5"/>
      <c r="K106" s="5"/>
    </row>
    <row r="107" spans="2:11">
      <c r="B107" s="1435"/>
      <c r="C107" s="73"/>
      <c r="D107" s="13"/>
      <c r="E107" s="5"/>
      <c r="F107" s="5"/>
      <c r="G107" s="5"/>
      <c r="H107" s="5"/>
      <c r="I107" s="5"/>
      <c r="J107" s="5"/>
      <c r="K107" s="5"/>
    </row>
    <row r="108" spans="2:11">
      <c r="B108" s="1435"/>
      <c r="C108" s="73"/>
      <c r="D108" s="36" t="s">
        <v>90</v>
      </c>
      <c r="E108" s="5"/>
      <c r="F108" s="5"/>
      <c r="G108" s="5"/>
      <c r="H108" s="5"/>
      <c r="I108" s="5"/>
      <c r="J108" s="5"/>
      <c r="K108" s="5"/>
    </row>
    <row r="109" spans="2:11" ht="38.4">
      <c r="B109" s="1435"/>
      <c r="C109" s="73"/>
      <c r="D109" s="36" t="s">
        <v>677</v>
      </c>
      <c r="E109" s="5"/>
      <c r="F109" s="5"/>
      <c r="G109" s="5"/>
      <c r="H109" s="5"/>
      <c r="I109" s="5"/>
      <c r="J109" s="5"/>
      <c r="K109" s="5"/>
    </row>
    <row r="110" spans="2:11" ht="26.4">
      <c r="B110" s="1435"/>
      <c r="C110" s="73"/>
      <c r="D110" s="36" t="s">
        <v>678</v>
      </c>
      <c r="E110" s="5"/>
      <c r="F110" s="5"/>
      <c r="G110" s="5"/>
      <c r="H110" s="5"/>
      <c r="I110" s="5"/>
      <c r="J110" s="5"/>
      <c r="K110" s="5"/>
    </row>
    <row r="111" spans="2:11" ht="38.4">
      <c r="B111" s="1435"/>
      <c r="C111" s="73"/>
      <c r="D111" s="36" t="s">
        <v>679</v>
      </c>
      <c r="E111" s="5"/>
      <c r="F111" s="5"/>
      <c r="G111" s="5"/>
      <c r="H111" s="5"/>
      <c r="I111" s="5"/>
      <c r="J111" s="5"/>
      <c r="K111" s="5"/>
    </row>
    <row r="112" spans="2:11">
      <c r="B112" s="1435"/>
      <c r="C112" s="73"/>
      <c r="D112" s="43" t="s">
        <v>245</v>
      </c>
      <c r="E112" s="5"/>
      <c r="F112" s="5"/>
      <c r="G112" s="5"/>
      <c r="H112" s="5"/>
      <c r="I112" s="5"/>
      <c r="J112" s="5"/>
      <c r="K112" s="5"/>
    </row>
    <row r="113" spans="2:11" ht="36">
      <c r="B113" s="1435"/>
      <c r="C113" s="73"/>
      <c r="D113" s="43" t="s">
        <v>680</v>
      </c>
      <c r="E113" s="5"/>
      <c r="F113" s="5"/>
      <c r="G113" s="5"/>
      <c r="H113" s="5"/>
      <c r="I113" s="5"/>
      <c r="J113" s="5"/>
      <c r="K113" s="5"/>
    </row>
    <row r="114" spans="2:11">
      <c r="B114" s="1435"/>
      <c r="C114" s="73"/>
      <c r="D114" s="13"/>
      <c r="E114" s="5"/>
      <c r="F114" s="5"/>
      <c r="G114" s="5"/>
      <c r="H114" s="5"/>
      <c r="I114" s="5"/>
      <c r="J114" s="5"/>
      <c r="K114" s="5"/>
    </row>
    <row r="115" spans="2:11">
      <c r="B115" s="1435"/>
      <c r="C115" s="73"/>
      <c r="D115" s="36" t="s">
        <v>90</v>
      </c>
      <c r="E115" s="5"/>
      <c r="F115" s="5"/>
      <c r="G115" s="5"/>
      <c r="H115" s="5"/>
      <c r="I115" s="5"/>
      <c r="J115" s="5"/>
      <c r="K115" s="5"/>
    </row>
    <row r="116" spans="2:11" ht="50.4">
      <c r="B116" s="1435"/>
      <c r="C116" s="73"/>
      <c r="D116" s="36" t="s">
        <v>681</v>
      </c>
      <c r="E116" s="5"/>
      <c r="F116" s="5"/>
      <c r="G116" s="5"/>
      <c r="H116" s="5"/>
      <c r="I116" s="5"/>
      <c r="J116" s="5"/>
      <c r="K116" s="5"/>
    </row>
    <row r="117" spans="2:11" ht="50.4">
      <c r="B117" s="1435"/>
      <c r="C117" s="73"/>
      <c r="D117" s="36" t="s">
        <v>682</v>
      </c>
      <c r="E117" s="5"/>
      <c r="F117" s="5"/>
      <c r="G117" s="5"/>
      <c r="H117" s="5"/>
      <c r="I117" s="5"/>
      <c r="J117" s="5"/>
      <c r="K117" s="5"/>
    </row>
    <row r="118" spans="2:11" ht="51" thickBot="1">
      <c r="B118" s="1436"/>
      <c r="C118" s="2"/>
      <c r="D118" s="32" t="s">
        <v>683</v>
      </c>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sheetData>
  <sheetProtection insertRows="0"/>
  <mergeCells count="40">
    <mergeCell ref="B10:D10"/>
    <mergeCell ref="F10:S10"/>
    <mergeCell ref="F11:S11"/>
    <mergeCell ref="E12:R12"/>
    <mergeCell ref="E13:R13"/>
    <mergeCell ref="D16:K16"/>
    <mergeCell ref="D21:K21"/>
    <mergeCell ref="D34:D36"/>
    <mergeCell ref="E34:F34"/>
    <mergeCell ref="E35:E36"/>
    <mergeCell ref="G35:G36"/>
    <mergeCell ref="B86:B105"/>
    <mergeCell ref="B106:B118"/>
    <mergeCell ref="C24:C26"/>
    <mergeCell ref="D24:D26"/>
    <mergeCell ref="E24:E26"/>
    <mergeCell ref="B77:B84"/>
    <mergeCell ref="B56:E56"/>
    <mergeCell ref="B57:B63"/>
    <mergeCell ref="B15:B20"/>
    <mergeCell ref="B70:F71"/>
    <mergeCell ref="B65:F65"/>
    <mergeCell ref="D22:K22"/>
    <mergeCell ref="D23:K23"/>
    <mergeCell ref="D32:K32"/>
    <mergeCell ref="D33:K33"/>
    <mergeCell ref="B47:E47"/>
    <mergeCell ref="B48:B54"/>
    <mergeCell ref="F24:F26"/>
    <mergeCell ref="G24:J24"/>
    <mergeCell ref="H25:H26"/>
    <mergeCell ref="I25:I26"/>
    <mergeCell ref="J25:J26"/>
    <mergeCell ref="C34:C36"/>
    <mergeCell ref="D15:K15"/>
    <mergeCell ref="A1:P1"/>
    <mergeCell ref="A2:P2"/>
    <mergeCell ref="A3:P3"/>
    <mergeCell ref="A4:D4"/>
    <mergeCell ref="A5:P5"/>
  </mergeCells>
  <conditionalFormatting sqref="D42">
    <cfRule type="containsText" dxfId="52" priority="5" operator="containsText" text="ERROR">
      <formula>NOT(ISERROR(SEARCH("ERROR",D42)))</formula>
    </cfRule>
  </conditionalFormatting>
  <conditionalFormatting sqref="E12:R12">
    <cfRule type="expression" dxfId="51" priority="1">
      <formula>E11="SI SE REPORTA"</formula>
    </cfRule>
  </conditionalFormatting>
  <conditionalFormatting sqref="F10">
    <cfRule type="notContainsBlanks" dxfId="50" priority="4">
      <formula>LEN(TRIM(F10))&gt;0</formula>
    </cfRule>
  </conditionalFormatting>
  <conditionalFormatting sqref="F11:S11">
    <cfRule type="expression" dxfId="49" priority="2">
      <formula>E11="NO SE REPORTA"</formula>
    </cfRule>
    <cfRule type="expression" dxfId="48" priority="3">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H19" xr:uid="{00000000-0002-0000-1600-000000000000}">
      <formula1>0</formula1>
    </dataValidation>
    <dataValidation type="whole" operator="greaterThanOrEqual" allowBlank="1" showInputMessage="1" showErrorMessage="1" errorTitle="ERROR" error="Valor en PESOS (sin centavos)" sqref="G30:J30 J28" xr:uid="{00000000-0002-0000-1600-000001000000}">
      <formula1>0</formula1>
    </dataValidation>
    <dataValidation allowBlank="1" showInputMessage="1" showErrorMessage="1" sqref="D42 I18:I19 G31:J31 E37:F42" xr:uid="{00000000-0002-0000-1600-000003000000}"/>
    <dataValidation type="list" allowBlank="1" showInputMessage="1" showErrorMessage="1" sqref="E11" xr:uid="{00000000-0002-0000-1600-000004000000}">
      <formula1>REPORTE</formula1>
    </dataValidation>
    <dataValidation type="list" allowBlank="1" showInputMessage="1" showErrorMessage="1" sqref="E10" xr:uid="{00000000-0002-0000-1600-000005000000}">
      <formula1>SI</formula1>
    </dataValidation>
    <dataValidation type="decimal" allowBlank="1" showInputMessage="1" showErrorMessage="1" errorTitle="ERROR" error="Escriba un valor entre 0% y 100%" sqref="D37:D41" xr:uid="{00000000-0002-0000-1600-000002000000}">
      <formula1>0</formula1>
      <formula2>1</formula2>
    </dataValidation>
  </dataValidations>
  <hyperlinks>
    <hyperlink ref="B9" location="'ANEXO 3'!A1" display="VOLVER AL INDICE" xr:uid="{00000000-0004-0000-1600-000000000000}"/>
    <hyperlink ref="E52" r:id="rId1" xr:uid="{00000000-0004-0000-1600-000001000000}"/>
  </hyperlinks>
  <pageMargins left="0.25" right="0.25" top="0.75" bottom="0.75" header="0.3" footer="0.3"/>
  <pageSetup paperSize="178" orientation="landscape" horizontalDpi="1200" verticalDpi="1200" r:id="rId2"/>
  <drawing r:id="rId3"/>
  <legacy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9">
    <tabColor rgb="FF92D050"/>
  </sheetPr>
  <dimension ref="A1:U180"/>
  <sheetViews>
    <sheetView showGridLines="0" topLeftCell="A31" zoomScale="90" zoomScaleNormal="90" workbookViewId="0">
      <selection activeCell="K41" sqref="K41"/>
    </sheetView>
  </sheetViews>
  <sheetFormatPr baseColWidth="10" defaultRowHeight="14.4"/>
  <cols>
    <col min="1" max="1" width="1.88671875" customWidth="1"/>
    <col min="2" max="2" width="12.88671875" customWidth="1"/>
    <col min="3" max="3" width="10" style="66" customWidth="1"/>
    <col min="4" max="4" width="34.88671875" customWidth="1"/>
    <col min="5" max="5" width="30.5546875" customWidth="1"/>
    <col min="6" max="6" width="16.44140625" customWidth="1"/>
    <col min="7" max="7" width="15.88671875" customWidth="1"/>
    <col min="8" max="8" width="15.33203125" customWidth="1"/>
    <col min="9" max="9" width="19.44140625" customWidth="1"/>
    <col min="10" max="10" width="91.6640625" customWidth="1"/>
    <col min="11" max="11" width="17.4414062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697</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3" t="s">
        <v>1178</v>
      </c>
      <c r="C8" s="564">
        <v>2023</v>
      </c>
      <c r="D8" s="170">
        <f>IF(E10="NO APLICA","NO APLICA",IF(E11="NO SE REPORTA","SIN INFORMACION",+I32))</f>
        <v>1</v>
      </c>
      <c r="E8" s="167"/>
      <c r="F8" s="5" t="s">
        <v>129</v>
      </c>
      <c r="G8" s="5"/>
      <c r="H8" s="5"/>
      <c r="I8" s="5"/>
      <c r="J8" s="5"/>
      <c r="K8" s="5"/>
    </row>
    <row r="9" spans="1:21">
      <c r="B9" s="298" t="s">
        <v>1179</v>
      </c>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66.599999999999994" customHeight="1">
      <c r="B12" s="298"/>
      <c r="C12" s="67"/>
      <c r="D12" s="144" t="str">
        <f>IF(E11="SI SE REPORTA","¿Qué programas o proyectos del Plan de Acción están asociados al indicador? ","")</f>
        <v xml:space="preserve">¿Qué programas o proyectos del Plan de Acción están asociados al indicador? </v>
      </c>
      <c r="E12" s="1407" t="s">
        <v>2681</v>
      </c>
      <c r="F12" s="1407"/>
      <c r="G12" s="1407"/>
      <c r="H12" s="1407"/>
      <c r="I12" s="1407"/>
      <c r="J12" s="1407"/>
      <c r="K12" s="1407"/>
      <c r="L12" s="1407"/>
      <c r="M12" s="1407"/>
      <c r="N12" s="1407"/>
      <c r="O12" s="1407"/>
      <c r="P12" s="1407"/>
      <c r="Q12" s="1407"/>
      <c r="R12" s="1407"/>
    </row>
    <row r="13" spans="1:21" ht="21.9" customHeight="1">
      <c r="B13" s="298"/>
      <c r="C13" s="67"/>
      <c r="D13" s="144" t="s">
        <v>1236</v>
      </c>
      <c r="E13" s="1408"/>
      <c r="F13" s="1409"/>
      <c r="G13" s="1409"/>
      <c r="H13" s="1409"/>
      <c r="I13" s="1409"/>
      <c r="J13" s="1409"/>
      <c r="K13" s="1409"/>
      <c r="L13" s="1409"/>
      <c r="M13" s="1409"/>
      <c r="N13" s="1409"/>
      <c r="O13" s="1409"/>
      <c r="P13" s="1409"/>
      <c r="Q13" s="1409"/>
      <c r="R13" s="1410"/>
    </row>
    <row r="14" spans="1:21" ht="6.9" customHeight="1" thickBot="1">
      <c r="B14" s="298"/>
      <c r="D14" s="5"/>
      <c r="E14" s="5"/>
      <c r="F14" s="5"/>
      <c r="G14" s="5"/>
      <c r="H14" s="5"/>
      <c r="I14" s="5"/>
      <c r="J14" s="5"/>
      <c r="K14" s="5"/>
    </row>
    <row r="15" spans="1:21" ht="15" customHeight="1" thickTop="1">
      <c r="B15" s="1536" t="s">
        <v>2</v>
      </c>
      <c r="C15" s="68"/>
      <c r="D15" s="1425" t="s">
        <v>335</v>
      </c>
      <c r="E15" s="1426"/>
      <c r="F15" s="1426"/>
      <c r="G15" s="1426"/>
      <c r="H15" s="1426"/>
      <c r="I15" s="1426"/>
      <c r="J15" s="1426"/>
      <c r="K15" s="1426"/>
      <c r="L15" s="1596"/>
    </row>
    <row r="16" spans="1:21" ht="26.25" customHeight="1" thickBot="1">
      <c r="B16" s="1459"/>
      <c r="C16" s="71"/>
      <c r="D16" s="1639" t="s">
        <v>746</v>
      </c>
      <c r="E16" s="1640"/>
      <c r="F16" s="1640"/>
      <c r="G16" s="1640"/>
      <c r="H16" s="1640"/>
      <c r="I16" s="1640"/>
      <c r="J16" s="1640"/>
      <c r="K16" s="1640"/>
      <c r="L16" s="1670"/>
    </row>
    <row r="17" spans="2:12" ht="15" thickBot="1">
      <c r="B17" s="1459"/>
      <c r="C17" s="69" t="s">
        <v>18</v>
      </c>
      <c r="D17" s="30" t="s">
        <v>252</v>
      </c>
      <c r="E17" s="531" t="s">
        <v>19</v>
      </c>
      <c r="F17" s="531" t="s">
        <v>20</v>
      </c>
      <c r="G17" s="531" t="s">
        <v>21</v>
      </c>
      <c r="H17" s="531" t="s">
        <v>22</v>
      </c>
      <c r="I17" s="531" t="s">
        <v>253</v>
      </c>
      <c r="J17" s="5"/>
      <c r="L17" s="17"/>
    </row>
    <row r="18" spans="2:12" ht="24.6" thickBot="1">
      <c r="B18" s="1459"/>
      <c r="C18" s="70" t="s">
        <v>151</v>
      </c>
      <c r="D18" s="32" t="s">
        <v>759</v>
      </c>
      <c r="E18" s="509">
        <v>5</v>
      </c>
      <c r="F18" s="509">
        <v>8</v>
      </c>
      <c r="G18" s="509">
        <v>9</v>
      </c>
      <c r="H18" s="509">
        <v>7</v>
      </c>
      <c r="I18" s="519">
        <f>SUM(E18:H18)</f>
        <v>29</v>
      </c>
      <c r="J18" s="517"/>
      <c r="L18" s="17"/>
    </row>
    <row r="19" spans="2:12">
      <c r="B19" s="1459"/>
      <c r="C19" s="71"/>
      <c r="D19" s="1416"/>
      <c r="E19" s="1417"/>
      <c r="F19" s="1417"/>
      <c r="G19" s="1417"/>
      <c r="H19" s="1417"/>
      <c r="I19" s="1417"/>
      <c r="J19" s="1417"/>
      <c r="K19" s="1417"/>
      <c r="L19" s="1579"/>
    </row>
    <row r="20" spans="2:12" ht="15" thickBot="1">
      <c r="B20" s="174"/>
      <c r="C20" s="71"/>
      <c r="D20" s="1416" t="s">
        <v>760</v>
      </c>
      <c r="E20" s="1417"/>
      <c r="F20" s="1417"/>
      <c r="G20" s="1417"/>
      <c r="H20" s="1417"/>
      <c r="I20" s="1417"/>
      <c r="J20" s="1417"/>
      <c r="K20" s="1417"/>
      <c r="L20" s="1579"/>
    </row>
    <row r="21" spans="2:12" ht="42.75" customHeight="1" thickBot="1">
      <c r="B21" s="174"/>
      <c r="C21" s="1537" t="s">
        <v>18</v>
      </c>
      <c r="D21" s="1624" t="s">
        <v>269</v>
      </c>
      <c r="E21" s="1624" t="s">
        <v>618</v>
      </c>
      <c r="F21" s="1672" t="s">
        <v>619</v>
      </c>
      <c r="G21" s="1673"/>
      <c r="H21" s="1673"/>
      <c r="I21" s="1673"/>
      <c r="J21" s="1674"/>
      <c r="L21" s="17"/>
    </row>
    <row r="22" spans="2:12" ht="48.75" customHeight="1" thickBot="1">
      <c r="B22" s="174"/>
      <c r="C22" s="1538"/>
      <c r="D22" s="1664"/>
      <c r="E22" s="1664"/>
      <c r="F22" s="1272" t="s">
        <v>620</v>
      </c>
      <c r="G22" s="1272" t="s">
        <v>621</v>
      </c>
      <c r="H22" s="1272" t="s">
        <v>622</v>
      </c>
      <c r="I22" s="1273" t="s">
        <v>623</v>
      </c>
      <c r="J22" s="1272" t="s">
        <v>54</v>
      </c>
      <c r="L22" s="17"/>
    </row>
    <row r="23" spans="2:12" ht="48.75" customHeight="1" thickBot="1">
      <c r="B23" s="174"/>
      <c r="C23" s="603">
        <v>1</v>
      </c>
      <c r="D23" s="587" t="s">
        <v>1924</v>
      </c>
      <c r="E23" s="588" t="s">
        <v>1188</v>
      </c>
      <c r="F23" s="710">
        <v>1</v>
      </c>
      <c r="G23" s="710">
        <v>0</v>
      </c>
      <c r="H23" s="710"/>
      <c r="I23" s="763">
        <f>+G23*H23</f>
        <v>0</v>
      </c>
      <c r="J23" s="762" t="s">
        <v>1926</v>
      </c>
      <c r="L23" s="17"/>
    </row>
    <row r="24" spans="2:12" ht="90.75" customHeight="1" thickBot="1">
      <c r="B24" s="174"/>
      <c r="C24" s="603">
        <v>2</v>
      </c>
      <c r="D24" s="593" t="s">
        <v>1925</v>
      </c>
      <c r="E24" s="591" t="s">
        <v>1188</v>
      </c>
      <c r="F24" s="767">
        <v>1</v>
      </c>
      <c r="G24" s="767">
        <v>1</v>
      </c>
      <c r="H24" s="768">
        <v>0.15</v>
      </c>
      <c r="I24" s="763">
        <f t="shared" ref="I24:I31" si="0">+G24*H24</f>
        <v>0.15</v>
      </c>
      <c r="J24" s="766" t="s">
        <v>1979</v>
      </c>
      <c r="L24" s="17"/>
    </row>
    <row r="25" spans="2:12" ht="94.5" customHeight="1" thickBot="1">
      <c r="B25" s="174"/>
      <c r="C25" s="589">
        <v>3</v>
      </c>
      <c r="D25" s="594" t="s">
        <v>1853</v>
      </c>
      <c r="E25" s="592" t="s">
        <v>1188</v>
      </c>
      <c r="F25" s="532">
        <v>1</v>
      </c>
      <c r="G25" s="532">
        <v>1</v>
      </c>
      <c r="H25" s="768">
        <v>0.14000000000000001</v>
      </c>
      <c r="I25" s="763">
        <f t="shared" si="0"/>
        <v>0.14000000000000001</v>
      </c>
      <c r="J25" s="765" t="s">
        <v>1980</v>
      </c>
      <c r="K25" s="561"/>
      <c r="L25" s="17"/>
    </row>
    <row r="26" spans="2:12" ht="77.25" customHeight="1" thickBot="1">
      <c r="B26" s="174"/>
      <c r="C26" s="589">
        <v>4</v>
      </c>
      <c r="D26" s="596" t="s">
        <v>1855</v>
      </c>
      <c r="E26" s="592" t="s">
        <v>1861</v>
      </c>
      <c r="F26" s="532">
        <v>1</v>
      </c>
      <c r="G26" s="532">
        <v>1</v>
      </c>
      <c r="H26" s="768">
        <v>0.14000000000000001</v>
      </c>
      <c r="I26" s="763">
        <f t="shared" si="0"/>
        <v>0.14000000000000001</v>
      </c>
      <c r="J26" s="764" t="s">
        <v>1981</v>
      </c>
      <c r="L26" s="17"/>
    </row>
    <row r="27" spans="2:12" ht="96.6" thickBot="1">
      <c r="B27" s="174"/>
      <c r="C27" s="589">
        <v>5</v>
      </c>
      <c r="D27" s="596" t="s">
        <v>1857</v>
      </c>
      <c r="E27" s="592" t="s">
        <v>1861</v>
      </c>
      <c r="F27" s="532">
        <v>1</v>
      </c>
      <c r="G27" s="532">
        <v>1</v>
      </c>
      <c r="H27" s="768">
        <v>0.14000000000000001</v>
      </c>
      <c r="I27" s="763">
        <f t="shared" si="0"/>
        <v>0.14000000000000001</v>
      </c>
      <c r="J27" s="764" t="s">
        <v>1982</v>
      </c>
      <c r="L27" s="17"/>
    </row>
    <row r="28" spans="2:12" ht="68.25" customHeight="1" thickBot="1">
      <c r="B28" s="174"/>
      <c r="C28" s="589">
        <v>6</v>
      </c>
      <c r="D28" s="596" t="s">
        <v>1859</v>
      </c>
      <c r="E28" s="592" t="s">
        <v>1861</v>
      </c>
      <c r="F28" s="532">
        <v>1</v>
      </c>
      <c r="G28" s="532">
        <v>1</v>
      </c>
      <c r="H28" s="768">
        <v>0.15</v>
      </c>
      <c r="I28" s="763">
        <f t="shared" si="0"/>
        <v>0.15</v>
      </c>
      <c r="J28" s="764" t="s">
        <v>1983</v>
      </c>
      <c r="L28" s="17"/>
    </row>
    <row r="29" spans="2:12" ht="105" customHeight="1" thickBot="1">
      <c r="B29" s="174"/>
      <c r="C29" s="589">
        <v>7</v>
      </c>
      <c r="D29" s="597" t="s">
        <v>1862</v>
      </c>
      <c r="E29" s="592" t="s">
        <v>1864</v>
      </c>
      <c r="F29" s="532">
        <v>1</v>
      </c>
      <c r="G29" s="532">
        <v>1</v>
      </c>
      <c r="H29" s="768">
        <v>0.14000000000000001</v>
      </c>
      <c r="I29" s="763">
        <f t="shared" si="0"/>
        <v>0.14000000000000001</v>
      </c>
      <c r="J29" s="764" t="s">
        <v>1984</v>
      </c>
      <c r="L29" s="17"/>
    </row>
    <row r="30" spans="2:12" ht="36.6" thickBot="1">
      <c r="B30" s="174"/>
      <c r="C30" s="589">
        <v>8</v>
      </c>
      <c r="D30" s="598" t="s">
        <v>1865</v>
      </c>
      <c r="E30" s="592" t="s">
        <v>1861</v>
      </c>
      <c r="F30" s="532"/>
      <c r="G30" s="532"/>
      <c r="H30" s="768"/>
      <c r="I30" s="763">
        <f t="shared" si="0"/>
        <v>0</v>
      </c>
      <c r="J30" s="764" t="s">
        <v>1926</v>
      </c>
      <c r="L30" s="17"/>
    </row>
    <row r="31" spans="2:12" ht="144.6" thickBot="1">
      <c r="B31" s="174"/>
      <c r="C31" s="589">
        <v>9</v>
      </c>
      <c r="D31" s="599" t="s">
        <v>1867</v>
      </c>
      <c r="E31" s="600" t="s">
        <v>1869</v>
      </c>
      <c r="F31" s="601">
        <v>1</v>
      </c>
      <c r="G31" s="601">
        <v>1</v>
      </c>
      <c r="H31" s="768">
        <v>0.14000000000000001</v>
      </c>
      <c r="I31" s="763">
        <f t="shared" si="0"/>
        <v>0.14000000000000001</v>
      </c>
      <c r="J31" s="764" t="s">
        <v>1985</v>
      </c>
      <c r="L31" s="17"/>
    </row>
    <row r="32" spans="2:12" ht="28.5" customHeight="1" thickBot="1">
      <c r="B32" s="174"/>
      <c r="C32" s="73"/>
      <c r="D32" s="31"/>
      <c r="E32" s="31" t="s">
        <v>150</v>
      </c>
      <c r="F32" s="31"/>
      <c r="G32" s="31"/>
      <c r="H32" s="590" t="str">
        <f>Formulas!$D$23</f>
        <v>ERROR: LA SUMA DE LA COLUMNA DEBE SER 100%</v>
      </c>
      <c r="I32" s="291">
        <f>Formulas!$E$23</f>
        <v>1</v>
      </c>
      <c r="J32" s="25"/>
      <c r="L32" s="17"/>
    </row>
    <row r="33" spans="2:12">
      <c r="B33" s="174"/>
      <c r="C33" s="71"/>
      <c r="D33" s="1416" t="s">
        <v>625</v>
      </c>
      <c r="E33" s="1417"/>
      <c r="F33" s="1417"/>
      <c r="G33" s="1417"/>
      <c r="H33" s="1417"/>
      <c r="I33" s="1417"/>
      <c r="J33" s="1417"/>
      <c r="K33" s="1417"/>
      <c r="L33" s="1579"/>
    </row>
    <row r="34" spans="2:12">
      <c r="B34" s="174"/>
      <c r="C34" s="71"/>
      <c r="D34" s="1428" t="s">
        <v>245</v>
      </c>
      <c r="E34" s="1429"/>
      <c r="F34" s="1429"/>
      <c r="G34" s="1429"/>
      <c r="H34" s="1429"/>
      <c r="I34" s="1429"/>
      <c r="J34" s="1429"/>
      <c r="K34" s="1429"/>
      <c r="L34" s="1580"/>
    </row>
    <row r="35" spans="2:12" ht="22.5" customHeight="1" thickBot="1">
      <c r="B35" s="174"/>
      <c r="C35" s="71"/>
      <c r="D35" s="1419" t="s">
        <v>761</v>
      </c>
      <c r="E35" s="1420"/>
      <c r="F35" s="1420"/>
      <c r="G35" s="1420"/>
      <c r="H35" s="1420"/>
      <c r="I35" s="1420"/>
      <c r="J35" s="1420"/>
      <c r="K35" s="1420"/>
      <c r="L35" s="1671"/>
    </row>
    <row r="36" spans="2:12" ht="15" thickBot="1">
      <c r="B36" s="174"/>
      <c r="C36" s="1537" t="s">
        <v>18</v>
      </c>
      <c r="D36" s="1675" t="s">
        <v>269</v>
      </c>
      <c r="E36" s="1675" t="s">
        <v>618</v>
      </c>
      <c r="F36" s="1677" t="s">
        <v>687</v>
      </c>
      <c r="G36" s="1678"/>
      <c r="H36" s="1678"/>
      <c r="I36" s="1678"/>
      <c r="J36" s="1678"/>
      <c r="K36" s="1679"/>
      <c r="L36" s="95"/>
    </row>
    <row r="37" spans="2:12" ht="39.75" customHeight="1" thickBot="1">
      <c r="B37" s="174"/>
      <c r="C37" s="1538"/>
      <c r="D37" s="1676"/>
      <c r="E37" s="1676"/>
      <c r="F37" s="719" t="s">
        <v>762</v>
      </c>
      <c r="G37" s="440" t="s">
        <v>343</v>
      </c>
      <c r="H37" s="440" t="s">
        <v>273</v>
      </c>
      <c r="I37" s="440" t="s">
        <v>274</v>
      </c>
      <c r="J37" s="440" t="s">
        <v>763</v>
      </c>
      <c r="K37" s="440" t="s">
        <v>764</v>
      </c>
      <c r="L37" s="8"/>
    </row>
    <row r="38" spans="2:12" ht="36.6" thickBot="1">
      <c r="B38" s="174"/>
      <c r="C38" s="715"/>
      <c r="D38" s="714" t="s">
        <v>1853</v>
      </c>
      <c r="E38" s="711" t="s">
        <v>1854</v>
      </c>
      <c r="F38" s="716">
        <v>12075370369</v>
      </c>
      <c r="G38" s="716">
        <v>12075370369</v>
      </c>
      <c r="H38" s="827">
        <v>12065475256</v>
      </c>
      <c r="I38" s="716">
        <v>1237271042</v>
      </c>
      <c r="J38" s="712">
        <f>+H38/G38</f>
        <v>0.99918055407845685</v>
      </c>
      <c r="K38" s="607">
        <f>+I38/H38</f>
        <v>0.10254639918843823</v>
      </c>
      <c r="L38" s="8"/>
    </row>
    <row r="39" spans="2:12" ht="26.25" customHeight="1" thickBot="1">
      <c r="B39" s="174"/>
      <c r="C39" s="604"/>
      <c r="D39" s="713" t="str">
        <f>+D24</f>
        <v>1.3.1.2. Diseñar e Implementar medidas de adaptación a los efectos del cambio climático asociados al recurso Hídrico (Reconformación de taludes y/o diques de protección)</v>
      </c>
      <c r="E39" s="592"/>
      <c r="F39" s="717">
        <v>1444314591</v>
      </c>
      <c r="G39" s="717">
        <v>1444314591</v>
      </c>
      <c r="H39" s="717">
        <v>1444314591</v>
      </c>
      <c r="I39" s="717">
        <v>0</v>
      </c>
      <c r="J39" s="712"/>
      <c r="K39" s="607"/>
      <c r="L39" s="8"/>
    </row>
    <row r="40" spans="2:12" ht="36.6" thickBot="1">
      <c r="B40" s="174"/>
      <c r="C40" s="605"/>
      <c r="D40" s="596" t="s">
        <v>1855</v>
      </c>
      <c r="E40" s="592" t="s">
        <v>1856</v>
      </c>
      <c r="F40" s="717">
        <v>4368348000</v>
      </c>
      <c r="G40" s="717">
        <v>4368348000</v>
      </c>
      <c r="H40" s="717">
        <v>4368348000</v>
      </c>
      <c r="I40" s="717">
        <v>4346023000</v>
      </c>
      <c r="J40" s="595">
        <f t="shared" ref="J40:J45" si="1">+H40/G40</f>
        <v>1</v>
      </c>
      <c r="K40" s="533">
        <f t="shared" ref="K40:K45" si="2">+I40/H40</f>
        <v>0.9948893723668536</v>
      </c>
      <c r="L40" s="8"/>
    </row>
    <row r="41" spans="2:12" ht="48.6" thickBot="1">
      <c r="B41" s="174"/>
      <c r="C41" s="605"/>
      <c r="D41" s="596" t="s">
        <v>1857</v>
      </c>
      <c r="E41" s="592" t="s">
        <v>1861</v>
      </c>
      <c r="F41" s="717">
        <v>0</v>
      </c>
      <c r="G41" s="717">
        <v>0</v>
      </c>
      <c r="H41" s="717">
        <v>0</v>
      </c>
      <c r="I41" s="717">
        <v>0</v>
      </c>
      <c r="J41" s="595"/>
      <c r="K41" s="533"/>
      <c r="L41" s="8"/>
    </row>
    <row r="42" spans="2:12" ht="36.6" thickBot="1">
      <c r="B42" s="174"/>
      <c r="C42" s="605"/>
      <c r="D42" s="606" t="s">
        <v>1859</v>
      </c>
      <c r="E42" s="592" t="s">
        <v>1860</v>
      </c>
      <c r="F42" s="717">
        <v>33344352505</v>
      </c>
      <c r="G42" s="717">
        <v>33344352505</v>
      </c>
      <c r="H42" s="717">
        <v>33344352505</v>
      </c>
      <c r="I42" s="717">
        <v>33344352505</v>
      </c>
      <c r="J42" s="595">
        <f t="shared" si="1"/>
        <v>1</v>
      </c>
      <c r="K42" s="533">
        <f t="shared" si="2"/>
        <v>1</v>
      </c>
      <c r="L42" s="8"/>
    </row>
    <row r="43" spans="2:12" ht="36.6" thickBot="1">
      <c r="B43" s="174"/>
      <c r="C43" s="605"/>
      <c r="D43" s="606" t="s">
        <v>1862</v>
      </c>
      <c r="E43" s="592" t="s">
        <v>1863</v>
      </c>
      <c r="F43" s="717">
        <v>350000000</v>
      </c>
      <c r="G43" s="717">
        <v>350000000</v>
      </c>
      <c r="H43" s="717">
        <v>350000000</v>
      </c>
      <c r="I43" s="717">
        <v>325241342</v>
      </c>
      <c r="J43" s="595">
        <f t="shared" si="1"/>
        <v>1</v>
      </c>
      <c r="K43" s="533">
        <f t="shared" si="2"/>
        <v>0.92926097714285716</v>
      </c>
      <c r="L43" s="8"/>
    </row>
    <row r="44" spans="2:12" ht="36.6" thickBot="1">
      <c r="B44" s="174"/>
      <c r="C44" s="605"/>
      <c r="D44" s="599" t="s">
        <v>1867</v>
      </c>
      <c r="E44" s="600" t="s">
        <v>1868</v>
      </c>
      <c r="F44" s="718">
        <v>300000000</v>
      </c>
      <c r="G44" s="718">
        <v>300000000</v>
      </c>
      <c r="H44" s="718">
        <v>300000000</v>
      </c>
      <c r="I44" s="718">
        <v>13625115</v>
      </c>
      <c r="J44" s="602">
        <f t="shared" si="1"/>
        <v>1</v>
      </c>
      <c r="K44" s="533">
        <f t="shared" si="2"/>
        <v>4.541705E-2</v>
      </c>
      <c r="L44" s="8"/>
    </row>
    <row r="45" spans="2:12" ht="27" customHeight="1" thickBot="1">
      <c r="B45" s="174"/>
      <c r="C45" s="159"/>
      <c r="D45" s="207"/>
      <c r="E45" s="683" t="s">
        <v>150</v>
      </c>
      <c r="F45" s="826"/>
      <c r="G45" s="815">
        <f>SUM(G38:G44)</f>
        <v>51882385465</v>
      </c>
      <c r="H45" s="815">
        <f>SUM(H38:H44)</f>
        <v>51872490352</v>
      </c>
      <c r="I45" s="815">
        <f>SUM(I38:I44)</f>
        <v>39266513004</v>
      </c>
      <c r="J45" s="533">
        <f t="shared" si="1"/>
        <v>0.99980927798690611</v>
      </c>
      <c r="K45" s="533">
        <f t="shared" si="2"/>
        <v>0.7569814508141508</v>
      </c>
      <c r="L45" s="96"/>
    </row>
    <row r="46" spans="2:12" ht="28.5" customHeight="1" thickBot="1">
      <c r="B46" s="37"/>
      <c r="C46" s="72"/>
      <c r="D46" s="1447" t="s">
        <v>625</v>
      </c>
      <c r="E46" s="1448"/>
      <c r="F46" s="1448"/>
      <c r="G46" s="1448"/>
      <c r="H46" s="1448"/>
      <c r="I46" s="1448"/>
      <c r="J46" s="1448"/>
      <c r="K46" s="1448"/>
      <c r="L46" s="1581"/>
    </row>
    <row r="47" spans="2:12" ht="15" thickBot="1">
      <c r="B47" s="29"/>
      <c r="C47" s="67"/>
      <c r="D47" s="5"/>
      <c r="E47" s="5"/>
      <c r="F47" s="5"/>
      <c r="G47" s="5"/>
      <c r="H47" s="5"/>
      <c r="I47" s="5"/>
      <c r="J47" s="5"/>
      <c r="K47" s="5"/>
    </row>
    <row r="48" spans="2:12" ht="60.6" thickBot="1">
      <c r="B48" s="42" t="s">
        <v>33</v>
      </c>
      <c r="C48" s="77"/>
      <c r="D48" s="34" t="s">
        <v>765</v>
      </c>
      <c r="E48" s="5"/>
      <c r="F48" s="5"/>
      <c r="G48" s="5"/>
      <c r="H48" s="5"/>
      <c r="I48" s="5"/>
      <c r="J48" s="5"/>
      <c r="K48" s="5"/>
    </row>
    <row r="49" spans="2:11" ht="60.6" thickBot="1">
      <c r="B49" s="42" t="s">
        <v>35</v>
      </c>
      <c r="C49" s="159"/>
      <c r="D49" s="42" t="s">
        <v>345</v>
      </c>
      <c r="E49" s="5"/>
      <c r="F49" s="5"/>
      <c r="G49" s="5"/>
      <c r="H49" s="5"/>
      <c r="I49" s="5"/>
      <c r="J49" s="5"/>
      <c r="K49" s="5"/>
    </row>
    <row r="50" spans="2:11" ht="15" thickBot="1">
      <c r="B50" s="1"/>
      <c r="C50" s="64"/>
      <c r="D50" s="5"/>
      <c r="E50" s="5"/>
      <c r="F50" s="5"/>
      <c r="G50" s="5"/>
      <c r="H50" s="5"/>
      <c r="I50" s="5"/>
      <c r="J50" s="5"/>
      <c r="K50" s="5"/>
    </row>
    <row r="51" spans="2:11" ht="24" customHeight="1" thickBot="1">
      <c r="B51" s="1444" t="s">
        <v>37</v>
      </c>
      <c r="C51" s="1445"/>
      <c r="D51" s="1445"/>
      <c r="E51" s="1446"/>
      <c r="F51" s="5"/>
      <c r="G51" s="5"/>
      <c r="H51" s="5"/>
      <c r="I51" s="5"/>
      <c r="J51" s="5"/>
      <c r="K51" s="5"/>
    </row>
    <row r="52" spans="2:11" ht="15" thickBot="1">
      <c r="B52" s="1434">
        <v>1</v>
      </c>
      <c r="C52" s="73"/>
      <c r="D52" s="38" t="s">
        <v>38</v>
      </c>
      <c r="E52" s="25" t="s">
        <v>1811</v>
      </c>
      <c r="F52" s="5"/>
      <c r="G52" s="5"/>
      <c r="H52" s="5"/>
      <c r="I52" s="5"/>
      <c r="J52" s="5"/>
      <c r="K52" s="5"/>
    </row>
    <row r="53" spans="2:11" ht="15" thickBot="1">
      <c r="B53" s="1435"/>
      <c r="C53" s="73"/>
      <c r="D53" s="32" t="s">
        <v>39</v>
      </c>
      <c r="E53" s="24" t="s">
        <v>1820</v>
      </c>
      <c r="F53" s="5"/>
      <c r="G53" s="5"/>
      <c r="H53" s="5"/>
      <c r="I53" s="5"/>
      <c r="J53" s="5"/>
      <c r="K53" s="5"/>
    </row>
    <row r="54" spans="2:11" ht="15" thickBot="1">
      <c r="B54" s="1435"/>
      <c r="C54" s="73"/>
      <c r="D54" s="32" t="s">
        <v>40</v>
      </c>
      <c r="E54" s="24" t="s">
        <v>2015</v>
      </c>
      <c r="F54" s="5"/>
      <c r="G54" s="5"/>
      <c r="H54" s="5"/>
      <c r="I54" s="5"/>
      <c r="J54" s="5"/>
      <c r="K54" s="5"/>
    </row>
    <row r="55" spans="2:11" ht="15" thickBot="1">
      <c r="B55" s="1435"/>
      <c r="C55" s="73"/>
      <c r="D55" s="32" t="s">
        <v>41</v>
      </c>
      <c r="E55" s="24" t="s">
        <v>2028</v>
      </c>
      <c r="F55" s="5"/>
      <c r="G55" s="5"/>
      <c r="H55" s="5"/>
      <c r="I55" s="5"/>
      <c r="J55" s="5"/>
      <c r="K55" s="5"/>
    </row>
    <row r="56" spans="2:11" ht="15" thickBot="1">
      <c r="B56" s="1435"/>
      <c r="C56" s="73"/>
      <c r="D56" s="32" t="s">
        <v>42</v>
      </c>
      <c r="E56" s="504" t="s">
        <v>1821</v>
      </c>
      <c r="F56" s="5"/>
      <c r="G56" s="5"/>
      <c r="H56" s="5"/>
      <c r="I56" s="5"/>
      <c r="J56" s="5"/>
      <c r="K56" s="5"/>
    </row>
    <row r="57" spans="2:11" ht="15" thickBot="1">
      <c r="B57" s="1435"/>
      <c r="C57" s="73"/>
      <c r="D57" s="32" t="s">
        <v>43</v>
      </c>
      <c r="E57" s="24" t="s">
        <v>1822</v>
      </c>
      <c r="F57" s="5"/>
      <c r="G57" s="5"/>
      <c r="H57" s="5"/>
      <c r="I57" s="5"/>
      <c r="J57" s="5"/>
      <c r="K57" s="5"/>
    </row>
    <row r="58" spans="2:11" ht="15" thickBot="1">
      <c r="B58" s="1436"/>
      <c r="C58" s="2"/>
      <c r="D58" s="32" t="s">
        <v>44</v>
      </c>
      <c r="E58" s="24" t="s">
        <v>1814</v>
      </c>
      <c r="F58" s="5"/>
      <c r="G58" s="5"/>
      <c r="H58" s="5"/>
      <c r="I58" s="5"/>
      <c r="J58" s="5"/>
      <c r="K58" s="5"/>
    </row>
    <row r="59" spans="2:11" ht="15" thickBot="1">
      <c r="B59" s="1"/>
      <c r="C59" s="64"/>
      <c r="D59" s="5"/>
      <c r="E59" s="5"/>
      <c r="F59" s="5"/>
      <c r="G59" s="5"/>
      <c r="H59" s="5"/>
      <c r="I59" s="5"/>
      <c r="J59" s="5"/>
      <c r="K59" s="5"/>
    </row>
    <row r="60" spans="2:11" ht="15" thickBot="1">
      <c r="B60" s="1444" t="s">
        <v>45</v>
      </c>
      <c r="C60" s="1445"/>
      <c r="D60" s="1445"/>
      <c r="E60" s="1446"/>
      <c r="F60" s="5"/>
      <c r="G60" s="5"/>
      <c r="H60" s="5"/>
      <c r="I60" s="5"/>
      <c r="J60" s="5"/>
      <c r="K60" s="5"/>
    </row>
    <row r="61" spans="2:11" ht="15" thickBot="1">
      <c r="B61" s="1434">
        <v>1</v>
      </c>
      <c r="C61" s="73"/>
      <c r="D61" s="38" t="s">
        <v>38</v>
      </c>
      <c r="E61" s="104" t="s">
        <v>46</v>
      </c>
      <c r="F61" s="5"/>
      <c r="G61" s="5"/>
      <c r="H61" s="5"/>
      <c r="I61" s="5"/>
      <c r="J61" s="5"/>
      <c r="K61" s="5"/>
    </row>
    <row r="62" spans="2:11" ht="15" thickBot="1">
      <c r="B62" s="1435"/>
      <c r="C62" s="73"/>
      <c r="D62" s="32" t="s">
        <v>39</v>
      </c>
      <c r="E62" s="140" t="s">
        <v>159</v>
      </c>
      <c r="F62" s="5"/>
      <c r="G62" s="5"/>
      <c r="H62" s="5"/>
      <c r="I62" s="5"/>
      <c r="J62" s="5"/>
      <c r="K62" s="5"/>
    </row>
    <row r="63" spans="2:11" ht="15" thickBot="1">
      <c r="B63" s="1435"/>
      <c r="C63" s="73"/>
      <c r="D63" s="32" t="s">
        <v>40</v>
      </c>
      <c r="E63" s="141"/>
      <c r="F63" s="5"/>
      <c r="G63" s="5"/>
      <c r="H63" s="5"/>
      <c r="I63" s="5"/>
      <c r="J63" s="5"/>
      <c r="K63" s="5"/>
    </row>
    <row r="64" spans="2:11" ht="15" thickBot="1">
      <c r="B64" s="1435"/>
      <c r="C64" s="73"/>
      <c r="D64" s="32" t="s">
        <v>41</v>
      </c>
      <c r="E64" s="141"/>
      <c r="F64" s="5"/>
      <c r="G64" s="5"/>
      <c r="H64" s="5"/>
      <c r="I64" s="5"/>
      <c r="J64" s="5"/>
      <c r="K64" s="5"/>
    </row>
    <row r="65" spans="2:11" ht="15" thickBot="1">
      <c r="B65" s="1435"/>
      <c r="C65" s="73"/>
      <c r="D65" s="32" t="s">
        <v>42</v>
      </c>
      <c r="E65" s="141"/>
      <c r="F65" s="5"/>
      <c r="G65" s="5"/>
      <c r="H65" s="5"/>
      <c r="I65" s="5"/>
      <c r="J65" s="5"/>
      <c r="K65" s="5"/>
    </row>
    <row r="66" spans="2:11" ht="15" thickBot="1">
      <c r="B66" s="1435"/>
      <c r="C66" s="73"/>
      <c r="D66" s="32" t="s">
        <v>43</v>
      </c>
      <c r="E66" s="141"/>
      <c r="F66" s="5"/>
      <c r="G66" s="5"/>
      <c r="H66" s="5"/>
      <c r="I66" s="5"/>
      <c r="J66" s="5"/>
      <c r="K66" s="5"/>
    </row>
    <row r="67" spans="2:11" ht="15" thickBot="1">
      <c r="B67" s="1436"/>
      <c r="C67" s="2"/>
      <c r="D67" s="32" t="s">
        <v>44</v>
      </c>
      <c r="E67" s="141"/>
      <c r="F67" s="5"/>
      <c r="G67" s="5"/>
      <c r="H67" s="5"/>
      <c r="I67" s="5"/>
      <c r="J67" s="5"/>
      <c r="K67" s="5"/>
    </row>
    <row r="68" spans="2:11" ht="15" thickBot="1">
      <c r="B68" s="1"/>
      <c r="C68" s="64"/>
      <c r="D68" s="5"/>
      <c r="E68" s="5"/>
      <c r="F68" s="5"/>
      <c r="G68" s="5"/>
      <c r="H68" s="5"/>
      <c r="I68" s="5"/>
      <c r="J68" s="5"/>
      <c r="K68" s="5"/>
    </row>
    <row r="69" spans="2:11" ht="15" customHeight="1" thickBot="1">
      <c r="B69" s="100" t="s">
        <v>48</v>
      </c>
      <c r="C69" s="101"/>
      <c r="D69" s="101"/>
      <c r="E69" s="102"/>
      <c r="G69" s="5"/>
      <c r="H69" s="5"/>
      <c r="I69" s="5"/>
      <c r="J69" s="5"/>
      <c r="K69" s="5"/>
    </row>
    <row r="70" spans="2:11" ht="24.6" thickBot="1">
      <c r="B70" s="37" t="s">
        <v>49</v>
      </c>
      <c r="C70" s="32" t="s">
        <v>50</v>
      </c>
      <c r="D70" s="32" t="s">
        <v>51</v>
      </c>
      <c r="E70" s="32" t="s">
        <v>52</v>
      </c>
      <c r="F70" s="5"/>
      <c r="G70" s="5"/>
      <c r="H70" s="5"/>
      <c r="I70" s="5"/>
      <c r="J70" s="5"/>
    </row>
    <row r="71" spans="2:11" ht="60.6" thickBot="1">
      <c r="B71" s="39">
        <v>42401</v>
      </c>
      <c r="C71" s="32">
        <v>1</v>
      </c>
      <c r="D71" s="32" t="s">
        <v>766</v>
      </c>
      <c r="E71" s="32"/>
      <c r="F71" s="5"/>
      <c r="G71" s="5"/>
      <c r="H71" s="5"/>
      <c r="I71" s="5"/>
      <c r="J71" s="5"/>
    </row>
    <row r="72" spans="2:11" ht="15" thickBot="1">
      <c r="B72" s="3"/>
      <c r="C72" s="74"/>
      <c r="D72" s="5"/>
      <c r="E72" s="5"/>
      <c r="F72" s="5"/>
      <c r="G72" s="5"/>
      <c r="H72" s="5"/>
      <c r="I72" s="5"/>
      <c r="J72" s="5"/>
      <c r="K72" s="5"/>
    </row>
    <row r="73" spans="2:11" ht="15" thickBot="1">
      <c r="B73" s="106" t="s">
        <v>54</v>
      </c>
      <c r="C73" s="75"/>
      <c r="D73" s="5"/>
      <c r="E73" s="5"/>
      <c r="F73" s="5"/>
      <c r="G73" s="5"/>
      <c r="H73" s="5"/>
      <c r="I73" s="5"/>
      <c r="J73" s="5"/>
      <c r="K73" s="5"/>
    </row>
    <row r="74" spans="2:11">
      <c r="B74" s="1680"/>
      <c r="C74" s="1681"/>
      <c r="D74" s="1681"/>
      <c r="E74" s="1682"/>
      <c r="F74" s="5"/>
      <c r="G74" s="5"/>
      <c r="H74" s="5"/>
      <c r="I74" s="5"/>
      <c r="J74" s="5"/>
      <c r="K74" s="5"/>
    </row>
    <row r="75" spans="2:11" ht="15" thickBot="1">
      <c r="B75" s="1683"/>
      <c r="C75" s="1684"/>
      <c r="D75" s="1684"/>
      <c r="E75" s="1685"/>
      <c r="F75" s="5"/>
      <c r="G75" s="5"/>
      <c r="H75" s="5"/>
      <c r="I75" s="5"/>
      <c r="J75" s="5"/>
      <c r="K75" s="5"/>
    </row>
    <row r="76" spans="2:11" ht="15" thickBot="1">
      <c r="B76" s="5"/>
      <c r="D76" s="5"/>
      <c r="E76" s="5"/>
      <c r="F76" s="5"/>
      <c r="G76" s="5"/>
      <c r="H76" s="5"/>
      <c r="I76" s="5"/>
      <c r="J76" s="5"/>
      <c r="K76" s="5"/>
    </row>
    <row r="77" spans="2:11" ht="15" thickBot="1">
      <c r="B77" s="1444" t="s">
        <v>55</v>
      </c>
      <c r="C77" s="1445"/>
      <c r="D77" s="1446"/>
      <c r="E77" s="5"/>
      <c r="F77" s="5"/>
      <c r="G77" s="5"/>
      <c r="H77" s="5"/>
      <c r="I77" s="5"/>
      <c r="J77" s="5"/>
      <c r="K77" s="5"/>
    </row>
    <row r="78" spans="2:11" ht="60.6" thickBot="1">
      <c r="B78" s="37" t="s">
        <v>56</v>
      </c>
      <c r="C78" s="2"/>
      <c r="D78" s="32" t="s">
        <v>698</v>
      </c>
      <c r="E78" s="5"/>
      <c r="F78" s="5"/>
      <c r="G78" s="5"/>
      <c r="H78" s="5"/>
      <c r="I78" s="5"/>
      <c r="J78" s="5"/>
      <c r="K78" s="5"/>
    </row>
    <row r="79" spans="2:11">
      <c r="B79" s="1434" t="s">
        <v>58</v>
      </c>
      <c r="C79" s="73"/>
      <c r="D79" s="43" t="s">
        <v>59</v>
      </c>
      <c r="E79" s="5"/>
      <c r="F79" s="5"/>
      <c r="G79" s="5"/>
      <c r="H79" s="5"/>
      <c r="I79" s="5"/>
      <c r="J79" s="5"/>
      <c r="K79" s="5"/>
    </row>
    <row r="80" spans="2:11" ht="84">
      <c r="B80" s="1435"/>
      <c r="C80" s="73"/>
      <c r="D80" s="36" t="s">
        <v>699</v>
      </c>
      <c r="E80" s="5"/>
      <c r="F80" s="5"/>
      <c r="G80" s="5"/>
      <c r="H80" s="5"/>
      <c r="I80" s="5"/>
      <c r="J80" s="5"/>
      <c r="K80" s="5"/>
    </row>
    <row r="81" spans="2:11">
      <c r="B81" s="1435"/>
      <c r="C81" s="73"/>
      <c r="D81" s="43" t="s">
        <v>62</v>
      </c>
      <c r="E81" s="5"/>
      <c r="F81" s="5"/>
      <c r="G81" s="5"/>
      <c r="H81" s="5"/>
      <c r="I81" s="5"/>
      <c r="J81" s="5"/>
      <c r="K81" s="5"/>
    </row>
    <row r="82" spans="2:11">
      <c r="B82" s="1435"/>
      <c r="C82" s="73"/>
      <c r="D82" s="36" t="s">
        <v>63</v>
      </c>
      <c r="E82" s="5"/>
      <c r="F82" s="5"/>
      <c r="G82" s="5"/>
      <c r="H82" s="5"/>
      <c r="I82" s="5"/>
      <c r="J82" s="5"/>
      <c r="K82" s="5"/>
    </row>
    <row r="83" spans="2:11">
      <c r="B83" s="1435"/>
      <c r="C83" s="73"/>
      <c r="D83" s="36" t="s">
        <v>700</v>
      </c>
      <c r="E83" s="5"/>
      <c r="F83" s="5"/>
      <c r="G83" s="5"/>
      <c r="H83" s="5"/>
      <c r="I83" s="5"/>
      <c r="J83" s="5"/>
      <c r="K83" s="5"/>
    </row>
    <row r="84" spans="2:11">
      <c r="B84" s="1435"/>
      <c r="C84" s="73"/>
      <c r="D84" s="36" t="s">
        <v>64</v>
      </c>
      <c r="E84" s="5"/>
      <c r="F84" s="5"/>
      <c r="G84" s="5"/>
      <c r="H84" s="5"/>
      <c r="I84" s="5"/>
      <c r="J84" s="5"/>
      <c r="K84" s="5"/>
    </row>
    <row r="85" spans="2:11">
      <c r="B85" s="1435"/>
      <c r="C85" s="73"/>
      <c r="D85" s="36" t="s">
        <v>701</v>
      </c>
      <c r="E85" s="5"/>
      <c r="F85" s="5"/>
      <c r="G85" s="5"/>
      <c r="H85" s="5"/>
      <c r="I85" s="5"/>
      <c r="J85" s="5"/>
      <c r="K85" s="5"/>
    </row>
    <row r="86" spans="2:11" ht="24">
      <c r="B86" s="1435"/>
      <c r="C86" s="73"/>
      <c r="D86" s="36" t="s">
        <v>702</v>
      </c>
      <c r="E86" s="5"/>
      <c r="F86" s="5"/>
      <c r="G86" s="5"/>
      <c r="H86" s="5"/>
      <c r="I86" s="5"/>
      <c r="J86" s="5"/>
      <c r="K86" s="5"/>
    </row>
    <row r="87" spans="2:11">
      <c r="B87" s="1435"/>
      <c r="C87" s="73"/>
      <c r="D87" s="43" t="s">
        <v>287</v>
      </c>
      <c r="E87" s="5"/>
      <c r="F87" s="5"/>
      <c r="G87" s="5"/>
      <c r="H87" s="5"/>
      <c r="I87" s="5"/>
      <c r="J87" s="5"/>
      <c r="K87" s="5"/>
    </row>
    <row r="88" spans="2:11">
      <c r="B88" s="1435"/>
      <c r="C88" s="73"/>
      <c r="D88" s="36" t="s">
        <v>354</v>
      </c>
      <c r="E88" s="5"/>
      <c r="F88" s="5"/>
      <c r="G88" s="5"/>
      <c r="H88" s="5"/>
      <c r="I88" s="5"/>
      <c r="J88" s="5"/>
      <c r="K88" s="5"/>
    </row>
    <row r="89" spans="2:11">
      <c r="B89" s="1435"/>
      <c r="C89" s="73"/>
      <c r="D89" s="36" t="s">
        <v>703</v>
      </c>
      <c r="E89" s="5"/>
      <c r="F89" s="5"/>
      <c r="G89" s="5"/>
      <c r="H89" s="5"/>
      <c r="I89" s="5"/>
      <c r="J89" s="5"/>
      <c r="K89" s="5"/>
    </row>
    <row r="90" spans="2:11" ht="24">
      <c r="B90" s="1435"/>
      <c r="C90" s="73"/>
      <c r="D90" s="36" t="s">
        <v>704</v>
      </c>
      <c r="E90" s="5"/>
      <c r="F90" s="5"/>
      <c r="G90" s="5"/>
      <c r="H90" s="5"/>
      <c r="I90" s="5"/>
      <c r="J90" s="5"/>
      <c r="K90" s="5"/>
    </row>
    <row r="91" spans="2:11" ht="24">
      <c r="B91" s="1435"/>
      <c r="C91" s="73"/>
      <c r="D91" s="36" t="s">
        <v>705</v>
      </c>
      <c r="E91" s="5"/>
      <c r="F91" s="5"/>
      <c r="G91" s="5"/>
      <c r="H91" s="5"/>
      <c r="I91" s="5"/>
      <c r="J91" s="5"/>
      <c r="K91" s="5"/>
    </row>
    <row r="92" spans="2:11" ht="24">
      <c r="B92" s="1435"/>
      <c r="C92" s="73"/>
      <c r="D92" s="36" t="s">
        <v>706</v>
      </c>
      <c r="E92" s="5"/>
      <c r="F92" s="5"/>
      <c r="G92" s="5"/>
      <c r="H92" s="5"/>
      <c r="I92" s="5"/>
      <c r="J92" s="5"/>
      <c r="K92" s="5"/>
    </row>
    <row r="93" spans="2:11">
      <c r="B93" s="1435"/>
      <c r="C93" s="73"/>
      <c r="D93" s="36" t="s">
        <v>707</v>
      </c>
      <c r="E93" s="5"/>
      <c r="F93" s="5"/>
      <c r="G93" s="5"/>
      <c r="H93" s="5"/>
      <c r="I93" s="5"/>
      <c r="J93" s="5"/>
      <c r="K93" s="5"/>
    </row>
    <row r="94" spans="2:11">
      <c r="B94" s="1435"/>
      <c r="C94" s="73"/>
      <c r="D94" s="36" t="s">
        <v>708</v>
      </c>
      <c r="E94" s="5"/>
      <c r="F94" s="5"/>
      <c r="G94" s="5"/>
      <c r="H94" s="5"/>
      <c r="I94" s="5"/>
      <c r="J94" s="5"/>
      <c r="K94" s="5"/>
    </row>
    <row r="95" spans="2:11" ht="15" thickBot="1">
      <c r="B95" s="1436"/>
      <c r="C95" s="2"/>
      <c r="D95" s="32" t="s">
        <v>709</v>
      </c>
      <c r="E95" s="5"/>
      <c r="F95" s="5"/>
      <c r="G95" s="5"/>
      <c r="H95" s="5"/>
      <c r="I95" s="5"/>
      <c r="J95" s="5"/>
      <c r="K95" s="5"/>
    </row>
    <row r="96" spans="2:11" ht="24.6" thickBot="1">
      <c r="B96" s="37" t="s">
        <v>71</v>
      </c>
      <c r="C96" s="2"/>
      <c r="D96" s="32"/>
      <c r="E96" s="5"/>
      <c r="F96" s="5"/>
      <c r="G96" s="5"/>
      <c r="H96" s="5"/>
      <c r="I96" s="5"/>
      <c r="J96" s="5"/>
      <c r="K96" s="5"/>
    </row>
    <row r="97" spans="2:11" ht="216">
      <c r="B97" s="1434" t="s">
        <v>72</v>
      </c>
      <c r="C97" s="73"/>
      <c r="D97" s="36" t="s">
        <v>710</v>
      </c>
      <c r="E97" s="5"/>
      <c r="F97" s="5"/>
      <c r="G97" s="5"/>
      <c r="H97" s="5"/>
      <c r="I97" s="5"/>
      <c r="J97" s="5"/>
      <c r="K97" s="5"/>
    </row>
    <row r="98" spans="2:11" ht="24">
      <c r="B98" s="1435"/>
      <c r="C98" s="73"/>
      <c r="D98" s="36" t="s">
        <v>711</v>
      </c>
      <c r="E98" s="5"/>
      <c r="F98" s="5"/>
      <c r="G98" s="5"/>
      <c r="H98" s="5"/>
      <c r="I98" s="5"/>
      <c r="J98" s="5"/>
      <c r="K98" s="5"/>
    </row>
    <row r="99" spans="2:11" ht="96">
      <c r="B99" s="1435"/>
      <c r="C99" s="73"/>
      <c r="D99" s="36" t="s">
        <v>712</v>
      </c>
      <c r="E99" s="5"/>
      <c r="F99" s="5"/>
      <c r="G99" s="5"/>
      <c r="H99" s="5"/>
      <c r="I99" s="5"/>
      <c r="J99" s="5"/>
      <c r="K99" s="5"/>
    </row>
    <row r="100" spans="2:11" ht="324">
      <c r="B100" s="1435"/>
      <c r="C100" s="73"/>
      <c r="D100" s="36" t="s">
        <v>713</v>
      </c>
      <c r="E100" s="5"/>
      <c r="F100" s="5"/>
      <c r="G100" s="5"/>
      <c r="H100" s="5"/>
      <c r="I100" s="5"/>
      <c r="J100" s="5"/>
      <c r="K100" s="5"/>
    </row>
    <row r="101" spans="2:11" ht="168">
      <c r="B101" s="1435"/>
      <c r="C101" s="73"/>
      <c r="D101" s="36" t="s">
        <v>714</v>
      </c>
      <c r="E101" s="5"/>
      <c r="F101" s="5"/>
      <c r="G101" s="5"/>
      <c r="H101" s="5"/>
      <c r="I101" s="5"/>
      <c r="J101" s="5"/>
      <c r="K101" s="5"/>
    </row>
    <row r="102" spans="2:11" ht="60">
      <c r="B102" s="1435"/>
      <c r="C102" s="73"/>
      <c r="D102" s="36" t="s">
        <v>715</v>
      </c>
      <c r="E102" s="5"/>
      <c r="F102" s="5"/>
      <c r="G102" s="5"/>
      <c r="H102" s="5"/>
      <c r="I102" s="5"/>
      <c r="J102" s="5"/>
      <c r="K102" s="5"/>
    </row>
    <row r="103" spans="2:11" ht="24">
      <c r="B103" s="1435"/>
      <c r="C103" s="73"/>
      <c r="D103" s="36" t="s">
        <v>716</v>
      </c>
      <c r="E103" s="5"/>
      <c r="F103" s="5"/>
      <c r="G103" s="5"/>
      <c r="H103" s="5"/>
      <c r="I103" s="5"/>
      <c r="J103" s="5"/>
      <c r="K103" s="5"/>
    </row>
    <row r="104" spans="2:11" ht="24">
      <c r="B104" s="1435"/>
      <c r="C104" s="73"/>
      <c r="D104" s="36" t="s">
        <v>717</v>
      </c>
      <c r="E104" s="5"/>
      <c r="F104" s="5"/>
      <c r="G104" s="5"/>
      <c r="H104" s="5"/>
      <c r="I104" s="5"/>
      <c r="J104" s="5"/>
      <c r="K104" s="5"/>
    </row>
    <row r="105" spans="2:11" ht="24">
      <c r="B105" s="1435"/>
      <c r="C105" s="73"/>
      <c r="D105" s="36" t="s">
        <v>718</v>
      </c>
      <c r="E105" s="5"/>
      <c r="F105" s="5"/>
      <c r="G105" s="5"/>
      <c r="H105" s="5"/>
      <c r="I105" s="5"/>
      <c r="J105" s="5"/>
      <c r="K105" s="5"/>
    </row>
    <row r="106" spans="2:11" ht="72">
      <c r="B106" s="1435"/>
      <c r="C106" s="73"/>
      <c r="D106" s="36" t="s">
        <v>719</v>
      </c>
      <c r="E106" s="5"/>
      <c r="F106" s="5"/>
      <c r="G106" s="5"/>
      <c r="H106" s="5"/>
      <c r="I106" s="5"/>
      <c r="J106" s="5"/>
      <c r="K106" s="5"/>
    </row>
    <row r="107" spans="2:11" ht="24">
      <c r="B107" s="1435"/>
      <c r="C107" s="73"/>
      <c r="D107" s="36" t="s">
        <v>720</v>
      </c>
      <c r="E107" s="5"/>
      <c r="F107" s="5"/>
      <c r="G107" s="5"/>
      <c r="H107" s="5"/>
      <c r="I107" s="5"/>
      <c r="J107" s="5"/>
      <c r="K107" s="5"/>
    </row>
    <row r="108" spans="2:11" ht="24">
      <c r="B108" s="1435"/>
      <c r="C108" s="73"/>
      <c r="D108" s="36" t="s">
        <v>721</v>
      </c>
      <c r="E108" s="5"/>
      <c r="F108" s="5"/>
      <c r="G108" s="5"/>
      <c r="H108" s="5"/>
      <c r="I108" s="5"/>
      <c r="J108" s="5"/>
      <c r="K108" s="5"/>
    </row>
    <row r="109" spans="2:11">
      <c r="B109" s="1435"/>
      <c r="C109" s="73"/>
      <c r="D109" s="36" t="s">
        <v>722</v>
      </c>
      <c r="E109" s="5"/>
      <c r="F109" s="5"/>
      <c r="G109" s="5"/>
      <c r="H109" s="5"/>
      <c r="I109" s="5"/>
      <c r="J109" s="5"/>
      <c r="K109" s="5"/>
    </row>
    <row r="110" spans="2:11">
      <c r="B110" s="1435"/>
      <c r="C110" s="73"/>
      <c r="D110" s="36" t="s">
        <v>723</v>
      </c>
      <c r="E110" s="5"/>
      <c r="F110" s="5"/>
      <c r="G110" s="5"/>
      <c r="H110" s="5"/>
      <c r="I110" s="5"/>
      <c r="J110" s="5"/>
      <c r="K110" s="5"/>
    </row>
    <row r="111" spans="2:11" ht="24">
      <c r="B111" s="1435"/>
      <c r="C111" s="73"/>
      <c r="D111" s="36" t="s">
        <v>724</v>
      </c>
      <c r="E111" s="5"/>
      <c r="F111" s="5"/>
      <c r="G111" s="5"/>
      <c r="H111" s="5"/>
      <c r="I111" s="5"/>
      <c r="J111" s="5"/>
      <c r="K111" s="5"/>
    </row>
    <row r="112" spans="2:11" ht="24">
      <c r="B112" s="1435"/>
      <c r="C112" s="73"/>
      <c r="D112" s="36" t="s">
        <v>725</v>
      </c>
      <c r="E112" s="5"/>
      <c r="F112" s="5"/>
      <c r="G112" s="5"/>
      <c r="H112" s="5"/>
      <c r="I112" s="5"/>
      <c r="J112" s="5"/>
      <c r="K112" s="5"/>
    </row>
    <row r="113" spans="2:11" ht="24">
      <c r="B113" s="1435"/>
      <c r="C113" s="73"/>
      <c r="D113" s="36" t="s">
        <v>726</v>
      </c>
      <c r="E113" s="5"/>
      <c r="F113" s="5"/>
      <c r="G113" s="5"/>
      <c r="H113" s="5"/>
      <c r="I113" s="5"/>
      <c r="J113" s="5"/>
      <c r="K113" s="5"/>
    </row>
    <row r="114" spans="2:11" ht="60">
      <c r="B114" s="1435"/>
      <c r="C114" s="73"/>
      <c r="D114" s="36" t="s">
        <v>727</v>
      </c>
      <c r="E114" s="5"/>
      <c r="F114" s="5"/>
      <c r="G114" s="5"/>
      <c r="H114" s="5"/>
      <c r="I114" s="5"/>
      <c r="J114" s="5"/>
      <c r="K114" s="5"/>
    </row>
    <row r="115" spans="2:11" ht="36">
      <c r="B115" s="1435"/>
      <c r="C115" s="73"/>
      <c r="D115" s="36" t="s">
        <v>728</v>
      </c>
      <c r="E115" s="5"/>
      <c r="F115" s="5"/>
      <c r="G115" s="5"/>
      <c r="H115" s="5"/>
      <c r="I115" s="5"/>
      <c r="J115" s="5"/>
      <c r="K115" s="5"/>
    </row>
    <row r="116" spans="2:11" ht="36">
      <c r="B116" s="1435"/>
      <c r="C116" s="73"/>
      <c r="D116" s="36" t="s">
        <v>729</v>
      </c>
      <c r="E116" s="5"/>
      <c r="F116" s="5"/>
      <c r="G116" s="5"/>
      <c r="H116" s="5"/>
      <c r="I116" s="5"/>
      <c r="J116" s="5"/>
      <c r="K116" s="5"/>
    </row>
    <row r="117" spans="2:11" ht="24">
      <c r="B117" s="1435"/>
      <c r="C117" s="73"/>
      <c r="D117" s="36" t="s">
        <v>730</v>
      </c>
      <c r="E117" s="5"/>
      <c r="F117" s="5"/>
      <c r="G117" s="5"/>
      <c r="H117" s="5"/>
      <c r="I117" s="5"/>
      <c r="J117" s="5"/>
      <c r="K117" s="5"/>
    </row>
    <row r="118" spans="2:11" ht="24">
      <c r="B118" s="1435"/>
      <c r="C118" s="73"/>
      <c r="D118" s="36" t="s">
        <v>731</v>
      </c>
      <c r="E118" s="5"/>
      <c r="F118" s="5"/>
      <c r="G118" s="5"/>
      <c r="H118" s="5"/>
      <c r="I118" s="5"/>
      <c r="J118" s="5"/>
      <c r="K118" s="5"/>
    </row>
    <row r="119" spans="2:11" ht="36">
      <c r="B119" s="1435"/>
      <c r="C119" s="73"/>
      <c r="D119" s="36" t="s">
        <v>732</v>
      </c>
      <c r="E119" s="5"/>
      <c r="F119" s="5"/>
      <c r="G119" s="5"/>
      <c r="H119" s="5"/>
      <c r="I119" s="5"/>
      <c r="J119" s="5"/>
      <c r="K119" s="5"/>
    </row>
    <row r="120" spans="2:11" ht="24">
      <c r="B120" s="1435"/>
      <c r="C120" s="73"/>
      <c r="D120" s="36" t="s">
        <v>733</v>
      </c>
      <c r="E120" s="5"/>
      <c r="F120" s="5"/>
      <c r="G120" s="5"/>
      <c r="H120" s="5"/>
      <c r="I120" s="5"/>
      <c r="J120" s="5"/>
      <c r="K120" s="5"/>
    </row>
    <row r="121" spans="2:11" ht="36">
      <c r="B121" s="1435"/>
      <c r="C121" s="73"/>
      <c r="D121" s="36" t="s">
        <v>734</v>
      </c>
      <c r="E121" s="5"/>
      <c r="F121" s="5"/>
      <c r="G121" s="5"/>
      <c r="H121" s="5"/>
      <c r="I121" s="5"/>
      <c r="J121" s="5"/>
      <c r="K121" s="5"/>
    </row>
    <row r="122" spans="2:11" ht="36">
      <c r="B122" s="1435"/>
      <c r="C122" s="73"/>
      <c r="D122" s="36" t="s">
        <v>735</v>
      </c>
      <c r="E122" s="5"/>
      <c r="F122" s="5"/>
      <c r="G122" s="5"/>
      <c r="H122" s="5"/>
      <c r="I122" s="5"/>
      <c r="J122" s="5"/>
      <c r="K122" s="5"/>
    </row>
    <row r="123" spans="2:11" ht="36">
      <c r="B123" s="1435"/>
      <c r="C123" s="73"/>
      <c r="D123" s="36" t="s">
        <v>736</v>
      </c>
      <c r="E123" s="5"/>
      <c r="F123" s="5"/>
      <c r="G123" s="5"/>
      <c r="H123" s="5"/>
      <c r="I123" s="5"/>
      <c r="J123" s="5"/>
      <c r="K123" s="5"/>
    </row>
    <row r="124" spans="2:11" ht="60">
      <c r="B124" s="1435"/>
      <c r="C124" s="73"/>
      <c r="D124" s="36" t="s">
        <v>737</v>
      </c>
      <c r="E124" s="5"/>
      <c r="F124" s="5"/>
      <c r="G124" s="5"/>
      <c r="H124" s="5"/>
      <c r="I124" s="5"/>
      <c r="J124" s="5"/>
      <c r="K124" s="5"/>
    </row>
    <row r="125" spans="2:11" ht="48">
      <c r="B125" s="1435"/>
      <c r="C125" s="73"/>
      <c r="D125" s="36" t="s">
        <v>738</v>
      </c>
      <c r="E125" s="5"/>
      <c r="F125" s="5"/>
      <c r="G125" s="5"/>
      <c r="H125" s="5"/>
      <c r="I125" s="5"/>
      <c r="J125" s="5"/>
      <c r="K125" s="5"/>
    </row>
    <row r="126" spans="2:11" ht="24">
      <c r="B126" s="1435"/>
      <c r="C126" s="73"/>
      <c r="D126" s="36" t="s">
        <v>739</v>
      </c>
      <c r="E126" s="5"/>
      <c r="F126" s="5"/>
      <c r="G126" s="5"/>
      <c r="H126" s="5"/>
      <c r="I126" s="5"/>
      <c r="J126" s="5"/>
      <c r="K126" s="5"/>
    </row>
    <row r="127" spans="2:11">
      <c r="B127" s="1435"/>
      <c r="C127" s="73"/>
      <c r="D127" s="36" t="s">
        <v>740</v>
      </c>
      <c r="E127" s="5"/>
      <c r="F127" s="5"/>
      <c r="G127" s="5"/>
      <c r="H127" s="5"/>
      <c r="I127" s="5"/>
      <c r="J127" s="5"/>
      <c r="K127" s="5"/>
    </row>
    <row r="128" spans="2:11" ht="24">
      <c r="B128" s="1435"/>
      <c r="C128" s="73"/>
      <c r="D128" s="36" t="s">
        <v>741</v>
      </c>
      <c r="E128" s="5"/>
      <c r="F128" s="5"/>
      <c r="G128" s="5"/>
      <c r="H128" s="5"/>
      <c r="I128" s="5"/>
      <c r="J128" s="5"/>
      <c r="K128" s="5"/>
    </row>
    <row r="129" spans="2:11" ht="24">
      <c r="B129" s="1435"/>
      <c r="C129" s="73"/>
      <c r="D129" s="36" t="s">
        <v>742</v>
      </c>
      <c r="E129" s="5"/>
      <c r="F129" s="5"/>
      <c r="G129" s="5"/>
      <c r="H129" s="5"/>
      <c r="I129" s="5"/>
      <c r="J129" s="5"/>
      <c r="K129" s="5"/>
    </row>
    <row r="130" spans="2:11" ht="36">
      <c r="B130" s="1435"/>
      <c r="C130" s="73"/>
      <c r="D130" s="36" t="s">
        <v>743</v>
      </c>
      <c r="E130" s="5"/>
      <c r="F130" s="5"/>
      <c r="G130" s="5"/>
      <c r="H130" s="5"/>
      <c r="I130" s="5"/>
      <c r="J130" s="5"/>
      <c r="K130" s="5"/>
    </row>
    <row r="131" spans="2:11">
      <c r="B131" s="1435"/>
      <c r="C131" s="73"/>
      <c r="D131" s="36" t="s">
        <v>744</v>
      </c>
      <c r="E131" s="5"/>
      <c r="F131" s="5"/>
      <c r="G131" s="5"/>
      <c r="H131" s="5"/>
      <c r="I131" s="5"/>
      <c r="J131" s="5"/>
      <c r="K131" s="5"/>
    </row>
    <row r="132" spans="2:11" ht="24.6" thickBot="1">
      <c r="B132" s="1436"/>
      <c r="C132" s="2"/>
      <c r="D132" s="32" t="s">
        <v>745</v>
      </c>
      <c r="E132" s="5"/>
      <c r="F132" s="5"/>
      <c r="G132" s="5"/>
      <c r="H132" s="5"/>
      <c r="I132" s="5"/>
      <c r="J132" s="5"/>
      <c r="K132" s="5"/>
    </row>
    <row r="133" spans="2:11" ht="24">
      <c r="B133" s="1434" t="s">
        <v>89</v>
      </c>
      <c r="C133" s="73"/>
      <c r="D133" s="43" t="s">
        <v>746</v>
      </c>
      <c r="E133" s="5"/>
      <c r="F133" s="5"/>
      <c r="G133" s="5"/>
      <c r="H133" s="5"/>
      <c r="I133" s="5"/>
      <c r="J133" s="5"/>
      <c r="K133" s="5"/>
    </row>
    <row r="134" spans="2:11" ht="25.35" customHeight="1">
      <c r="B134" s="1435"/>
      <c r="C134" s="73"/>
      <c r="D134" s="36" t="s">
        <v>247</v>
      </c>
      <c r="E134" s="5"/>
      <c r="F134" s="5"/>
      <c r="G134" s="5"/>
      <c r="H134" s="5"/>
      <c r="I134" s="5"/>
      <c r="J134" s="5"/>
      <c r="K134" s="5"/>
    </row>
    <row r="135" spans="2:11">
      <c r="B135" s="1435"/>
      <c r="C135" s="73"/>
      <c r="D135" s="36" t="s">
        <v>90</v>
      </c>
      <c r="E135" s="5"/>
      <c r="F135" s="5"/>
      <c r="G135" s="5"/>
      <c r="H135" s="5"/>
      <c r="I135" s="5"/>
      <c r="J135" s="5"/>
      <c r="K135" s="5"/>
    </row>
    <row r="136" spans="2:11" ht="38.4">
      <c r="B136" s="1435"/>
      <c r="C136" s="73"/>
      <c r="D136" s="36" t="s">
        <v>747</v>
      </c>
      <c r="E136" s="5"/>
      <c r="F136" s="5"/>
      <c r="G136" s="5"/>
      <c r="H136" s="5"/>
      <c r="I136" s="5"/>
      <c r="J136" s="5"/>
      <c r="K136" s="5"/>
    </row>
    <row r="137" spans="2:11" ht="38.4">
      <c r="B137" s="1435"/>
      <c r="C137" s="73"/>
      <c r="D137" s="36" t="s">
        <v>748</v>
      </c>
      <c r="E137" s="5"/>
      <c r="F137" s="5"/>
      <c r="G137" s="5"/>
      <c r="H137" s="5"/>
      <c r="I137" s="5"/>
      <c r="J137" s="5"/>
      <c r="K137" s="5"/>
    </row>
    <row r="138" spans="2:11" ht="38.4">
      <c r="B138" s="1435"/>
      <c r="C138" s="73"/>
      <c r="D138" s="36" t="s">
        <v>749</v>
      </c>
      <c r="E138" s="5"/>
      <c r="F138" s="5"/>
      <c r="G138" s="5"/>
      <c r="H138" s="5"/>
      <c r="I138" s="5"/>
      <c r="J138" s="5"/>
      <c r="K138" s="5"/>
    </row>
    <row r="139" spans="2:11" ht="38.4">
      <c r="B139" s="1435"/>
      <c r="C139" s="73"/>
      <c r="D139" s="36" t="s">
        <v>750</v>
      </c>
      <c r="E139" s="5"/>
      <c r="F139" s="5"/>
      <c r="G139" s="5"/>
      <c r="H139" s="5"/>
      <c r="I139" s="5"/>
      <c r="J139" s="5"/>
      <c r="K139" s="5"/>
    </row>
    <row r="140" spans="2:11">
      <c r="B140" s="1435"/>
      <c r="C140" s="73"/>
      <c r="D140" s="36" t="s">
        <v>751</v>
      </c>
      <c r="E140" s="5"/>
      <c r="F140" s="5"/>
      <c r="G140" s="5"/>
      <c r="H140" s="5"/>
      <c r="I140" s="5"/>
      <c r="J140" s="5"/>
      <c r="K140" s="5"/>
    </row>
    <row r="141" spans="2:11">
      <c r="B141" s="1435"/>
      <c r="C141" s="73"/>
      <c r="D141" s="36" t="s">
        <v>752</v>
      </c>
      <c r="E141" s="5"/>
      <c r="F141" s="5"/>
      <c r="G141" s="5"/>
      <c r="H141" s="5"/>
      <c r="I141" s="5"/>
      <c r="J141" s="5"/>
      <c r="K141" s="5"/>
    </row>
    <row r="142" spans="2:11">
      <c r="B142" s="1435"/>
      <c r="C142" s="73"/>
      <c r="D142" s="36" t="s">
        <v>753</v>
      </c>
      <c r="E142" s="5"/>
      <c r="F142" s="5"/>
      <c r="G142" s="5"/>
      <c r="H142" s="5"/>
      <c r="I142" s="5"/>
      <c r="J142" s="5"/>
      <c r="K142" s="5"/>
    </row>
    <row r="143" spans="2:11">
      <c r="B143" s="1435"/>
      <c r="C143" s="73"/>
      <c r="D143" s="36" t="s">
        <v>754</v>
      </c>
      <c r="E143" s="5"/>
      <c r="F143" s="5"/>
      <c r="G143" s="5"/>
      <c r="H143" s="5"/>
      <c r="I143" s="5"/>
      <c r="J143" s="5"/>
      <c r="K143" s="5"/>
    </row>
    <row r="144" spans="2:11" ht="72">
      <c r="B144" s="1435"/>
      <c r="C144" s="73"/>
      <c r="D144" s="44" t="s">
        <v>234</v>
      </c>
      <c r="E144" s="5"/>
      <c r="F144" s="5"/>
      <c r="G144" s="5"/>
      <c r="H144" s="5"/>
      <c r="I144" s="5"/>
      <c r="J144" s="5"/>
      <c r="K144" s="5"/>
    </row>
    <row r="145" spans="2:11">
      <c r="B145" s="1435"/>
      <c r="C145" s="73"/>
      <c r="D145" s="47" t="s">
        <v>245</v>
      </c>
      <c r="E145" s="5"/>
      <c r="F145" s="5"/>
      <c r="G145" s="5"/>
      <c r="H145" s="5"/>
      <c r="I145" s="5"/>
      <c r="J145" s="5"/>
      <c r="K145" s="5"/>
    </row>
    <row r="146" spans="2:11" ht="24">
      <c r="B146" s="1435"/>
      <c r="C146" s="73"/>
      <c r="D146" s="43" t="s">
        <v>755</v>
      </c>
      <c r="E146" s="5"/>
      <c r="F146" s="5"/>
      <c r="G146" s="5"/>
      <c r="H146" s="5"/>
      <c r="I146" s="5"/>
      <c r="J146" s="5"/>
      <c r="K146" s="5"/>
    </row>
    <row r="147" spans="2:11" ht="23.1" customHeight="1">
      <c r="B147" s="1435"/>
      <c r="C147" s="73"/>
      <c r="D147" s="36" t="s">
        <v>247</v>
      </c>
      <c r="E147" s="5"/>
      <c r="F147" s="5"/>
      <c r="G147" s="5"/>
      <c r="H147" s="5"/>
      <c r="I147" s="5"/>
      <c r="J147" s="5"/>
      <c r="K147" s="5"/>
    </row>
    <row r="148" spans="2:11">
      <c r="B148" s="1435"/>
      <c r="C148" s="73"/>
      <c r="D148" s="36" t="s">
        <v>90</v>
      </c>
      <c r="E148" s="5"/>
      <c r="F148" s="5"/>
      <c r="G148" s="5"/>
      <c r="H148" s="5"/>
      <c r="I148" s="5"/>
      <c r="J148" s="5"/>
      <c r="K148" s="5"/>
    </row>
    <row r="149" spans="2:11" ht="26.4">
      <c r="B149" s="1435"/>
      <c r="C149" s="73"/>
      <c r="D149" s="36" t="s">
        <v>756</v>
      </c>
      <c r="E149" s="5"/>
      <c r="F149" s="5"/>
      <c r="G149" s="5"/>
      <c r="H149" s="5"/>
      <c r="I149" s="5"/>
      <c r="J149" s="5"/>
      <c r="K149" s="5"/>
    </row>
    <row r="150" spans="2:11" ht="26.4">
      <c r="B150" s="1435"/>
      <c r="C150" s="73"/>
      <c r="D150" s="36" t="s">
        <v>757</v>
      </c>
      <c r="E150" s="5"/>
      <c r="F150" s="5"/>
      <c r="G150" s="5"/>
      <c r="H150" s="5"/>
      <c r="I150" s="5"/>
      <c r="J150" s="5"/>
      <c r="K150" s="5"/>
    </row>
    <row r="151" spans="2:11" ht="27" thickBot="1">
      <c r="B151" s="1436"/>
      <c r="C151" s="2"/>
      <c r="D151" s="32" t="s">
        <v>758</v>
      </c>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sheetData>
  <sheetProtection insertColumns="0" insertRows="0"/>
  <mergeCells count="36">
    <mergeCell ref="B10:D10"/>
    <mergeCell ref="F10:S10"/>
    <mergeCell ref="F11:S11"/>
    <mergeCell ref="E12:R12"/>
    <mergeCell ref="E13:R13"/>
    <mergeCell ref="B74:E75"/>
    <mergeCell ref="B77:D77"/>
    <mergeCell ref="B79:B95"/>
    <mergeCell ref="B97:B132"/>
    <mergeCell ref="B133:B151"/>
    <mergeCell ref="D36:D37"/>
    <mergeCell ref="E36:E37"/>
    <mergeCell ref="F36:K36"/>
    <mergeCell ref="C21:C22"/>
    <mergeCell ref="D21:D22"/>
    <mergeCell ref="B15:B19"/>
    <mergeCell ref="B51:E51"/>
    <mergeCell ref="B52:B58"/>
    <mergeCell ref="B60:E60"/>
    <mergeCell ref="B61:B67"/>
    <mergeCell ref="D15:L15"/>
    <mergeCell ref="D16:L16"/>
    <mergeCell ref="D19:L19"/>
    <mergeCell ref="D20:L20"/>
    <mergeCell ref="D33:L33"/>
    <mergeCell ref="D34:L34"/>
    <mergeCell ref="D35:L35"/>
    <mergeCell ref="D46:L46"/>
    <mergeCell ref="E21:E22"/>
    <mergeCell ref="F21:J21"/>
    <mergeCell ref="C36:C37"/>
    <mergeCell ref="A1:P1"/>
    <mergeCell ref="A2:P2"/>
    <mergeCell ref="A3:P3"/>
    <mergeCell ref="A4:D4"/>
    <mergeCell ref="A5:P5"/>
  </mergeCells>
  <conditionalFormatting sqref="E12:R12">
    <cfRule type="expression" dxfId="47" priority="1">
      <formula>E11="SI SE REPORTA"</formula>
    </cfRule>
  </conditionalFormatting>
  <conditionalFormatting sqref="F10">
    <cfRule type="notContainsBlanks" dxfId="46" priority="4">
      <formula>LEN(TRIM(F10))&gt;0</formula>
    </cfRule>
  </conditionalFormatting>
  <conditionalFormatting sqref="F11:S11">
    <cfRule type="expression" dxfId="45" priority="2">
      <formula>E11="NO SE REPORTA"</formula>
    </cfRule>
    <cfRule type="expression" dxfId="44" priority="3">
      <formula>E10="NO APLICA"</formula>
    </cfRule>
  </conditionalFormatting>
  <conditionalFormatting sqref="H32">
    <cfRule type="containsText" dxfId="43" priority="5" operator="containsText" text="ERROR">
      <formula>NOT(ISERROR(SEARCH("ERROR",H32)))</formula>
    </cfRule>
  </conditionalFormatting>
  <dataValidations count="6">
    <dataValidation type="whole" operator="greaterThanOrEqual" allowBlank="1" showErrorMessage="1" errorTitle="ERROR" error="Escriba un número igual o mayor que 0" promptTitle="ERROR" prompt="Escriba un número igual o mayor que 0" sqref="E18:H18" xr:uid="{00000000-0002-0000-1700-000000000000}">
      <formula1>0</formula1>
    </dataValidation>
    <dataValidation type="decimal" allowBlank="1" showInputMessage="1" showErrorMessage="1" errorTitle="ERROR" error="Escriba un valor entre 0% y 100%" sqref="F25:G31" xr:uid="{00000000-0002-0000-1700-000002000000}">
      <formula1>0</formula1>
      <formula2>1</formula2>
    </dataValidation>
    <dataValidation allowBlank="1" showInputMessage="1" showErrorMessage="1" sqref="G45:I45 H32 I23:I32 J38:K45" xr:uid="{00000000-0002-0000-1700-000003000000}"/>
    <dataValidation type="list" allowBlank="1" showInputMessage="1" showErrorMessage="1" sqref="E11" xr:uid="{00000000-0002-0000-1700-000004000000}">
      <formula1>REPORTE</formula1>
    </dataValidation>
    <dataValidation type="list" allowBlank="1" showInputMessage="1" showErrorMessage="1" sqref="E10" xr:uid="{00000000-0002-0000-1700-000005000000}">
      <formula1>SI</formula1>
    </dataValidation>
    <dataValidation type="whole" operator="greaterThanOrEqual" allowBlank="1" showInputMessage="1" showErrorMessage="1" errorTitle="ERROR" error="Valor en PESOS (sin centavos)" sqref="F38:I44" xr:uid="{00000000-0002-0000-1700-000001000000}">
      <formula1>0</formula1>
    </dataValidation>
  </dataValidations>
  <hyperlinks>
    <hyperlink ref="B9" location="'ANEXO 3'!A1" display="VOLVER AL INDICE" xr:uid="{00000000-0004-0000-1700-000000000000}"/>
    <hyperlink ref="E56" r:id="rId1" xr:uid="{00000000-0004-0000-1700-000001000000}"/>
  </hyperlinks>
  <pageMargins left="0.25" right="0.25" top="0.75" bottom="0.75" header="0.3" footer="0.3"/>
  <pageSetup paperSize="178"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0">
    <tabColor rgb="FF92D050"/>
  </sheetPr>
  <dimension ref="A1:U176"/>
  <sheetViews>
    <sheetView showGridLines="0" topLeftCell="A17" zoomScale="98" zoomScaleNormal="98" workbookViewId="0">
      <selection activeCell="D17" sqref="D17"/>
    </sheetView>
  </sheetViews>
  <sheetFormatPr baseColWidth="10" defaultRowHeight="14.4"/>
  <cols>
    <col min="1" max="1" width="1.88671875" customWidth="1"/>
    <col min="2" max="2" width="10.88671875" customWidth="1"/>
    <col min="3" max="3" width="5" style="66" bestFit="1" customWidth="1"/>
    <col min="4" max="4" width="34.88671875" customWidth="1"/>
    <col min="5" max="5" width="21.88671875" customWidth="1"/>
    <col min="6" max="6" width="13.6640625" customWidth="1"/>
    <col min="7" max="7" width="14.33203125" customWidth="1"/>
    <col min="8" max="8" width="13.88671875" customWidth="1"/>
    <col min="9" max="9" width="12.5546875" customWidth="1"/>
    <col min="10" max="10" width="13.33203125" bestFit="1" customWidth="1"/>
    <col min="11" max="11" width="13.5546875" customWidth="1"/>
    <col min="12" max="12" width="19.1093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767</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3" t="s">
        <v>1178</v>
      </c>
      <c r="C8" s="564">
        <v>2023</v>
      </c>
      <c r="D8" s="170">
        <f>IF(E10="NO APLICA","NO APLICA",IF(E11="NO SE REPORTA","SIN INFORMACION",+F38))</f>
        <v>1</v>
      </c>
      <c r="E8" s="167"/>
      <c r="F8" s="5" t="s">
        <v>129</v>
      </c>
      <c r="G8" s="5"/>
      <c r="H8" s="5"/>
      <c r="I8" s="5"/>
      <c r="J8" s="5"/>
      <c r="K8" s="5"/>
    </row>
    <row r="9" spans="1:21">
      <c r="B9" s="298" t="s">
        <v>1179</v>
      </c>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23.4" customHeight="1">
      <c r="B12" s="298"/>
      <c r="C12" s="67"/>
      <c r="D12" s="144" t="str">
        <f>IF(E11="SI SE REPORTA","¿Qué programas o proyectos del Plan de Acción están asociados al indicador? ","")</f>
        <v xml:space="preserve">¿Qué programas o proyectos del Plan de Acción están asociados al indicador? </v>
      </c>
      <c r="E12" s="1535" t="s">
        <v>1870</v>
      </c>
      <c r="F12" s="1535"/>
      <c r="G12" s="1535"/>
      <c r="H12" s="1535"/>
      <c r="I12" s="1535"/>
      <c r="J12" s="1535"/>
      <c r="K12" s="1535"/>
      <c r="L12" s="1535"/>
      <c r="M12" s="1535"/>
      <c r="N12" s="1535"/>
      <c r="O12" s="1535"/>
      <c r="P12" s="1535"/>
      <c r="Q12" s="1535"/>
      <c r="R12" s="1535"/>
    </row>
    <row r="13" spans="1:21" ht="21.9" customHeight="1">
      <c r="B13" s="298"/>
      <c r="C13" s="67"/>
      <c r="D13" s="144" t="s">
        <v>1236</v>
      </c>
      <c r="E13" s="1408"/>
      <c r="F13" s="1409"/>
      <c r="G13" s="1409"/>
      <c r="H13" s="1409"/>
      <c r="I13" s="1409"/>
      <c r="J13" s="1409"/>
      <c r="K13" s="1409"/>
      <c r="L13" s="1409"/>
      <c r="M13" s="1409"/>
      <c r="N13" s="1409"/>
      <c r="O13" s="1409"/>
      <c r="P13" s="1409"/>
      <c r="Q13" s="1409"/>
      <c r="R13" s="1410"/>
    </row>
    <row r="14" spans="1:21" ht="6.9" customHeight="1" thickBot="1">
      <c r="B14" s="298"/>
      <c r="D14" s="5"/>
      <c r="E14" s="5"/>
      <c r="F14" s="5"/>
      <c r="G14" s="5"/>
      <c r="H14" s="5"/>
      <c r="I14" s="5"/>
      <c r="J14" s="5"/>
      <c r="K14" s="5"/>
    </row>
    <row r="15" spans="1:21" ht="15.6" customHeight="1" thickTop="1" thickBot="1">
      <c r="B15" s="1584" t="s">
        <v>2</v>
      </c>
      <c r="C15" s="68"/>
      <c r="D15" s="1425" t="s">
        <v>335</v>
      </c>
      <c r="E15" s="1426"/>
      <c r="F15" s="1426"/>
      <c r="G15" s="1426"/>
      <c r="H15" s="1426"/>
      <c r="I15" s="1426"/>
      <c r="J15" s="1426"/>
      <c r="K15" s="1426"/>
      <c r="L15" s="1596"/>
    </row>
    <row r="16" spans="1:21" ht="15" thickBot="1">
      <c r="B16" s="1585"/>
      <c r="C16" s="69" t="s">
        <v>18</v>
      </c>
      <c r="D16" s="585" t="s">
        <v>252</v>
      </c>
      <c r="E16" s="585" t="s">
        <v>19</v>
      </c>
      <c r="F16" s="585" t="s">
        <v>20</v>
      </c>
      <c r="G16" s="585" t="s">
        <v>21</v>
      </c>
      <c r="H16" s="585" t="s">
        <v>22</v>
      </c>
      <c r="I16" s="585" t="s">
        <v>253</v>
      </c>
      <c r="J16" s="5"/>
      <c r="L16" s="17"/>
    </row>
    <row r="17" spans="2:12" ht="36.6" thickBot="1">
      <c r="B17" s="1585"/>
      <c r="C17" s="70" t="s">
        <v>151</v>
      </c>
      <c r="D17" s="32" t="s">
        <v>818</v>
      </c>
      <c r="E17" s="509">
        <v>0</v>
      </c>
      <c r="F17" s="509">
        <v>4</v>
      </c>
      <c r="G17" s="509">
        <v>4</v>
      </c>
      <c r="H17" s="509">
        <v>2</v>
      </c>
      <c r="I17" s="519">
        <f>SUM(E17:H17)</f>
        <v>10</v>
      </c>
      <c r="J17" s="5"/>
      <c r="L17" s="17"/>
    </row>
    <row r="18" spans="2:12" ht="24.75" customHeight="1" thickBot="1">
      <c r="B18" s="1585"/>
      <c r="C18" s="70" t="s">
        <v>153</v>
      </c>
      <c r="D18" s="32" t="s">
        <v>762</v>
      </c>
      <c r="E18" s="534">
        <v>0</v>
      </c>
      <c r="F18" s="534">
        <v>760000000</v>
      </c>
      <c r="G18" s="534">
        <v>350000000</v>
      </c>
      <c r="H18" s="534">
        <v>400000000</v>
      </c>
      <c r="I18" s="557">
        <f>SUM(E18:H18)</f>
        <v>1510000000</v>
      </c>
      <c r="J18" s="5"/>
      <c r="L18" s="17"/>
    </row>
    <row r="19" spans="2:12" ht="21.75" customHeight="1" thickBot="1">
      <c r="B19" s="1585"/>
      <c r="C19" s="70" t="s">
        <v>155</v>
      </c>
      <c r="D19" s="537" t="s">
        <v>819</v>
      </c>
      <c r="E19" s="534">
        <v>0</v>
      </c>
      <c r="F19" s="534">
        <v>760000000</v>
      </c>
      <c r="G19" s="534">
        <v>350000000</v>
      </c>
      <c r="H19" s="534">
        <v>400000000</v>
      </c>
      <c r="I19" s="111">
        <f>SUM(E19:H19)</f>
        <v>1510000000</v>
      </c>
      <c r="J19" s="517"/>
      <c r="L19" s="17"/>
    </row>
    <row r="20" spans="2:12">
      <c r="B20" s="174"/>
      <c r="C20" s="71"/>
      <c r="D20" s="1416"/>
      <c r="E20" s="1417"/>
      <c r="F20" s="1417"/>
      <c r="G20" s="1417"/>
      <c r="H20" s="1417"/>
      <c r="I20" s="1417"/>
      <c r="J20" s="1417"/>
      <c r="K20" s="1417"/>
      <c r="L20" s="1579"/>
    </row>
    <row r="21" spans="2:12" ht="15" thickBot="1">
      <c r="B21" s="174"/>
      <c r="C21" s="71"/>
      <c r="D21" s="1447" t="s">
        <v>820</v>
      </c>
      <c r="E21" s="1448"/>
      <c r="F21" s="1448"/>
      <c r="G21" s="1448"/>
      <c r="H21" s="1448"/>
      <c r="I21" s="1448"/>
      <c r="J21" s="1448"/>
      <c r="K21" s="1448"/>
      <c r="L21" s="1581"/>
    </row>
    <row r="22" spans="2:12" ht="15" customHeight="1" thickBot="1">
      <c r="B22" s="174"/>
      <c r="C22" s="1537" t="s">
        <v>18</v>
      </c>
      <c r="D22" s="1434" t="s">
        <v>269</v>
      </c>
      <c r="E22" s="1434" t="s">
        <v>618</v>
      </c>
      <c r="F22" s="1437" t="s">
        <v>619</v>
      </c>
      <c r="G22" s="1439"/>
      <c r="H22" s="1437" t="s">
        <v>687</v>
      </c>
      <c r="I22" s="1438"/>
      <c r="J22" s="1438"/>
      <c r="K22" s="1439"/>
      <c r="L22" s="95"/>
    </row>
    <row r="23" spans="2:12" ht="21" thickBot="1">
      <c r="B23" s="174"/>
      <c r="C23" s="1538"/>
      <c r="D23" s="1436"/>
      <c r="E23" s="1436"/>
      <c r="F23" s="55" t="s">
        <v>620</v>
      </c>
      <c r="G23" s="56" t="s">
        <v>621</v>
      </c>
      <c r="H23" s="55" t="s">
        <v>762</v>
      </c>
      <c r="I23" s="55" t="s">
        <v>343</v>
      </c>
      <c r="J23" s="55" t="s">
        <v>273</v>
      </c>
      <c r="K23" s="55" t="s">
        <v>274</v>
      </c>
      <c r="L23" s="8"/>
    </row>
    <row r="24" spans="2:12" ht="45" customHeight="1" thickBot="1">
      <c r="B24" s="174"/>
      <c r="C24" s="536">
        <v>2</v>
      </c>
      <c r="D24" s="505" t="s">
        <v>1871</v>
      </c>
      <c r="E24" s="535" t="s">
        <v>1873</v>
      </c>
      <c r="F24" s="443">
        <v>1</v>
      </c>
      <c r="G24" s="443">
        <v>1</v>
      </c>
      <c r="H24" s="709">
        <v>200000000</v>
      </c>
      <c r="I24" s="709">
        <v>200000000</v>
      </c>
      <c r="J24" s="709">
        <v>200000000</v>
      </c>
      <c r="K24" s="709">
        <v>199390040</v>
      </c>
      <c r="L24" s="8"/>
    </row>
    <row r="25" spans="2:12" ht="36.6" thickBot="1">
      <c r="B25" s="174"/>
      <c r="C25" s="536">
        <v>3</v>
      </c>
      <c r="D25" s="505" t="s">
        <v>1872</v>
      </c>
      <c r="E25" s="535" t="s">
        <v>821</v>
      </c>
      <c r="F25" s="443">
        <v>1</v>
      </c>
      <c r="G25" s="443">
        <v>1</v>
      </c>
      <c r="H25" s="709">
        <v>200000000</v>
      </c>
      <c r="I25" s="709">
        <v>200000000</v>
      </c>
      <c r="J25" s="709">
        <v>200000000</v>
      </c>
      <c r="K25" s="709">
        <v>192830000</v>
      </c>
      <c r="L25" s="8"/>
    </row>
    <row r="26" spans="2:12" ht="15" thickBot="1">
      <c r="B26" s="174"/>
      <c r="C26" s="64"/>
      <c r="D26" s="35" t="s">
        <v>150</v>
      </c>
      <c r="E26" s="104"/>
      <c r="F26" s="105"/>
      <c r="G26" s="30"/>
      <c r="H26" s="112">
        <f>SUM(H24:H25)</f>
        <v>400000000</v>
      </c>
      <c r="I26" s="112">
        <f>SUM(I24:I25)</f>
        <v>400000000</v>
      </c>
      <c r="J26" s="112">
        <f>SUM(J24:J25)</f>
        <v>400000000</v>
      </c>
      <c r="K26" s="112">
        <f>SUM(K24:K25)</f>
        <v>392220040</v>
      </c>
      <c r="L26" s="9"/>
    </row>
    <row r="27" spans="2:12">
      <c r="B27" s="174"/>
      <c r="C27" s="71"/>
      <c r="D27" s="1416" t="s">
        <v>822</v>
      </c>
      <c r="E27" s="1417"/>
      <c r="F27" s="1417"/>
      <c r="G27" s="1417"/>
      <c r="H27" s="1417"/>
      <c r="I27" s="1417"/>
      <c r="J27" s="1417"/>
      <c r="K27" s="1417"/>
      <c r="L27" s="1579"/>
    </row>
    <row r="28" spans="2:12" ht="24" customHeight="1" thickBot="1">
      <c r="B28" s="174"/>
      <c r="C28" s="71"/>
      <c r="D28" s="1416" t="s">
        <v>823</v>
      </c>
      <c r="E28" s="1417"/>
      <c r="F28" s="1417"/>
      <c r="G28" s="1417"/>
      <c r="H28" s="1417"/>
      <c r="I28" s="1417"/>
      <c r="J28" s="1417"/>
      <c r="K28" s="1417"/>
      <c r="L28" s="1579"/>
    </row>
    <row r="29" spans="2:12" ht="15" thickBot="1">
      <c r="B29" s="174"/>
      <c r="C29" s="1695" t="s">
        <v>18</v>
      </c>
      <c r="D29" s="1665" t="s">
        <v>691</v>
      </c>
      <c r="E29" s="57" t="s">
        <v>824</v>
      </c>
      <c r="F29" s="1668" t="s">
        <v>692</v>
      </c>
      <c r="G29" s="1669"/>
      <c r="H29" s="1686" t="s">
        <v>54</v>
      </c>
      <c r="I29" s="5"/>
      <c r="J29" s="5"/>
      <c r="L29" s="17"/>
    </row>
    <row r="30" spans="2:12">
      <c r="B30" s="174"/>
      <c r="C30" s="1696"/>
      <c r="D30" s="1666"/>
      <c r="E30" s="1434" t="s">
        <v>825</v>
      </c>
      <c r="F30" s="1434" t="s">
        <v>693</v>
      </c>
      <c r="G30" s="36" t="s">
        <v>694</v>
      </c>
      <c r="H30" s="1687"/>
      <c r="I30" s="5"/>
      <c r="J30" s="5"/>
      <c r="L30" s="17"/>
    </row>
    <row r="31" spans="2:12" ht="15" thickBot="1">
      <c r="B31" s="174"/>
      <c r="C31" s="1697"/>
      <c r="D31" s="1667"/>
      <c r="E31" s="1436"/>
      <c r="F31" s="1436"/>
      <c r="G31" s="32" t="s">
        <v>689</v>
      </c>
      <c r="H31" s="1688"/>
      <c r="I31" s="5"/>
      <c r="J31" s="5"/>
      <c r="L31" s="17"/>
    </row>
    <row r="32" spans="2:12" ht="15" thickBot="1">
      <c r="B32" s="174"/>
      <c r="C32" s="264">
        <v>1</v>
      </c>
      <c r="D32" s="283">
        <v>0</v>
      </c>
      <c r="E32" s="26" t="e">
        <f>+#REF!</f>
        <v>#REF!</v>
      </c>
      <c r="F32" s="702">
        <f>IFERROR(#REF!/#REF!,0)</f>
        <v>0</v>
      </c>
      <c r="G32" s="702">
        <f>IFERROR(#REF!/#REF!,0)</f>
        <v>0</v>
      </c>
      <c r="H32" s="25"/>
      <c r="I32" s="5"/>
      <c r="J32" s="5"/>
      <c r="L32" s="17"/>
    </row>
    <row r="33" spans="2:14" ht="15" thickBot="1">
      <c r="B33" s="174"/>
      <c r="C33" s="264">
        <v>2</v>
      </c>
      <c r="D33" s="283">
        <v>0.5</v>
      </c>
      <c r="E33" s="26">
        <f>+G24</f>
        <v>1</v>
      </c>
      <c r="F33" s="702">
        <f>IFERROR(J24/I24,0)</f>
        <v>1</v>
      </c>
      <c r="G33" s="702">
        <f>IFERROR(K24/J24,0)</f>
        <v>0.99695020000000001</v>
      </c>
      <c r="H33" s="25"/>
      <c r="I33" s="5"/>
      <c r="J33" s="5"/>
      <c r="L33" s="17"/>
    </row>
    <row r="34" spans="2:14" ht="15" thickBot="1">
      <c r="B34" s="174"/>
      <c r="C34" s="264">
        <v>3</v>
      </c>
      <c r="D34" s="283">
        <v>0.5</v>
      </c>
      <c r="E34" s="26">
        <f>+G25</f>
        <v>1</v>
      </c>
      <c r="F34" s="702">
        <f>IFERROR(J25/I25,0)</f>
        <v>1</v>
      </c>
      <c r="G34" s="702">
        <f>IFERROR(K25/J25,0)</f>
        <v>0.96414999999999995</v>
      </c>
      <c r="H34" s="25"/>
      <c r="I34" s="5"/>
      <c r="J34" s="5"/>
      <c r="L34" s="17"/>
    </row>
    <row r="35" spans="2:14" ht="15" thickBot="1">
      <c r="B35" s="174"/>
      <c r="C35" s="264">
        <v>4</v>
      </c>
      <c r="D35" s="283">
        <v>0</v>
      </c>
      <c r="E35" s="26" t="e">
        <f>+#REF!</f>
        <v>#REF!</v>
      </c>
      <c r="F35" s="702">
        <f>IFERROR(#REF!/#REF!,0)</f>
        <v>0</v>
      </c>
      <c r="G35" s="702">
        <f>IFERROR(#REF!/#REF!,0)</f>
        <v>0</v>
      </c>
      <c r="H35" s="25"/>
      <c r="I35" s="5"/>
      <c r="J35" s="5"/>
      <c r="L35" s="17"/>
    </row>
    <row r="36" spans="2:14" ht="15" thickBot="1">
      <c r="B36" s="174"/>
      <c r="C36" s="264">
        <v>5</v>
      </c>
      <c r="D36" s="283"/>
      <c r="E36" s="26"/>
      <c r="F36" s="702">
        <f>IFERROR(#REF!/#REF!,0)</f>
        <v>0</v>
      </c>
      <c r="G36" s="702">
        <f>IFERROR(#REF!/#REF!,0)</f>
        <v>0</v>
      </c>
      <c r="H36" s="25"/>
      <c r="I36" s="5"/>
      <c r="J36" s="5"/>
      <c r="L36" s="17"/>
    </row>
    <row r="37" spans="2:14" ht="15" thickBot="1">
      <c r="B37" s="174"/>
      <c r="C37" s="264">
        <v>6</v>
      </c>
      <c r="D37" s="283"/>
      <c r="E37" s="26"/>
      <c r="F37" s="702">
        <f>IFERROR(#REF!/#REF!,0)</f>
        <v>0</v>
      </c>
      <c r="G37" s="702">
        <f>IFERROR(#REF!/#REF!,0)</f>
        <v>0</v>
      </c>
      <c r="H37" s="25"/>
      <c r="I37" s="5"/>
      <c r="J37" s="5"/>
      <c r="L37" s="17"/>
    </row>
    <row r="38" spans="2:14" ht="15" thickBot="1">
      <c r="B38" s="37"/>
      <c r="C38" s="85"/>
      <c r="D38" s="153">
        <f>Formulas!$D$24</f>
        <v>1</v>
      </c>
      <c r="E38" s="160" t="e">
        <f>+D32*E32+D33*E33+D34*E34+D35*E35+D36*E36+D37*E37</f>
        <v>#REF!</v>
      </c>
      <c r="F38" s="701">
        <f>+D32*F32+D33*F33+D34*F34+D35*F35+D36*F36+D37*F37</f>
        <v>1</v>
      </c>
      <c r="G38" s="1274">
        <f>Formulas!F24</f>
        <v>0.98055009999999998</v>
      </c>
      <c r="H38" s="25"/>
      <c r="I38" s="18"/>
      <c r="J38" s="18"/>
      <c r="K38" s="18"/>
      <c r="L38" s="19"/>
      <c r="N38" t="s">
        <v>1187</v>
      </c>
    </row>
    <row r="39" spans="2:14" ht="15" thickBot="1">
      <c r="B39" s="29"/>
      <c r="C39" s="67"/>
      <c r="D39" s="5"/>
      <c r="E39" s="5"/>
      <c r="F39" s="5"/>
      <c r="G39" s="5"/>
      <c r="H39" s="5"/>
      <c r="I39" s="5"/>
      <c r="J39" s="5"/>
      <c r="K39" s="5"/>
    </row>
    <row r="40" spans="2:14" ht="96.6" thickBot="1">
      <c r="B40" s="42" t="s">
        <v>33</v>
      </c>
      <c r="C40" s="77"/>
      <c r="D40" s="34" t="s">
        <v>826</v>
      </c>
      <c r="E40" s="5"/>
      <c r="F40" s="5"/>
      <c r="G40" s="5"/>
      <c r="H40" s="5"/>
      <c r="I40" s="5"/>
      <c r="J40" s="5"/>
      <c r="K40" s="5"/>
    </row>
    <row r="41" spans="2:14" ht="48.6" customHeight="1" thickBot="1">
      <c r="B41" s="37" t="s">
        <v>35</v>
      </c>
      <c r="C41" s="2"/>
      <c r="D41" s="32" t="s">
        <v>345</v>
      </c>
      <c r="E41" s="5"/>
      <c r="F41" s="5"/>
      <c r="G41" s="5"/>
      <c r="H41" s="5"/>
      <c r="I41" s="5"/>
      <c r="J41" s="5"/>
      <c r="K41" s="5"/>
    </row>
    <row r="42" spans="2:14" ht="15" thickBot="1">
      <c r="B42" s="1"/>
      <c r="C42" s="64"/>
      <c r="D42" s="5"/>
      <c r="E42" s="5"/>
      <c r="F42" s="5"/>
      <c r="G42" s="5"/>
      <c r="H42" s="5"/>
      <c r="I42" s="5"/>
      <c r="J42" s="5"/>
      <c r="K42" s="5"/>
    </row>
    <row r="43" spans="2:14" ht="24" customHeight="1" thickBot="1">
      <c r="B43" s="1444" t="s">
        <v>37</v>
      </c>
      <c r="C43" s="1445"/>
      <c r="D43" s="1445"/>
      <c r="E43" s="1446"/>
      <c r="F43" s="5"/>
      <c r="G43" s="5"/>
      <c r="H43" s="5"/>
      <c r="I43" s="5"/>
      <c r="J43" s="5"/>
      <c r="K43" s="5"/>
    </row>
    <row r="44" spans="2:14" ht="15" thickBot="1">
      <c r="B44" s="1434">
        <v>1</v>
      </c>
      <c r="C44" s="73"/>
      <c r="D44" s="38" t="s">
        <v>38</v>
      </c>
      <c r="E44" s="133" t="s">
        <v>1811</v>
      </c>
      <c r="F44" s="5"/>
      <c r="G44" s="5"/>
      <c r="H44" s="5"/>
      <c r="I44" s="5"/>
      <c r="J44" s="5"/>
      <c r="K44" s="5"/>
    </row>
    <row r="45" spans="2:14" ht="24.6" thickBot="1">
      <c r="B45" s="1435"/>
      <c r="C45" s="73"/>
      <c r="D45" s="32" t="s">
        <v>39</v>
      </c>
      <c r="E45" s="281" t="s">
        <v>1820</v>
      </c>
      <c r="F45" s="5"/>
      <c r="G45" s="5"/>
      <c r="H45" s="5"/>
      <c r="I45" s="5"/>
      <c r="J45" s="5"/>
      <c r="K45" s="5"/>
    </row>
    <row r="46" spans="2:14" ht="15" thickBot="1">
      <c r="B46" s="1435"/>
      <c r="C46" s="73"/>
      <c r="D46" s="32" t="s">
        <v>40</v>
      </c>
      <c r="E46" s="133" t="s">
        <v>2015</v>
      </c>
      <c r="F46" s="5"/>
      <c r="G46" s="5"/>
      <c r="H46" s="5"/>
      <c r="I46" s="5"/>
      <c r="J46" s="5"/>
      <c r="K46" s="5"/>
    </row>
    <row r="47" spans="2:14" ht="15" thickBot="1">
      <c r="B47" s="1435"/>
      <c r="C47" s="73"/>
      <c r="D47" s="32" t="s">
        <v>41</v>
      </c>
      <c r="E47" s="133" t="s">
        <v>2028</v>
      </c>
      <c r="F47" s="5"/>
      <c r="G47" s="5"/>
      <c r="H47" s="5"/>
      <c r="I47" s="5"/>
      <c r="J47" s="5"/>
      <c r="K47" s="5"/>
    </row>
    <row r="48" spans="2:14" ht="29.4" thickBot="1">
      <c r="B48" s="1435"/>
      <c r="C48" s="73"/>
      <c r="D48" s="32" t="s">
        <v>42</v>
      </c>
      <c r="E48" s="445" t="s">
        <v>1821</v>
      </c>
      <c r="F48" s="5"/>
      <c r="G48" s="5"/>
      <c r="H48" s="5"/>
      <c r="I48" s="5"/>
      <c r="J48" s="5"/>
      <c r="K48" s="5"/>
    </row>
    <row r="49" spans="2:11" ht="15" thickBot="1">
      <c r="B49" s="1435"/>
      <c r="C49" s="73"/>
      <c r="D49" s="32" t="s">
        <v>43</v>
      </c>
      <c r="E49" s="538" t="s">
        <v>1822</v>
      </c>
      <c r="F49" s="5"/>
      <c r="G49" s="5"/>
      <c r="H49" s="5"/>
      <c r="I49" s="5"/>
      <c r="J49" s="5"/>
      <c r="K49" s="5"/>
    </row>
    <row r="50" spans="2:11" ht="15" thickBot="1">
      <c r="B50" s="1436"/>
      <c r="C50" s="2"/>
      <c r="D50" s="32" t="s">
        <v>44</v>
      </c>
      <c r="E50" s="281" t="s">
        <v>1814</v>
      </c>
      <c r="F50" s="5"/>
      <c r="G50" s="5"/>
      <c r="H50" s="5"/>
      <c r="I50" s="5"/>
      <c r="J50" s="5"/>
      <c r="K50" s="5"/>
    </row>
    <row r="51" spans="2:11" ht="15" thickBot="1">
      <c r="B51" s="1"/>
      <c r="C51" s="64"/>
      <c r="D51" s="5"/>
      <c r="E51" s="5"/>
      <c r="F51" s="5"/>
      <c r="G51" s="5"/>
      <c r="H51" s="5"/>
      <c r="I51" s="5"/>
      <c r="J51" s="5"/>
      <c r="K51" s="5"/>
    </row>
    <row r="52" spans="2:11" ht="15" thickBot="1">
      <c r="B52" s="1444" t="s">
        <v>45</v>
      </c>
      <c r="C52" s="1445"/>
      <c r="D52" s="1445"/>
      <c r="E52" s="1446"/>
      <c r="F52" s="5"/>
      <c r="G52" s="5"/>
      <c r="H52" s="5"/>
      <c r="I52" s="5"/>
      <c r="J52" s="5"/>
      <c r="K52" s="5"/>
    </row>
    <row r="53" spans="2:11" ht="15" thickBot="1">
      <c r="B53" s="1434">
        <v>1</v>
      </c>
      <c r="C53" s="73"/>
      <c r="D53" s="38" t="s">
        <v>38</v>
      </c>
      <c r="E53" s="176" t="s">
        <v>46</v>
      </c>
      <c r="F53" s="5"/>
      <c r="G53" s="5"/>
      <c r="H53" s="5"/>
      <c r="I53" s="5"/>
      <c r="J53" s="5"/>
      <c r="K53" s="5"/>
    </row>
    <row r="54" spans="2:11" ht="15" thickBot="1">
      <c r="B54" s="1435"/>
      <c r="C54" s="73"/>
      <c r="D54" s="32" t="s">
        <v>39</v>
      </c>
      <c r="E54" s="176" t="s">
        <v>159</v>
      </c>
      <c r="F54" s="5"/>
      <c r="G54" s="5"/>
      <c r="H54" s="5"/>
      <c r="I54" s="5"/>
      <c r="J54" s="5"/>
      <c r="K54" s="5"/>
    </row>
    <row r="55" spans="2:11" ht="15" thickBot="1">
      <c r="B55" s="1435"/>
      <c r="C55" s="73"/>
      <c r="D55" s="32" t="s">
        <v>40</v>
      </c>
      <c r="E55" s="138"/>
      <c r="F55" s="5"/>
      <c r="G55" s="5"/>
      <c r="H55" s="5"/>
      <c r="I55" s="5"/>
      <c r="J55" s="5"/>
      <c r="K55" s="5"/>
    </row>
    <row r="56" spans="2:11" ht="15" thickBot="1">
      <c r="B56" s="1435"/>
      <c r="C56" s="73"/>
      <c r="D56" s="32" t="s">
        <v>41</v>
      </c>
      <c r="E56" s="138"/>
      <c r="F56" s="5"/>
      <c r="G56" s="5"/>
      <c r="H56" s="5"/>
      <c r="I56" s="5"/>
      <c r="J56" s="5"/>
      <c r="K56" s="5"/>
    </row>
    <row r="57" spans="2:11" ht="15" thickBot="1">
      <c r="B57" s="1435"/>
      <c r="C57" s="73"/>
      <c r="D57" s="32" t="s">
        <v>42</v>
      </c>
      <c r="E57" s="138"/>
      <c r="F57" s="5"/>
      <c r="G57" s="5"/>
      <c r="H57" s="5"/>
      <c r="I57" s="5"/>
      <c r="J57" s="5"/>
      <c r="K57" s="5"/>
    </row>
    <row r="58" spans="2:11" ht="15" thickBot="1">
      <c r="B58" s="1435"/>
      <c r="C58" s="73"/>
      <c r="D58" s="32" t="s">
        <v>43</v>
      </c>
      <c r="E58" s="138"/>
      <c r="F58" s="5"/>
      <c r="G58" s="5"/>
      <c r="H58" s="5"/>
      <c r="I58" s="5"/>
      <c r="J58" s="5"/>
      <c r="K58" s="5"/>
    </row>
    <row r="59" spans="2:11" ht="15" thickBot="1">
      <c r="B59" s="1436"/>
      <c r="C59" s="2"/>
      <c r="D59" s="32" t="s">
        <v>44</v>
      </c>
      <c r="E59" s="138"/>
      <c r="F59" s="5"/>
      <c r="G59" s="5"/>
      <c r="H59" s="5"/>
      <c r="I59" s="5"/>
      <c r="J59" s="5"/>
      <c r="K59" s="5"/>
    </row>
    <row r="60" spans="2:11" ht="15" thickBot="1">
      <c r="B60" s="1"/>
      <c r="C60" s="64"/>
      <c r="D60" s="5"/>
      <c r="E60" s="5"/>
      <c r="F60" s="5"/>
      <c r="G60" s="5"/>
      <c r="H60" s="5"/>
      <c r="I60" s="5"/>
      <c r="J60" s="5"/>
      <c r="K60" s="5"/>
    </row>
    <row r="61" spans="2:11" ht="15" customHeight="1" thickBot="1">
      <c r="B61" s="100" t="s">
        <v>48</v>
      </c>
      <c r="C61" s="101"/>
      <c r="D61" s="101"/>
      <c r="E61" s="102"/>
      <c r="G61" s="5"/>
      <c r="H61" s="5"/>
      <c r="I61" s="5"/>
      <c r="J61" s="5"/>
      <c r="K61" s="5"/>
    </row>
    <row r="62" spans="2:11" ht="24.6" thickBot="1">
      <c r="B62" s="37" t="s">
        <v>49</v>
      </c>
      <c r="C62" s="32" t="s">
        <v>50</v>
      </c>
      <c r="D62" s="32" t="s">
        <v>51</v>
      </c>
      <c r="E62" s="32" t="s">
        <v>52</v>
      </c>
      <c r="F62" s="5"/>
      <c r="G62" s="5"/>
      <c r="H62" s="5"/>
      <c r="I62" s="5"/>
      <c r="J62" s="5"/>
    </row>
    <row r="63" spans="2:11" ht="72.599999999999994" thickBot="1">
      <c r="B63" s="39">
        <v>42401</v>
      </c>
      <c r="C63" s="32">
        <v>0.01</v>
      </c>
      <c r="D63" s="40" t="s">
        <v>827</v>
      </c>
      <c r="E63" s="32"/>
      <c r="F63" s="5"/>
      <c r="G63" s="5"/>
      <c r="H63" s="5"/>
      <c r="I63" s="5"/>
      <c r="J63" s="5"/>
    </row>
    <row r="64" spans="2:11" ht="15" thickBot="1">
      <c r="B64" s="3"/>
      <c r="C64" s="74"/>
      <c r="D64" s="5"/>
      <c r="E64" s="5"/>
      <c r="F64" s="5"/>
      <c r="G64" s="5"/>
      <c r="H64" s="5"/>
      <c r="I64" s="5"/>
      <c r="J64" s="5"/>
      <c r="K64" s="5"/>
    </row>
    <row r="65" spans="2:11" ht="15" thickBot="1">
      <c r="B65" s="284" t="s">
        <v>54</v>
      </c>
      <c r="C65" s="75"/>
      <c r="D65" s="5"/>
      <c r="E65" s="5"/>
      <c r="F65" s="5"/>
      <c r="G65" s="5"/>
      <c r="H65" s="5"/>
      <c r="I65" s="5"/>
      <c r="J65" s="5"/>
      <c r="K65" s="5"/>
    </row>
    <row r="66" spans="2:11">
      <c r="B66" s="1689"/>
      <c r="C66" s="1690"/>
      <c r="D66" s="1690"/>
      <c r="E66" s="1691"/>
      <c r="F66" s="5"/>
      <c r="G66" s="5"/>
      <c r="H66" s="5"/>
      <c r="I66" s="5"/>
      <c r="J66" s="5"/>
      <c r="K66" s="5"/>
    </row>
    <row r="67" spans="2:11" ht="15" thickBot="1">
      <c r="B67" s="1692"/>
      <c r="C67" s="1693"/>
      <c r="D67" s="1693"/>
      <c r="E67" s="1694"/>
      <c r="F67" s="5"/>
      <c r="G67" s="5"/>
      <c r="H67" s="5"/>
      <c r="I67" s="5"/>
      <c r="J67" s="5"/>
      <c r="K67" s="5"/>
    </row>
    <row r="68" spans="2:11">
      <c r="B68" s="1"/>
      <c r="C68" s="64"/>
      <c r="D68" s="5"/>
      <c r="E68" s="5"/>
      <c r="F68" s="5"/>
      <c r="G68" s="5"/>
      <c r="H68" s="5"/>
      <c r="I68" s="5"/>
      <c r="J68" s="5"/>
      <c r="K68" s="5"/>
    </row>
    <row r="69" spans="2:11" ht="15" thickBot="1">
      <c r="B69" s="5"/>
      <c r="D69" s="5"/>
      <c r="E69" s="5"/>
      <c r="F69" s="5"/>
      <c r="G69" s="5"/>
      <c r="H69" s="5"/>
      <c r="I69" s="5"/>
      <c r="J69" s="5"/>
      <c r="K69" s="5"/>
    </row>
    <row r="70" spans="2:11" ht="24.6" thickBot="1">
      <c r="B70" s="41" t="s">
        <v>55</v>
      </c>
      <c r="C70" s="76"/>
      <c r="D70" s="5"/>
      <c r="E70" s="5"/>
      <c r="F70" s="5"/>
      <c r="G70" s="5"/>
      <c r="H70" s="5"/>
      <c r="I70" s="5"/>
      <c r="J70" s="5"/>
      <c r="K70" s="5"/>
    </row>
    <row r="71" spans="2:11" ht="15" thickBot="1">
      <c r="B71" s="29"/>
      <c r="C71" s="67"/>
      <c r="D71" s="5"/>
      <c r="E71" s="5"/>
      <c r="F71" s="5"/>
      <c r="G71" s="5"/>
      <c r="H71" s="5"/>
      <c r="I71" s="5"/>
      <c r="J71" s="5"/>
      <c r="K71" s="5"/>
    </row>
    <row r="72" spans="2:11" ht="48.6" thickBot="1">
      <c r="B72" s="42" t="s">
        <v>56</v>
      </c>
      <c r="C72" s="77"/>
      <c r="D72" s="34" t="s">
        <v>768</v>
      </c>
      <c r="E72" s="5"/>
      <c r="F72" s="5"/>
      <c r="G72" s="5"/>
      <c r="H72" s="5"/>
      <c r="I72" s="5"/>
      <c r="J72" s="5"/>
      <c r="K72" s="5"/>
    </row>
    <row r="73" spans="2:11">
      <c r="B73" s="1434" t="s">
        <v>58</v>
      </c>
      <c r="C73" s="73"/>
      <c r="D73" s="43" t="s">
        <v>59</v>
      </c>
      <c r="E73" s="5"/>
      <c r="F73" s="5"/>
      <c r="G73" s="5"/>
      <c r="H73" s="5"/>
      <c r="I73" s="5"/>
      <c r="J73" s="5"/>
      <c r="K73" s="5"/>
    </row>
    <row r="74" spans="2:11" ht="96">
      <c r="B74" s="1435"/>
      <c r="C74" s="73"/>
      <c r="D74" s="36" t="s">
        <v>769</v>
      </c>
      <c r="E74" s="5"/>
      <c r="F74" s="5"/>
      <c r="G74" s="5"/>
      <c r="H74" s="5"/>
      <c r="I74" s="5"/>
      <c r="J74" s="5"/>
      <c r="K74" s="5"/>
    </row>
    <row r="75" spans="2:11">
      <c r="B75" s="1435"/>
      <c r="C75" s="73"/>
      <c r="D75" s="36" t="s">
        <v>770</v>
      </c>
      <c r="E75" s="5"/>
      <c r="F75" s="5"/>
      <c r="G75" s="5"/>
      <c r="H75" s="5"/>
      <c r="I75" s="5"/>
      <c r="J75" s="5"/>
      <c r="K75" s="5"/>
    </row>
    <row r="76" spans="2:11" ht="24">
      <c r="B76" s="1435"/>
      <c r="C76" s="73"/>
      <c r="D76" s="36" t="s">
        <v>771</v>
      </c>
      <c r="E76" s="5"/>
      <c r="F76" s="5"/>
      <c r="G76" s="5"/>
      <c r="H76" s="5"/>
      <c r="I76" s="5"/>
      <c r="J76" s="5"/>
      <c r="K76" s="5"/>
    </row>
    <row r="77" spans="2:11" ht="24">
      <c r="B77" s="1435"/>
      <c r="C77" s="73"/>
      <c r="D77" s="36" t="s">
        <v>772</v>
      </c>
      <c r="E77" s="5"/>
      <c r="F77" s="5"/>
      <c r="G77" s="5"/>
      <c r="H77" s="5"/>
      <c r="I77" s="5"/>
      <c r="J77" s="5"/>
      <c r="K77" s="5"/>
    </row>
    <row r="78" spans="2:11">
      <c r="B78" s="1435"/>
      <c r="C78" s="73"/>
      <c r="D78" s="43" t="s">
        <v>287</v>
      </c>
      <c r="E78" s="5"/>
      <c r="F78" s="5"/>
      <c r="G78" s="5"/>
      <c r="H78" s="5"/>
      <c r="I78" s="5"/>
      <c r="J78" s="5"/>
      <c r="K78" s="5"/>
    </row>
    <row r="79" spans="2:11" ht="24">
      <c r="B79" s="1435"/>
      <c r="C79" s="73"/>
      <c r="D79" s="36" t="s">
        <v>773</v>
      </c>
      <c r="E79" s="5"/>
      <c r="F79" s="5"/>
      <c r="G79" s="5"/>
      <c r="H79" s="5"/>
      <c r="I79" s="5"/>
      <c r="J79" s="5"/>
      <c r="K79" s="5"/>
    </row>
    <row r="80" spans="2:11">
      <c r="B80" s="1435"/>
      <c r="C80" s="73"/>
      <c r="D80" s="36" t="s">
        <v>774</v>
      </c>
      <c r="E80" s="5"/>
      <c r="F80" s="5"/>
      <c r="G80" s="5"/>
      <c r="H80" s="5"/>
      <c r="I80" s="5"/>
      <c r="J80" s="5"/>
      <c r="K80" s="5"/>
    </row>
    <row r="81" spans="2:11" ht="24">
      <c r="B81" s="1435"/>
      <c r="C81" s="73"/>
      <c r="D81" s="36" t="s">
        <v>775</v>
      </c>
      <c r="E81" s="5"/>
      <c r="F81" s="5"/>
      <c r="G81" s="5"/>
      <c r="H81" s="5"/>
      <c r="I81" s="5"/>
      <c r="J81" s="5"/>
      <c r="K81" s="5"/>
    </row>
    <row r="82" spans="2:11" ht="36">
      <c r="B82" s="1435"/>
      <c r="C82" s="73"/>
      <c r="D82" s="36" t="s">
        <v>776</v>
      </c>
      <c r="E82" s="5"/>
      <c r="F82" s="5"/>
      <c r="G82" s="5"/>
      <c r="H82" s="5"/>
      <c r="I82" s="5"/>
      <c r="J82" s="5"/>
      <c r="K82" s="5"/>
    </row>
    <row r="83" spans="2:11" ht="24">
      <c r="B83" s="1435"/>
      <c r="C83" s="73"/>
      <c r="D83" s="36" t="s">
        <v>777</v>
      </c>
      <c r="E83" s="5"/>
      <c r="F83" s="5"/>
      <c r="G83" s="5"/>
      <c r="H83" s="5"/>
      <c r="I83" s="5"/>
      <c r="J83" s="5"/>
      <c r="K83" s="5"/>
    </row>
    <row r="84" spans="2:11" ht="48">
      <c r="B84" s="1435"/>
      <c r="C84" s="73"/>
      <c r="D84" s="36" t="s">
        <v>778</v>
      </c>
      <c r="E84" s="5"/>
      <c r="F84" s="5"/>
      <c r="G84" s="5"/>
      <c r="H84" s="5"/>
      <c r="I84" s="5"/>
      <c r="J84" s="5"/>
      <c r="K84" s="5"/>
    </row>
    <row r="85" spans="2:11" ht="36">
      <c r="B85" s="1435"/>
      <c r="C85" s="73"/>
      <c r="D85" s="36" t="s">
        <v>779</v>
      </c>
      <c r="E85" s="5"/>
      <c r="F85" s="5"/>
      <c r="G85" s="5"/>
      <c r="H85" s="5"/>
      <c r="I85" s="5"/>
      <c r="J85" s="5"/>
      <c r="K85" s="5"/>
    </row>
    <row r="86" spans="2:11">
      <c r="B86" s="1435"/>
      <c r="C86" s="73"/>
      <c r="D86" s="36" t="s">
        <v>780</v>
      </c>
      <c r="E86" s="5"/>
      <c r="F86" s="5"/>
      <c r="G86" s="5"/>
      <c r="H86" s="5"/>
      <c r="I86" s="5"/>
      <c r="J86" s="5"/>
      <c r="K86" s="5"/>
    </row>
    <row r="87" spans="2:11" ht="24">
      <c r="B87" s="1435"/>
      <c r="C87" s="73"/>
      <c r="D87" s="36" t="s">
        <v>781</v>
      </c>
      <c r="E87" s="5"/>
      <c r="F87" s="5"/>
      <c r="G87" s="5"/>
      <c r="H87" s="5"/>
      <c r="I87" s="5"/>
      <c r="J87" s="5"/>
      <c r="K87" s="5"/>
    </row>
    <row r="88" spans="2:11" ht="58.2" thickBot="1">
      <c r="B88" s="1436"/>
      <c r="C88" s="2"/>
      <c r="D88" s="46" t="s">
        <v>782</v>
      </c>
      <c r="E88" s="5"/>
      <c r="F88" s="5"/>
      <c r="G88" s="5"/>
      <c r="H88" s="5"/>
      <c r="I88" s="5"/>
      <c r="J88" s="5"/>
      <c r="K88" s="5"/>
    </row>
    <row r="89" spans="2:11">
      <c r="B89" s="1434" t="s">
        <v>71</v>
      </c>
      <c r="C89" s="78"/>
      <c r="D89" s="1434"/>
      <c r="E89" s="5"/>
      <c r="F89" s="5"/>
      <c r="G89" s="5"/>
      <c r="H89" s="5"/>
      <c r="I89" s="5"/>
      <c r="J89" s="5"/>
      <c r="K89" s="5"/>
    </row>
    <row r="90" spans="2:11" ht="15" thickBot="1">
      <c r="B90" s="1436"/>
      <c r="C90" s="79"/>
      <c r="D90" s="1436"/>
      <c r="E90" s="5"/>
      <c r="F90" s="5"/>
      <c r="G90" s="5"/>
      <c r="H90" s="5"/>
      <c r="I90" s="5"/>
      <c r="J90" s="5"/>
      <c r="K90" s="5"/>
    </row>
    <row r="91" spans="2:11" ht="120">
      <c r="B91" s="1434" t="s">
        <v>72</v>
      </c>
      <c r="C91" s="73"/>
      <c r="D91" s="36" t="s">
        <v>783</v>
      </c>
      <c r="E91" s="5"/>
      <c r="F91" s="5"/>
      <c r="G91" s="5"/>
      <c r="H91" s="5"/>
      <c r="I91" s="5"/>
      <c r="J91" s="5"/>
      <c r="K91" s="5"/>
    </row>
    <row r="92" spans="2:11" ht="156">
      <c r="B92" s="1435"/>
      <c r="C92" s="73"/>
      <c r="D92" s="36" t="s">
        <v>784</v>
      </c>
      <c r="E92" s="5"/>
      <c r="F92" s="5"/>
      <c r="G92" s="5"/>
      <c r="H92" s="5"/>
      <c r="I92" s="5"/>
      <c r="J92" s="5"/>
      <c r="K92" s="5"/>
    </row>
    <row r="93" spans="2:11" ht="36">
      <c r="B93" s="1435"/>
      <c r="C93" s="73"/>
      <c r="D93" s="36" t="s">
        <v>785</v>
      </c>
      <c r="E93" s="5"/>
      <c r="F93" s="5"/>
      <c r="G93" s="5"/>
      <c r="H93" s="5"/>
      <c r="I93" s="5"/>
      <c r="J93" s="5"/>
      <c r="K93" s="5"/>
    </row>
    <row r="94" spans="2:11" ht="36">
      <c r="B94" s="1435"/>
      <c r="C94" s="73"/>
      <c r="D94" s="36" t="s">
        <v>786</v>
      </c>
      <c r="E94" s="5"/>
      <c r="F94" s="5"/>
      <c r="G94" s="5"/>
      <c r="H94" s="5"/>
      <c r="I94" s="5"/>
      <c r="J94" s="5"/>
      <c r="K94" s="5"/>
    </row>
    <row r="95" spans="2:11" ht="36">
      <c r="B95" s="1435"/>
      <c r="C95" s="73"/>
      <c r="D95" s="36" t="s">
        <v>787</v>
      </c>
      <c r="E95" s="5"/>
      <c r="F95" s="5"/>
      <c r="G95" s="5"/>
      <c r="H95" s="5"/>
      <c r="I95" s="5"/>
      <c r="J95" s="5"/>
      <c r="K95" s="5"/>
    </row>
    <row r="96" spans="2:11" ht="36">
      <c r="B96" s="1435"/>
      <c r="C96" s="73"/>
      <c r="D96" s="36" t="s">
        <v>788</v>
      </c>
      <c r="E96" s="5"/>
      <c r="F96" s="5"/>
      <c r="G96" s="5"/>
      <c r="H96" s="5"/>
      <c r="I96" s="5"/>
      <c r="J96" s="5"/>
      <c r="K96" s="5"/>
    </row>
    <row r="97" spans="2:11" ht="48">
      <c r="B97" s="1435"/>
      <c r="C97" s="73"/>
      <c r="D97" s="36" t="s">
        <v>789</v>
      </c>
      <c r="E97" s="5"/>
      <c r="F97" s="5"/>
      <c r="G97" s="5"/>
      <c r="H97" s="5"/>
      <c r="I97" s="5"/>
      <c r="J97" s="5"/>
      <c r="K97" s="5"/>
    </row>
    <row r="98" spans="2:11" ht="36">
      <c r="B98" s="1435"/>
      <c r="C98" s="73"/>
      <c r="D98" s="21" t="s">
        <v>790</v>
      </c>
      <c r="E98" s="5"/>
      <c r="F98" s="5"/>
      <c r="G98" s="5"/>
      <c r="H98" s="5"/>
      <c r="I98" s="5"/>
      <c r="J98" s="5"/>
      <c r="K98" s="5"/>
    </row>
    <row r="99" spans="2:11" ht="36">
      <c r="B99" s="1435"/>
      <c r="C99" s="73"/>
      <c r="D99" s="21" t="s">
        <v>791</v>
      </c>
      <c r="E99" s="5"/>
      <c r="F99" s="5"/>
      <c r="G99" s="5"/>
      <c r="H99" s="5"/>
      <c r="I99" s="5"/>
      <c r="J99" s="5"/>
      <c r="K99" s="5"/>
    </row>
    <row r="100" spans="2:11" ht="24">
      <c r="B100" s="1435"/>
      <c r="C100" s="73"/>
      <c r="D100" s="21" t="s">
        <v>792</v>
      </c>
      <c r="E100" s="5"/>
      <c r="F100" s="5"/>
      <c r="G100" s="5"/>
      <c r="H100" s="5"/>
      <c r="I100" s="5"/>
      <c r="J100" s="5"/>
      <c r="K100" s="5"/>
    </row>
    <row r="101" spans="2:11" ht="24">
      <c r="B101" s="1435"/>
      <c r="C101" s="73"/>
      <c r="D101" s="21" t="s">
        <v>793</v>
      </c>
      <c r="E101" s="5"/>
      <c r="F101" s="5"/>
      <c r="G101" s="5"/>
      <c r="H101" s="5"/>
      <c r="I101" s="5"/>
      <c r="J101" s="5"/>
      <c r="K101" s="5"/>
    </row>
    <row r="102" spans="2:11" ht="48">
      <c r="B102" s="1435"/>
      <c r="C102" s="73"/>
      <c r="D102" s="21" t="s">
        <v>794</v>
      </c>
      <c r="E102" s="5"/>
      <c r="F102" s="5"/>
      <c r="G102" s="5"/>
      <c r="H102" s="5"/>
      <c r="I102" s="5"/>
      <c r="J102" s="5"/>
      <c r="K102" s="5"/>
    </row>
    <row r="103" spans="2:11" ht="24">
      <c r="B103" s="1435"/>
      <c r="C103" s="73"/>
      <c r="D103" s="21" t="s">
        <v>795</v>
      </c>
      <c r="E103" s="5"/>
      <c r="F103" s="5"/>
      <c r="G103" s="5"/>
      <c r="H103" s="5"/>
      <c r="I103" s="5"/>
      <c r="J103" s="5"/>
      <c r="K103" s="5"/>
    </row>
    <row r="104" spans="2:11" ht="24">
      <c r="B104" s="1435"/>
      <c r="C104" s="73"/>
      <c r="D104" s="21" t="s">
        <v>796</v>
      </c>
      <c r="E104" s="5"/>
      <c r="F104" s="5"/>
      <c r="G104" s="5"/>
      <c r="H104" s="5"/>
      <c r="I104" s="5"/>
      <c r="J104" s="5"/>
      <c r="K104" s="5"/>
    </row>
    <row r="105" spans="2:11" ht="48">
      <c r="B105" s="1435"/>
      <c r="C105" s="73"/>
      <c r="D105" s="21" t="s">
        <v>797</v>
      </c>
      <c r="E105" s="5"/>
      <c r="F105" s="5"/>
      <c r="G105" s="5"/>
      <c r="H105" s="5"/>
      <c r="I105" s="5"/>
      <c r="J105" s="5"/>
      <c r="K105" s="5"/>
    </row>
    <row r="106" spans="2:11" ht="24">
      <c r="B106" s="1435"/>
      <c r="C106" s="73"/>
      <c r="D106" s="21" t="s">
        <v>798</v>
      </c>
      <c r="E106" s="5"/>
      <c r="F106" s="5"/>
      <c r="G106" s="5"/>
      <c r="H106" s="5"/>
      <c r="I106" s="5"/>
      <c r="J106" s="5"/>
      <c r="K106" s="5"/>
    </row>
    <row r="107" spans="2:11" ht="24">
      <c r="B107" s="1435"/>
      <c r="C107" s="73"/>
      <c r="D107" s="21" t="s">
        <v>799</v>
      </c>
      <c r="E107" s="5"/>
      <c r="F107" s="5"/>
      <c r="G107" s="5"/>
      <c r="H107" s="5"/>
      <c r="I107" s="5"/>
      <c r="J107" s="5"/>
      <c r="K107" s="5"/>
    </row>
    <row r="108" spans="2:11">
      <c r="B108" s="1435"/>
      <c r="C108" s="73"/>
      <c r="D108" s="21" t="s">
        <v>800</v>
      </c>
      <c r="E108" s="5"/>
      <c r="F108" s="5"/>
      <c r="G108" s="5"/>
      <c r="H108" s="5"/>
      <c r="I108" s="5"/>
      <c r="J108" s="5"/>
      <c r="K108" s="5"/>
    </row>
    <row r="109" spans="2:11" ht="36">
      <c r="B109" s="1435"/>
      <c r="C109" s="73"/>
      <c r="D109" s="21" t="s">
        <v>801</v>
      </c>
      <c r="E109" s="5"/>
      <c r="F109" s="5"/>
      <c r="G109" s="5"/>
      <c r="H109" s="5"/>
      <c r="I109" s="5"/>
      <c r="J109" s="5"/>
      <c r="K109" s="5"/>
    </row>
    <row r="110" spans="2:11" ht="36">
      <c r="B110" s="1435"/>
      <c r="C110" s="73"/>
      <c r="D110" s="21" t="s">
        <v>802</v>
      </c>
      <c r="E110" s="5"/>
      <c r="F110" s="5"/>
      <c r="G110" s="5"/>
      <c r="H110" s="5"/>
      <c r="I110" s="5"/>
      <c r="J110" s="5"/>
      <c r="K110" s="5"/>
    </row>
    <row r="111" spans="2:11" ht="24">
      <c r="B111" s="1435"/>
      <c r="C111" s="73"/>
      <c r="D111" s="21" t="s">
        <v>803</v>
      </c>
      <c r="E111" s="5"/>
      <c r="F111" s="5"/>
      <c r="G111" s="5"/>
      <c r="H111" s="5"/>
      <c r="I111" s="5"/>
      <c r="J111" s="5"/>
      <c r="K111" s="5"/>
    </row>
    <row r="112" spans="2:11" ht="216">
      <c r="B112" s="1435"/>
      <c r="C112" s="73"/>
      <c r="D112" s="36" t="s">
        <v>804</v>
      </c>
      <c r="E112" s="5"/>
      <c r="F112" s="5"/>
      <c r="G112" s="5"/>
      <c r="H112" s="5"/>
      <c r="I112" s="5"/>
      <c r="J112" s="5"/>
      <c r="K112" s="5"/>
    </row>
    <row r="113" spans="2:11" ht="48.6" thickBot="1">
      <c r="B113" s="1436"/>
      <c r="C113" s="2"/>
      <c r="D113" s="32" t="s">
        <v>805</v>
      </c>
      <c r="E113" s="5"/>
      <c r="F113" s="5"/>
      <c r="G113" s="5"/>
      <c r="H113" s="5"/>
      <c r="I113" s="5"/>
      <c r="J113" s="5"/>
      <c r="K113" s="5"/>
    </row>
    <row r="114" spans="2:11" ht="24">
      <c r="B114" s="1434" t="s">
        <v>89</v>
      </c>
      <c r="C114" s="73"/>
      <c r="D114" s="43" t="s">
        <v>767</v>
      </c>
      <c r="E114" s="5"/>
      <c r="F114" s="5"/>
      <c r="G114" s="5"/>
      <c r="H114" s="5"/>
      <c r="I114" s="5"/>
      <c r="J114" s="5"/>
      <c r="K114" s="5"/>
    </row>
    <row r="115" spans="2:11" ht="20.399999999999999" customHeight="1">
      <c r="B115" s="1435"/>
      <c r="C115" s="73"/>
      <c r="D115" s="13"/>
      <c r="E115" s="5"/>
      <c r="F115" s="5"/>
      <c r="G115" s="5"/>
      <c r="H115" s="5"/>
      <c r="I115" s="5"/>
      <c r="J115" s="5"/>
      <c r="K115" s="5"/>
    </row>
    <row r="116" spans="2:11">
      <c r="B116" s="1435"/>
      <c r="C116" s="73"/>
      <c r="D116" s="36" t="s">
        <v>90</v>
      </c>
      <c r="E116" s="5"/>
      <c r="F116" s="5"/>
      <c r="G116" s="5"/>
      <c r="H116" s="5"/>
      <c r="I116" s="5"/>
      <c r="J116" s="5"/>
      <c r="K116" s="5"/>
    </row>
    <row r="117" spans="2:11" ht="38.4">
      <c r="B117" s="1435"/>
      <c r="C117" s="73"/>
      <c r="D117" s="36" t="s">
        <v>806</v>
      </c>
      <c r="E117" s="5"/>
      <c r="F117" s="5"/>
      <c r="G117" s="5"/>
      <c r="H117" s="5"/>
      <c r="I117" s="5"/>
      <c r="J117" s="5"/>
      <c r="K117" s="5"/>
    </row>
    <row r="118" spans="2:11" ht="38.4">
      <c r="B118" s="1435"/>
      <c r="C118" s="73"/>
      <c r="D118" s="36" t="s">
        <v>807</v>
      </c>
      <c r="E118" s="5"/>
      <c r="F118" s="5"/>
      <c r="G118" s="5"/>
      <c r="H118" s="5"/>
      <c r="I118" s="5"/>
      <c r="J118" s="5"/>
      <c r="K118" s="5"/>
    </row>
    <row r="119" spans="2:11" ht="38.4">
      <c r="B119" s="1435"/>
      <c r="C119" s="73"/>
      <c r="D119" s="36" t="s">
        <v>808</v>
      </c>
      <c r="E119" s="5"/>
      <c r="F119" s="5"/>
      <c r="G119" s="5"/>
      <c r="H119" s="5"/>
      <c r="I119" s="5"/>
      <c r="J119" s="5"/>
      <c r="K119" s="5"/>
    </row>
    <row r="120" spans="2:11" ht="38.4">
      <c r="B120" s="1435"/>
      <c r="C120" s="73"/>
      <c r="D120" s="36" t="s">
        <v>809</v>
      </c>
      <c r="E120" s="5"/>
      <c r="F120" s="5"/>
      <c r="G120" s="5"/>
      <c r="H120" s="5"/>
      <c r="I120" s="5"/>
      <c r="J120" s="5"/>
      <c r="K120" s="5"/>
    </row>
    <row r="121" spans="2:11">
      <c r="B121" s="1435"/>
      <c r="C121" s="73"/>
      <c r="D121" s="36" t="s">
        <v>810</v>
      </c>
      <c r="E121" s="5"/>
      <c r="F121" s="5"/>
      <c r="G121" s="5"/>
      <c r="H121" s="5"/>
      <c r="I121" s="5"/>
      <c r="J121" s="5"/>
      <c r="K121" s="5"/>
    </row>
    <row r="122" spans="2:11">
      <c r="B122" s="1435"/>
      <c r="C122" s="73"/>
      <c r="D122" s="36" t="s">
        <v>811</v>
      </c>
      <c r="E122" s="5"/>
      <c r="F122" s="5"/>
      <c r="G122" s="5"/>
      <c r="H122" s="5"/>
      <c r="I122" s="5"/>
      <c r="J122" s="5"/>
      <c r="K122" s="5"/>
    </row>
    <row r="123" spans="2:11">
      <c r="B123" s="1435"/>
      <c r="C123" s="73"/>
      <c r="D123" s="36" t="s">
        <v>812</v>
      </c>
      <c r="E123" s="5"/>
      <c r="F123" s="5"/>
      <c r="G123" s="5"/>
      <c r="H123" s="5"/>
      <c r="I123" s="5"/>
      <c r="J123" s="5"/>
      <c r="K123" s="5"/>
    </row>
    <row r="124" spans="2:11">
      <c r="B124" s="1435"/>
      <c r="C124" s="73"/>
      <c r="D124" s="36" t="s">
        <v>813</v>
      </c>
      <c r="E124" s="5"/>
      <c r="F124" s="5"/>
      <c r="G124" s="5"/>
      <c r="H124" s="5"/>
      <c r="I124" s="5"/>
      <c r="J124" s="5"/>
      <c r="K124" s="5"/>
    </row>
    <row r="125" spans="2:11" ht="72">
      <c r="B125" s="1435"/>
      <c r="C125" s="73"/>
      <c r="D125" s="44" t="s">
        <v>234</v>
      </c>
      <c r="E125" s="5"/>
      <c r="F125" s="5"/>
      <c r="G125" s="5"/>
      <c r="H125" s="5"/>
      <c r="I125" s="5"/>
      <c r="J125" s="5"/>
      <c r="K125" s="5"/>
    </row>
    <row r="126" spans="2:11">
      <c r="B126" s="1435"/>
      <c r="C126" s="73"/>
      <c r="D126" s="36" t="s">
        <v>245</v>
      </c>
      <c r="E126" s="5"/>
      <c r="F126" s="5"/>
      <c r="G126" s="5"/>
      <c r="H126" s="5"/>
      <c r="I126" s="5"/>
      <c r="J126" s="5"/>
      <c r="K126" s="5"/>
    </row>
    <row r="127" spans="2:11" ht="48">
      <c r="B127" s="1435"/>
      <c r="C127" s="73"/>
      <c r="D127" s="43" t="s">
        <v>814</v>
      </c>
      <c r="E127" s="5"/>
      <c r="F127" s="5"/>
      <c r="G127" s="5"/>
      <c r="H127" s="5"/>
      <c r="I127" s="5"/>
      <c r="J127" s="5"/>
      <c r="K127" s="5"/>
    </row>
    <row r="128" spans="2:11">
      <c r="B128" s="1435"/>
      <c r="C128" s="73"/>
      <c r="D128" s="13"/>
      <c r="E128" s="5"/>
      <c r="F128" s="5"/>
      <c r="G128" s="5"/>
      <c r="H128" s="5"/>
      <c r="I128" s="5"/>
      <c r="J128" s="5"/>
      <c r="K128" s="5"/>
    </row>
    <row r="129" spans="2:11">
      <c r="B129" s="1435"/>
      <c r="C129" s="73"/>
      <c r="D129" s="36" t="s">
        <v>90</v>
      </c>
      <c r="E129" s="5"/>
      <c r="F129" s="5"/>
      <c r="G129" s="5"/>
      <c r="H129" s="5"/>
      <c r="I129" s="5"/>
      <c r="J129" s="5"/>
      <c r="K129" s="5"/>
    </row>
    <row r="130" spans="2:11" ht="38.4">
      <c r="B130" s="1435"/>
      <c r="C130" s="73"/>
      <c r="D130" s="36" t="s">
        <v>815</v>
      </c>
      <c r="E130" s="5"/>
      <c r="F130" s="5"/>
      <c r="G130" s="5"/>
      <c r="H130" s="5"/>
      <c r="I130" s="5"/>
      <c r="J130" s="5"/>
      <c r="K130" s="5"/>
    </row>
    <row r="131" spans="2:11" ht="38.4">
      <c r="B131" s="1435"/>
      <c r="C131" s="73"/>
      <c r="D131" s="36" t="s">
        <v>816</v>
      </c>
      <c r="E131" s="5"/>
      <c r="F131" s="5"/>
      <c r="G131" s="5"/>
      <c r="H131" s="5"/>
      <c r="I131" s="5"/>
      <c r="J131" s="5"/>
      <c r="K131" s="5"/>
    </row>
    <row r="132" spans="2:11" ht="39" thickBot="1">
      <c r="B132" s="1436"/>
      <c r="C132" s="2"/>
      <c r="D132" s="32" t="s">
        <v>817</v>
      </c>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sheetData>
  <mergeCells count="37">
    <mergeCell ref="B10:D10"/>
    <mergeCell ref="F10:S10"/>
    <mergeCell ref="F11:S11"/>
    <mergeCell ref="E12:R12"/>
    <mergeCell ref="E13:R13"/>
    <mergeCell ref="B114:B132"/>
    <mergeCell ref="B66:E67"/>
    <mergeCell ref="C22:C23"/>
    <mergeCell ref="B73:B88"/>
    <mergeCell ref="B89:B90"/>
    <mergeCell ref="D89:D90"/>
    <mergeCell ref="B91:B113"/>
    <mergeCell ref="C29:C31"/>
    <mergeCell ref="D29:D31"/>
    <mergeCell ref="B43:E43"/>
    <mergeCell ref="B44:B50"/>
    <mergeCell ref="B52:E52"/>
    <mergeCell ref="B53:B59"/>
    <mergeCell ref="F29:G29"/>
    <mergeCell ref="H29:H31"/>
    <mergeCell ref="E30:E31"/>
    <mergeCell ref="F30:F31"/>
    <mergeCell ref="D27:L27"/>
    <mergeCell ref="D28:L28"/>
    <mergeCell ref="B15:B19"/>
    <mergeCell ref="D21:L21"/>
    <mergeCell ref="D22:D23"/>
    <mergeCell ref="E22:E23"/>
    <mergeCell ref="F22:G22"/>
    <mergeCell ref="H22:K22"/>
    <mergeCell ref="D15:L15"/>
    <mergeCell ref="D20:L20"/>
    <mergeCell ref="A1:P1"/>
    <mergeCell ref="A2:P2"/>
    <mergeCell ref="A3:P3"/>
    <mergeCell ref="A4:D4"/>
    <mergeCell ref="A5:P5"/>
  </mergeCells>
  <conditionalFormatting sqref="D38">
    <cfRule type="containsText" dxfId="42" priority="5" operator="containsText" text="ERROR">
      <formula>NOT(ISERROR(SEARCH("ERROR",D38)))</formula>
    </cfRule>
  </conditionalFormatting>
  <conditionalFormatting sqref="E12:R12">
    <cfRule type="expression" dxfId="41" priority="1">
      <formula>E11="SI SE REPORTA"</formula>
    </cfRule>
  </conditionalFormatting>
  <conditionalFormatting sqref="F10">
    <cfRule type="notContainsBlanks" dxfId="40" priority="4">
      <formula>LEN(TRIM(F10))&gt;0</formula>
    </cfRule>
  </conditionalFormatting>
  <conditionalFormatting sqref="F11:S11">
    <cfRule type="expression" dxfId="39" priority="2">
      <formula>E11="NO SE REPORTA"</formula>
    </cfRule>
    <cfRule type="expression" dxfId="38" priority="3">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7:H17" xr:uid="{00000000-0002-0000-1800-000000000000}">
      <formula1>0</formula1>
    </dataValidation>
    <dataValidation type="whole" operator="greaterThanOrEqual" allowBlank="1" showInputMessage="1" showErrorMessage="1" errorTitle="ERROR" error="Valor en PESOS (sin centavos)" sqref="E18:H19 H24:K25" xr:uid="{00000000-0002-0000-1800-000001000000}">
      <formula1>0</formula1>
    </dataValidation>
    <dataValidation type="decimal" allowBlank="1" showInputMessage="1" showErrorMessage="1" errorTitle="ERROR" error="Escriba un valor entre 0% y 100%" sqref="E32:E37 F24:G25" xr:uid="{00000000-0002-0000-1800-000002000000}">
      <formula1>0</formula1>
      <formula2>1</formula2>
    </dataValidation>
    <dataValidation allowBlank="1" showInputMessage="1" showErrorMessage="1" sqref="H26:K26 D38:E38 F32:G38" xr:uid="{00000000-0002-0000-1800-000003000000}"/>
    <dataValidation type="list" allowBlank="1" showInputMessage="1" showErrorMessage="1" sqref="E11" xr:uid="{00000000-0002-0000-1800-000004000000}">
      <formula1>REPORTE</formula1>
    </dataValidation>
    <dataValidation type="list" allowBlank="1" showInputMessage="1" showErrorMessage="1" sqref="E10" xr:uid="{00000000-0002-0000-1800-000005000000}">
      <formula1>SI</formula1>
    </dataValidation>
  </dataValidations>
  <hyperlinks>
    <hyperlink ref="D88" r:id="rId1" xr:uid="{00000000-0004-0000-1800-000000000000}"/>
    <hyperlink ref="B9" location="'ANEXO 3'!A1" display="VOLVER AL INDICE" xr:uid="{00000000-0004-0000-1800-000001000000}"/>
    <hyperlink ref="E48" r:id="rId2" xr:uid="{00000000-0004-0000-1800-000002000000}"/>
  </hyperlinks>
  <pageMargins left="0.25" right="0.25" top="0.75" bottom="0.75" header="0.3" footer="0.3"/>
  <pageSetup paperSize="178" orientation="landscape" horizontalDpi="1200" verticalDpi="1200" r:id="rId3"/>
  <drawing r:id="rId4"/>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31">
    <tabColor rgb="FF92D050"/>
  </sheetPr>
  <dimension ref="A1:U189"/>
  <sheetViews>
    <sheetView showGridLines="0" tabSelected="1" topLeftCell="A31" zoomScale="98" zoomScaleNormal="98" workbookViewId="0">
      <selection activeCell="H41" sqref="H41"/>
    </sheetView>
  </sheetViews>
  <sheetFormatPr baseColWidth="10" defaultRowHeight="14.4"/>
  <cols>
    <col min="1" max="1" width="1.88671875" customWidth="1"/>
    <col min="2" max="2" width="12.88671875" customWidth="1"/>
    <col min="3" max="3" width="5" style="66" bestFit="1" customWidth="1"/>
    <col min="4" max="4" width="34.88671875" customWidth="1"/>
    <col min="5" max="5" width="26" customWidth="1"/>
    <col min="9" max="9" width="11.5546875" style="110"/>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+'[9]Datos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+'[8]Datos Generales'!C6</f>
        <v>2023-II</v>
      </c>
      <c r="F4" s="320"/>
      <c r="G4" s="320"/>
      <c r="H4" s="320"/>
      <c r="I4" s="320"/>
      <c r="J4" s="320"/>
      <c r="K4" s="320"/>
      <c r="L4" s="321"/>
      <c r="M4" s="321"/>
      <c r="N4" s="321"/>
      <c r="O4" s="321"/>
      <c r="P4" s="322"/>
      <c r="Q4"/>
      <c r="R4"/>
    </row>
    <row r="5" spans="1:21" ht="16.5" customHeight="1" thickBot="1">
      <c r="A5" s="1401" t="s">
        <v>828</v>
      </c>
      <c r="B5" s="1402"/>
      <c r="C5" s="1402"/>
      <c r="D5" s="1402"/>
      <c r="E5" s="1402"/>
      <c r="F5" s="1402"/>
      <c r="G5" s="1402"/>
      <c r="H5" s="1402"/>
      <c r="I5" s="1402"/>
      <c r="J5" s="1402"/>
      <c r="K5" s="1402"/>
      <c r="L5" s="1402"/>
      <c r="M5" s="1402"/>
      <c r="N5" s="1402"/>
      <c r="O5" s="1402"/>
      <c r="P5" s="1403"/>
    </row>
    <row r="6" spans="1:21">
      <c r="B6" s="3" t="s">
        <v>1</v>
      </c>
      <c r="C6" s="74"/>
      <c r="D6" s="5"/>
      <c r="E6" s="62"/>
      <c r="F6" s="5" t="s">
        <v>127</v>
      </c>
      <c r="G6" s="5"/>
      <c r="H6" s="5"/>
      <c r="I6" s="66"/>
      <c r="J6" s="5"/>
      <c r="K6" s="5"/>
    </row>
    <row r="7" spans="1:21" ht="15" thickBot="1">
      <c r="B7" s="63"/>
      <c r="C7" s="65"/>
      <c r="D7" s="5"/>
      <c r="E7" s="14"/>
      <c r="F7" s="5" t="s">
        <v>128</v>
      </c>
      <c r="G7" s="5"/>
      <c r="H7" s="5"/>
      <c r="I7" s="66"/>
      <c r="J7" s="5"/>
      <c r="K7" s="5"/>
    </row>
    <row r="8" spans="1:21" ht="15" thickBot="1">
      <c r="B8" s="144" t="s">
        <v>1178</v>
      </c>
      <c r="C8" s="564">
        <v>2023</v>
      </c>
      <c r="D8" s="170">
        <f>IF(E10="NO APLICA","NO APLICA",IF(E11="NO SE REPORTA","SIN INFORMACION",+G57))</f>
        <v>0.90873563218390818</v>
      </c>
      <c r="E8" s="167"/>
      <c r="F8" s="5" t="s">
        <v>129</v>
      </c>
      <c r="G8" s="5"/>
      <c r="H8" s="5"/>
      <c r="I8" s="66"/>
      <c r="J8" s="5"/>
      <c r="K8" s="5"/>
    </row>
    <row r="9" spans="1:21">
      <c r="B9" s="298" t="s">
        <v>1179</v>
      </c>
      <c r="D9" s="5"/>
      <c r="E9" s="5"/>
      <c r="F9" s="5"/>
      <c r="G9" s="5"/>
      <c r="H9" s="5"/>
      <c r="I9" s="66"/>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23.4" customHeight="1">
      <c r="B12" s="298"/>
      <c r="C12" s="67"/>
      <c r="D12" s="144" t="str">
        <f>IF(E11="SI SE REPORTA","¿Qué programas o proyectos del Plan de Acción están asociados al indicador? ","")</f>
        <v xml:space="preserve">¿Qué programas o proyectos del Plan de Acción están asociados al indicador? </v>
      </c>
      <c r="E12" s="1535" t="s">
        <v>1934</v>
      </c>
      <c r="F12" s="1535"/>
      <c r="G12" s="1535"/>
      <c r="H12" s="1535"/>
      <c r="I12" s="1535"/>
      <c r="J12" s="1535"/>
      <c r="K12" s="1535"/>
      <c r="L12" s="1535"/>
      <c r="M12" s="1535"/>
      <c r="N12" s="1535"/>
      <c r="O12" s="1535"/>
      <c r="P12" s="1535"/>
      <c r="Q12" s="1535"/>
      <c r="R12" s="1535"/>
    </row>
    <row r="13" spans="1:21" ht="28.5" customHeight="1">
      <c r="B13" s="298"/>
      <c r="C13" s="67"/>
      <c r="D13" s="144" t="s">
        <v>1236</v>
      </c>
      <c r="E13" s="1408" t="s">
        <v>2665</v>
      </c>
      <c r="F13" s="1409"/>
      <c r="G13" s="1409"/>
      <c r="H13" s="1409"/>
      <c r="I13" s="1409"/>
      <c r="J13" s="1409"/>
      <c r="K13" s="1409"/>
      <c r="L13" s="1409"/>
      <c r="M13" s="1409"/>
      <c r="N13" s="1409"/>
      <c r="O13" s="1409"/>
      <c r="P13" s="1409"/>
      <c r="Q13" s="1409"/>
      <c r="R13" s="1410"/>
    </row>
    <row r="14" spans="1:21" ht="6.9" customHeight="1" thickBot="1">
      <c r="B14" s="298"/>
      <c r="D14" s="5"/>
      <c r="E14" s="5"/>
      <c r="F14" s="5"/>
      <c r="G14" s="5"/>
      <c r="H14" s="5"/>
      <c r="I14" s="66"/>
      <c r="J14" s="5"/>
      <c r="K14" s="5"/>
    </row>
    <row r="15" spans="1:21">
      <c r="B15" s="1434" t="s">
        <v>2</v>
      </c>
      <c r="C15" s="68"/>
      <c r="D15" s="1425" t="s">
        <v>3</v>
      </c>
      <c r="E15" s="1426"/>
      <c r="F15" s="1426"/>
      <c r="G15" s="1426"/>
      <c r="H15" s="1426"/>
      <c r="I15" s="1427"/>
      <c r="J15" s="5"/>
      <c r="K15" s="5"/>
    </row>
    <row r="16" spans="1:21">
      <c r="B16" s="1435"/>
      <c r="C16" s="71"/>
      <c r="D16" s="1639" t="s">
        <v>855</v>
      </c>
      <c r="E16" s="1640"/>
      <c r="F16" s="1640"/>
      <c r="G16" s="1640"/>
      <c r="H16" s="1640"/>
      <c r="I16" s="1641"/>
      <c r="J16" s="5"/>
      <c r="K16" s="5"/>
    </row>
    <row r="17" spans="2:11" ht="15" thickBot="1">
      <c r="B17" s="1435"/>
      <c r="C17" s="71"/>
      <c r="D17" s="1447"/>
      <c r="E17" s="1448"/>
      <c r="F17" s="1448"/>
      <c r="G17" s="1448"/>
      <c r="H17" s="1448"/>
      <c r="I17" s="1449"/>
      <c r="J17" s="5"/>
      <c r="K17" s="5"/>
    </row>
    <row r="18" spans="2:11" ht="15" thickBot="1">
      <c r="B18" s="1435"/>
      <c r="C18" s="73"/>
      <c r="D18" s="34" t="s">
        <v>149</v>
      </c>
      <c r="E18" s="30" t="s">
        <v>19</v>
      </c>
      <c r="F18" s="30" t="s">
        <v>20</v>
      </c>
      <c r="G18" s="30" t="s">
        <v>21</v>
      </c>
      <c r="H18" s="30" t="s">
        <v>22</v>
      </c>
      <c r="I18" s="69" t="s">
        <v>150</v>
      </c>
      <c r="J18" s="5"/>
      <c r="K18" s="5"/>
    </row>
    <row r="19" spans="2:11" ht="36.6" thickBot="1">
      <c r="B19" s="1435"/>
      <c r="C19" s="73"/>
      <c r="D19" s="32" t="s">
        <v>856</v>
      </c>
      <c r="E19" s="509">
        <v>120</v>
      </c>
      <c r="F19" s="509">
        <v>327</v>
      </c>
      <c r="G19" s="509">
        <v>306</v>
      </c>
      <c r="H19" s="509">
        <v>575</v>
      </c>
      <c r="I19" s="519">
        <f>SUM(E19:H19)</f>
        <v>1328</v>
      </c>
      <c r="J19" s="5"/>
      <c r="K19" s="5"/>
    </row>
    <row r="20" spans="2:11" ht="24.6" thickBot="1">
      <c r="B20" s="1435"/>
      <c r="C20" s="73"/>
      <c r="D20" s="32" t="s">
        <v>857</v>
      </c>
      <c r="E20" s="509">
        <v>1</v>
      </c>
      <c r="F20" s="509">
        <v>3</v>
      </c>
      <c r="G20" s="509">
        <v>3</v>
      </c>
      <c r="H20" s="509">
        <v>5</v>
      </c>
      <c r="I20" s="519">
        <f>SUM(E20:H20)</f>
        <v>12</v>
      </c>
      <c r="J20" s="5"/>
      <c r="K20" s="5"/>
    </row>
    <row r="21" spans="2:11" ht="24.6" thickBot="1">
      <c r="B21" s="1435"/>
      <c r="C21" s="73"/>
      <c r="D21" s="32" t="s">
        <v>858</v>
      </c>
      <c r="E21" s="539">
        <f>+E19/E20</f>
        <v>120</v>
      </c>
      <c r="F21" s="539">
        <f>+F19/F20</f>
        <v>109</v>
      </c>
      <c r="G21" s="539">
        <f>+G19/G20</f>
        <v>102</v>
      </c>
      <c r="H21" s="539">
        <f>+H19/H20</f>
        <v>115</v>
      </c>
      <c r="I21" s="539">
        <f>+I19/I20</f>
        <v>110.66666666666667</v>
      </c>
      <c r="J21" s="5"/>
      <c r="K21" s="5"/>
    </row>
    <row r="22" spans="2:11">
      <c r="B22" s="1435"/>
      <c r="C22" s="71"/>
      <c r="D22" s="1425"/>
      <c r="E22" s="1426"/>
      <c r="F22" s="1426"/>
      <c r="G22" s="1426"/>
      <c r="H22" s="1426"/>
      <c r="I22" s="1427"/>
      <c r="J22" s="5"/>
      <c r="K22" s="5"/>
    </row>
    <row r="23" spans="2:11">
      <c r="B23" s="1435"/>
      <c r="C23" s="71"/>
      <c r="D23" s="1639" t="s">
        <v>859</v>
      </c>
      <c r="E23" s="1640"/>
      <c r="F23" s="1640"/>
      <c r="G23" s="1640"/>
      <c r="H23" s="1640"/>
      <c r="I23" s="1641"/>
      <c r="J23" s="5"/>
      <c r="K23" s="5"/>
    </row>
    <row r="24" spans="2:11" ht="15" thickBot="1">
      <c r="B24" s="1435"/>
      <c r="C24" s="71"/>
      <c r="D24" s="1419"/>
      <c r="E24" s="1420"/>
      <c r="F24" s="1420"/>
      <c r="G24" s="1420"/>
      <c r="H24" s="1420"/>
      <c r="I24" s="1421"/>
      <c r="J24" s="5"/>
      <c r="K24" s="5"/>
    </row>
    <row r="25" spans="2:11" ht="15" thickBot="1">
      <c r="B25" s="1435"/>
      <c r="C25" s="73"/>
      <c r="D25" s="34" t="s">
        <v>149</v>
      </c>
      <c r="E25" s="30" t="s">
        <v>19</v>
      </c>
      <c r="F25" s="30" t="s">
        <v>20</v>
      </c>
      <c r="G25" s="30" t="s">
        <v>21</v>
      </c>
      <c r="H25" s="30" t="s">
        <v>22</v>
      </c>
      <c r="I25" s="69" t="s">
        <v>150</v>
      </c>
      <c r="J25" s="5"/>
      <c r="K25" s="5"/>
    </row>
    <row r="26" spans="2:11" ht="15" thickBot="1">
      <c r="B26" s="1435"/>
      <c r="C26" s="73"/>
      <c r="D26" s="32">
        <v>2</v>
      </c>
      <c r="E26" s="509">
        <f>60*E27</f>
        <v>3060</v>
      </c>
      <c r="F26" s="509">
        <v>1040</v>
      </c>
      <c r="G26" s="509">
        <v>499</v>
      </c>
      <c r="H26" s="509">
        <v>2762</v>
      </c>
      <c r="I26" s="519">
        <f>SUM(E26:H26)</f>
        <v>7361</v>
      </c>
      <c r="J26" s="5"/>
      <c r="K26" s="5"/>
    </row>
    <row r="27" spans="2:11" ht="24.6" thickBot="1">
      <c r="B27" s="1435"/>
      <c r="C27" s="73"/>
      <c r="D27" s="32" t="s">
        <v>860</v>
      </c>
      <c r="E27" s="509">
        <v>51</v>
      </c>
      <c r="F27" s="509">
        <v>10</v>
      </c>
      <c r="G27" s="509">
        <v>5</v>
      </c>
      <c r="H27" s="509">
        <v>58</v>
      </c>
      <c r="I27" s="519">
        <f>SUM(E27:H27)</f>
        <v>124</v>
      </c>
      <c r="J27" s="5"/>
      <c r="K27" s="5"/>
    </row>
    <row r="28" spans="2:11" ht="24.6" thickBot="1">
      <c r="B28" s="1435"/>
      <c r="C28" s="73"/>
      <c r="D28" s="32" t="s">
        <v>861</v>
      </c>
      <c r="E28" s="539">
        <f>+E26/E27</f>
        <v>60</v>
      </c>
      <c r="F28" s="539">
        <f>+F26/F27</f>
        <v>104</v>
      </c>
      <c r="G28" s="539">
        <f>+G26/G27</f>
        <v>99.8</v>
      </c>
      <c r="H28" s="539">
        <f>+H26/H27</f>
        <v>47.620689655172413</v>
      </c>
      <c r="I28" s="539">
        <f>+I26/I27</f>
        <v>59.362903225806448</v>
      </c>
      <c r="J28" s="5"/>
      <c r="K28" s="5"/>
    </row>
    <row r="29" spans="2:11">
      <c r="B29" s="1435"/>
      <c r="C29" s="71"/>
      <c r="D29" s="1425"/>
      <c r="E29" s="1426"/>
      <c r="F29" s="1426"/>
      <c r="G29" s="1426"/>
      <c r="H29" s="1426"/>
      <c r="I29" s="1427"/>
      <c r="J29" s="5"/>
      <c r="K29" s="5"/>
    </row>
    <row r="30" spans="2:11">
      <c r="B30" s="1435"/>
      <c r="C30" s="71"/>
      <c r="D30" s="1639" t="s">
        <v>862</v>
      </c>
      <c r="E30" s="1640"/>
      <c r="F30" s="1640"/>
      <c r="G30" s="1640"/>
      <c r="H30" s="1640"/>
      <c r="I30" s="1641"/>
      <c r="J30" s="5"/>
      <c r="K30" s="5"/>
    </row>
    <row r="31" spans="2:11" ht="15" thickBot="1">
      <c r="B31" s="1435"/>
      <c r="C31" s="71"/>
      <c r="D31" s="1447"/>
      <c r="E31" s="1448"/>
      <c r="F31" s="1448"/>
      <c r="G31" s="1448"/>
      <c r="H31" s="1448"/>
      <c r="I31" s="1449"/>
      <c r="J31" s="5"/>
      <c r="K31" s="5"/>
    </row>
    <row r="32" spans="2:11" ht="15" thickBot="1">
      <c r="B32" s="1435"/>
      <c r="C32" s="73"/>
      <c r="D32" s="34" t="s">
        <v>149</v>
      </c>
      <c r="E32" s="30" t="s">
        <v>19</v>
      </c>
      <c r="F32" s="30" t="s">
        <v>20</v>
      </c>
      <c r="G32" s="30" t="s">
        <v>21</v>
      </c>
      <c r="H32" s="30" t="s">
        <v>22</v>
      </c>
      <c r="I32" s="69" t="s">
        <v>150</v>
      </c>
      <c r="J32" s="5"/>
      <c r="K32" s="5"/>
    </row>
    <row r="33" spans="2:11" ht="36.6" thickBot="1">
      <c r="B33" s="1435"/>
      <c r="C33" s="73"/>
      <c r="D33" s="32" t="s">
        <v>863</v>
      </c>
      <c r="E33" s="509">
        <f>68*E34</f>
        <v>2040</v>
      </c>
      <c r="F33" s="509">
        <v>666</v>
      </c>
      <c r="G33" s="509">
        <v>759</v>
      </c>
      <c r="H33" s="509">
        <v>1246</v>
      </c>
      <c r="I33" s="519">
        <f>SUM(E33:H33)</f>
        <v>4711</v>
      </c>
      <c r="J33" s="5"/>
      <c r="K33" s="5"/>
    </row>
    <row r="34" spans="2:11" ht="24.6" thickBot="1">
      <c r="B34" s="1435"/>
      <c r="C34" s="73"/>
      <c r="D34" s="32" t="s">
        <v>864</v>
      </c>
      <c r="E34" s="509">
        <v>30</v>
      </c>
      <c r="F34" s="509">
        <v>6</v>
      </c>
      <c r="G34" s="509">
        <v>7</v>
      </c>
      <c r="H34" s="509">
        <v>23</v>
      </c>
      <c r="I34" s="519">
        <f>SUM(E34:H34)</f>
        <v>66</v>
      </c>
      <c r="J34" s="5"/>
      <c r="K34" s="5"/>
    </row>
    <row r="35" spans="2:11" ht="36.6" thickBot="1">
      <c r="B35" s="1435"/>
      <c r="C35" s="73"/>
      <c r="D35" s="32" t="s">
        <v>865</v>
      </c>
      <c r="E35" s="539">
        <f>+E33/E34</f>
        <v>68</v>
      </c>
      <c r="F35" s="539">
        <f>+F33/F34</f>
        <v>111</v>
      </c>
      <c r="G35" s="539">
        <f>+G33/G34</f>
        <v>108.42857142857143</v>
      </c>
      <c r="H35" s="539">
        <f>+H33/H34</f>
        <v>54.173913043478258</v>
      </c>
      <c r="I35" s="539">
        <f>+I33/I34</f>
        <v>71.378787878787875</v>
      </c>
      <c r="J35" s="5"/>
      <c r="K35" s="5"/>
    </row>
    <row r="36" spans="2:11">
      <c r="B36" s="1435"/>
      <c r="C36" s="71"/>
      <c r="D36" s="1425"/>
      <c r="E36" s="1426"/>
      <c r="F36" s="1426"/>
      <c r="G36" s="1426"/>
      <c r="H36" s="1426"/>
      <c r="I36" s="1427"/>
      <c r="J36" s="5"/>
      <c r="K36" s="5"/>
    </row>
    <row r="37" spans="2:11">
      <c r="B37" s="1435"/>
      <c r="C37" s="71"/>
      <c r="D37" s="1639" t="s">
        <v>866</v>
      </c>
      <c r="E37" s="1640"/>
      <c r="F37" s="1640"/>
      <c r="G37" s="1640"/>
      <c r="H37" s="1640"/>
      <c r="I37" s="1641"/>
      <c r="J37" s="5"/>
      <c r="K37" s="5"/>
    </row>
    <row r="38" spans="2:11" ht="15" thickBot="1">
      <c r="B38" s="1435"/>
      <c r="C38" s="71"/>
      <c r="D38" s="1447"/>
      <c r="E38" s="1448"/>
      <c r="F38" s="1448"/>
      <c r="G38" s="1448"/>
      <c r="H38" s="1448"/>
      <c r="I38" s="1449"/>
      <c r="J38" s="5"/>
      <c r="K38" s="5"/>
    </row>
    <row r="39" spans="2:11" ht="15" thickBot="1">
      <c r="B39" s="1435"/>
      <c r="C39" s="73"/>
      <c r="D39" s="34" t="s">
        <v>149</v>
      </c>
      <c r="E39" s="30" t="s">
        <v>19</v>
      </c>
      <c r="F39" s="30" t="s">
        <v>20</v>
      </c>
      <c r="G39" s="30" t="s">
        <v>21</v>
      </c>
      <c r="H39" s="30" t="s">
        <v>22</v>
      </c>
      <c r="I39" s="69" t="s">
        <v>150</v>
      </c>
      <c r="J39" s="5"/>
      <c r="K39" s="5"/>
    </row>
    <row r="40" spans="2:11" ht="36.6" thickBot="1">
      <c r="B40" s="1435"/>
      <c r="C40" s="73"/>
      <c r="D40" s="32" t="s">
        <v>2017</v>
      </c>
      <c r="E40" s="509">
        <f>60*E41</f>
        <v>2520</v>
      </c>
      <c r="F40" s="509">
        <v>1428</v>
      </c>
      <c r="G40" s="509">
        <v>666</v>
      </c>
      <c r="H40" s="509">
        <v>1357</v>
      </c>
      <c r="I40" s="519">
        <f>SUM(E40:H40)</f>
        <v>5971</v>
      </c>
      <c r="J40" s="5"/>
      <c r="K40" s="5"/>
    </row>
    <row r="41" spans="2:11" ht="36.6" thickBot="1">
      <c r="B41" s="1435"/>
      <c r="C41" s="73"/>
      <c r="D41" s="32" t="s">
        <v>867</v>
      </c>
      <c r="E41" s="509">
        <v>42</v>
      </c>
      <c r="F41" s="509">
        <v>17</v>
      </c>
      <c r="G41" s="509">
        <v>7</v>
      </c>
      <c r="H41" s="509">
        <v>25</v>
      </c>
      <c r="I41" s="519">
        <f>SUM(E41:H41)</f>
        <v>91</v>
      </c>
      <c r="J41" s="5"/>
      <c r="K41" s="5"/>
    </row>
    <row r="42" spans="2:11" ht="36.6" thickBot="1">
      <c r="B42" s="1435"/>
      <c r="C42" s="73"/>
      <c r="D42" s="32" t="s">
        <v>868</v>
      </c>
      <c r="E42" s="539">
        <f>+E40/E41</f>
        <v>60</v>
      </c>
      <c r="F42" s="539">
        <f>+F40/F41</f>
        <v>84</v>
      </c>
      <c r="G42" s="539">
        <f>+G40/G41</f>
        <v>95.142857142857139</v>
      </c>
      <c r="H42" s="539">
        <f>+H40/H41</f>
        <v>54.28</v>
      </c>
      <c r="I42" s="539">
        <f>+I40/I41</f>
        <v>65.615384615384613</v>
      </c>
      <c r="J42" s="5"/>
      <c r="K42" s="5"/>
    </row>
    <row r="43" spans="2:11">
      <c r="B43" s="1435"/>
      <c r="C43" s="71"/>
      <c r="D43" s="1425"/>
      <c r="E43" s="1426"/>
      <c r="F43" s="1426"/>
      <c r="G43" s="1426"/>
      <c r="H43" s="1426"/>
      <c r="I43" s="1427"/>
      <c r="J43" s="5"/>
      <c r="K43" s="5"/>
    </row>
    <row r="44" spans="2:11">
      <c r="B44" s="1435"/>
      <c r="C44" s="71"/>
      <c r="D44" s="1639" t="s">
        <v>869</v>
      </c>
      <c r="E44" s="1640"/>
      <c r="F44" s="1640"/>
      <c r="G44" s="1640"/>
      <c r="H44" s="1640"/>
      <c r="I44" s="1641"/>
      <c r="J44" s="5"/>
      <c r="K44" s="5"/>
    </row>
    <row r="45" spans="2:11" ht="15" thickBot="1">
      <c r="B45" s="1435"/>
      <c r="C45" s="71"/>
      <c r="D45" s="1447"/>
      <c r="E45" s="1448"/>
      <c r="F45" s="1448"/>
      <c r="G45" s="1448"/>
      <c r="H45" s="1448"/>
      <c r="I45" s="1449"/>
      <c r="J45" s="5"/>
      <c r="K45" s="5"/>
    </row>
    <row r="46" spans="2:11" ht="15" thickBot="1">
      <c r="B46" s="1435"/>
      <c r="C46" s="73"/>
      <c r="D46" s="34" t="s">
        <v>149</v>
      </c>
      <c r="E46" s="30" t="s">
        <v>19</v>
      </c>
      <c r="F46" s="30" t="s">
        <v>20</v>
      </c>
      <c r="G46" s="30" t="s">
        <v>21</v>
      </c>
      <c r="H46" s="30" t="s">
        <v>22</v>
      </c>
      <c r="I46" s="69" t="s">
        <v>150</v>
      </c>
      <c r="J46" s="5"/>
      <c r="K46" s="5"/>
    </row>
    <row r="47" spans="2:11" ht="36.6" thickBot="1">
      <c r="B47" s="1435"/>
      <c r="C47" s="73"/>
      <c r="D47" s="32" t="s">
        <v>870</v>
      </c>
      <c r="E47" s="509">
        <f>70*E48</f>
        <v>910</v>
      </c>
      <c r="F47" s="509">
        <v>224</v>
      </c>
      <c r="G47" s="509">
        <v>313</v>
      </c>
      <c r="H47" s="509">
        <v>622</v>
      </c>
      <c r="I47" s="519">
        <f>SUM(E47:H47)</f>
        <v>2069</v>
      </c>
      <c r="J47" s="5"/>
      <c r="K47" s="5"/>
    </row>
    <row r="48" spans="2:11" ht="24.6" thickBot="1">
      <c r="B48" s="1435"/>
      <c r="C48" s="73"/>
      <c r="D48" s="32" t="s">
        <v>871</v>
      </c>
      <c r="E48" s="509">
        <v>13</v>
      </c>
      <c r="F48" s="509">
        <v>2</v>
      </c>
      <c r="G48" s="509">
        <v>3</v>
      </c>
      <c r="H48" s="509">
        <v>13</v>
      </c>
      <c r="I48" s="519">
        <f>SUM(E48:H48)</f>
        <v>31</v>
      </c>
      <c r="J48" s="5"/>
      <c r="K48" s="5"/>
    </row>
    <row r="49" spans="2:11" ht="36.6" thickBot="1">
      <c r="B49" s="1436"/>
      <c r="C49" s="2"/>
      <c r="D49" s="32" t="s">
        <v>872</v>
      </c>
      <c r="E49" s="539">
        <f>+E47/E48</f>
        <v>70</v>
      </c>
      <c r="F49" s="539">
        <f>+F47/F48</f>
        <v>112</v>
      </c>
      <c r="G49" s="539">
        <f>+G47/G48</f>
        <v>104.33333333333333</v>
      </c>
      <c r="H49" s="539">
        <f>+H47/H48</f>
        <v>47.846153846153847</v>
      </c>
      <c r="I49" s="539">
        <f>+I47/I48</f>
        <v>66.741935483870961</v>
      </c>
      <c r="J49" s="5"/>
      <c r="K49" s="5"/>
    </row>
    <row r="50" spans="2:11" ht="15" thickBot="1">
      <c r="C50"/>
      <c r="E50" s="314"/>
      <c r="F50" s="314"/>
      <c r="G50" s="314"/>
      <c r="H50" s="314"/>
      <c r="I50" s="314"/>
    </row>
    <row r="51" spans="2:11" ht="24.6" thickBot="1">
      <c r="C51"/>
      <c r="D51" s="42" t="s">
        <v>1223</v>
      </c>
      <c r="E51" s="42" t="s">
        <v>1226</v>
      </c>
      <c r="F51" s="42" t="s">
        <v>1227</v>
      </c>
      <c r="G51" s="263" t="s">
        <v>1228</v>
      </c>
      <c r="I51"/>
    </row>
    <row r="52" spans="2:11" ht="15" thickBot="1">
      <c r="C52"/>
      <c r="D52" s="42" t="str">
        <f>+D16</f>
        <v>Licencias ambientales</v>
      </c>
      <c r="E52" s="539">
        <f>+E21</f>
        <v>120</v>
      </c>
      <c r="F52" s="540">
        <v>90</v>
      </c>
      <c r="G52" s="487">
        <f>IF(F52/E52&gt;1,1,F52/E52)</f>
        <v>0.75</v>
      </c>
      <c r="I52"/>
    </row>
    <row r="53" spans="2:11" ht="15" thickBot="1">
      <c r="C53"/>
      <c r="D53" s="42" t="str">
        <f>+D23</f>
        <v>Concesiones de agua</v>
      </c>
      <c r="E53" s="539">
        <f>+E28</f>
        <v>60</v>
      </c>
      <c r="F53" s="540">
        <f>+H28</f>
        <v>47.620689655172413</v>
      </c>
      <c r="G53" s="487">
        <f>IF(F53/E53&gt;1,1,F53/E53)</f>
        <v>0.79367816091954024</v>
      </c>
      <c r="I53"/>
    </row>
    <row r="54" spans="2:11" ht="15" thickBot="1">
      <c r="C54"/>
      <c r="D54" s="42" t="str">
        <f>+D30</f>
        <v>Permisos de vertimiento de agua</v>
      </c>
      <c r="E54" s="539">
        <f>+E35</f>
        <v>68</v>
      </c>
      <c r="F54" s="540">
        <v>68</v>
      </c>
      <c r="G54" s="487">
        <f>IF(F54/E54&gt;1,1,F54/E54)</f>
        <v>1</v>
      </c>
      <c r="I54"/>
    </row>
    <row r="55" spans="2:11" ht="15" thickBot="1">
      <c r="C55"/>
      <c r="D55" s="42" t="str">
        <f>+D37</f>
        <v>Permisos de aprovechamiento forestal</v>
      </c>
      <c r="E55" s="539">
        <f>+E42</f>
        <v>60</v>
      </c>
      <c r="F55" s="540">
        <v>60</v>
      </c>
      <c r="G55" s="487">
        <f>IF(F55/E55&gt;1,1,F55/E55)</f>
        <v>1</v>
      </c>
      <c r="I55"/>
    </row>
    <row r="56" spans="2:11" ht="15" thickBot="1">
      <c r="C56"/>
      <c r="D56" s="42" t="str">
        <f>+D44</f>
        <v>Permisos de emisiones atmosféricas</v>
      </c>
      <c r="E56" s="539">
        <f>+E49</f>
        <v>70</v>
      </c>
      <c r="F56" s="540">
        <v>150</v>
      </c>
      <c r="G56" s="487">
        <f>IF(F56/E56&gt;1,1,F56/E56)</f>
        <v>1</v>
      </c>
      <c r="I56"/>
    </row>
    <row r="57" spans="2:11" ht="24.6" thickBot="1">
      <c r="C57"/>
      <c r="D57" s="42" t="s">
        <v>1222</v>
      </c>
      <c r="E57" s="539">
        <f>AVERAGE(E52:E56)</f>
        <v>75.599999999999994</v>
      </c>
      <c r="F57" s="539">
        <f>AVERAGE(F52:F56)</f>
        <v>83.124137931034483</v>
      </c>
      <c r="G57" s="487">
        <f>AVERAGE(G52:G56)</f>
        <v>0.90873563218390818</v>
      </c>
      <c r="I57"/>
    </row>
    <row r="58" spans="2:11">
      <c r="C58"/>
      <c r="I58"/>
    </row>
    <row r="59" spans="2:11" ht="15" thickBot="1">
      <c r="C59"/>
      <c r="I59"/>
    </row>
    <row r="60" spans="2:11" ht="60" customHeight="1" thickBot="1">
      <c r="B60" s="42" t="s">
        <v>33</v>
      </c>
      <c r="C60" s="159"/>
      <c r="D60" s="1437" t="s">
        <v>873</v>
      </c>
      <c r="E60" s="1438"/>
      <c r="F60" s="1438"/>
      <c r="G60" s="1438"/>
      <c r="H60" s="1438"/>
      <c r="I60" s="1439"/>
      <c r="J60" s="5"/>
      <c r="K60" s="5"/>
    </row>
    <row r="61" spans="2:11" ht="36" customHeight="1" thickBot="1">
      <c r="B61" s="37" t="s">
        <v>35</v>
      </c>
      <c r="C61" s="72"/>
      <c r="D61" s="1437" t="s">
        <v>158</v>
      </c>
      <c r="E61" s="1438"/>
      <c r="F61" s="1438"/>
      <c r="G61" s="1438"/>
      <c r="H61" s="1438"/>
      <c r="I61" s="1439"/>
      <c r="J61" s="5"/>
      <c r="K61" s="5"/>
    </row>
    <row r="62" spans="2:11" ht="15" thickBot="1">
      <c r="B62" s="1"/>
      <c r="C62" s="64"/>
      <c r="D62" s="5"/>
      <c r="E62" s="5"/>
      <c r="F62" s="5"/>
      <c r="G62" s="5"/>
      <c r="H62" s="5"/>
      <c r="I62" s="66"/>
      <c r="J62" s="5"/>
      <c r="K62" s="5"/>
    </row>
    <row r="63" spans="2:11" ht="24" customHeight="1" thickBot="1">
      <c r="B63" s="1444" t="s">
        <v>37</v>
      </c>
      <c r="C63" s="1445"/>
      <c r="D63" s="1445"/>
      <c r="E63" s="1446"/>
      <c r="F63" s="5"/>
      <c r="G63" s="5"/>
      <c r="H63" s="5"/>
      <c r="I63" s="66"/>
      <c r="J63" s="5"/>
      <c r="K63" s="5"/>
    </row>
    <row r="64" spans="2:11" ht="27.75" customHeight="1" thickBot="1">
      <c r="B64" s="1434">
        <v>1</v>
      </c>
      <c r="C64" s="73"/>
      <c r="D64" s="38" t="s">
        <v>38</v>
      </c>
      <c r="E64" s="855" t="s">
        <v>1811</v>
      </c>
      <c r="F64" s="5"/>
      <c r="G64" s="5"/>
      <c r="H64" s="5"/>
      <c r="I64" s="66"/>
      <c r="J64" s="5"/>
      <c r="K64" s="5"/>
    </row>
    <row r="65" spans="2:11" ht="15" thickBot="1">
      <c r="B65" s="1435"/>
      <c r="C65" s="73"/>
      <c r="D65" s="32" t="s">
        <v>39</v>
      </c>
      <c r="E65" s="211" t="s">
        <v>1874</v>
      </c>
      <c r="F65" s="5"/>
      <c r="G65" s="5"/>
      <c r="H65" s="5"/>
      <c r="I65" s="66"/>
      <c r="J65" s="5"/>
      <c r="K65" s="5"/>
    </row>
    <row r="66" spans="2:11" ht="15" thickBot="1">
      <c r="B66" s="1435"/>
      <c r="C66" s="73"/>
      <c r="D66" s="32" t="s">
        <v>40</v>
      </c>
      <c r="E66" s="211" t="s">
        <v>2015</v>
      </c>
      <c r="F66" s="5"/>
      <c r="G66" s="5"/>
      <c r="H66" s="5"/>
      <c r="I66" s="66"/>
      <c r="J66" s="5"/>
      <c r="K66" s="5"/>
    </row>
    <row r="67" spans="2:11" ht="15" thickBot="1">
      <c r="B67" s="1435"/>
      <c r="C67" s="73"/>
      <c r="D67" s="32" t="s">
        <v>41</v>
      </c>
      <c r="E67" s="211" t="s">
        <v>2028</v>
      </c>
      <c r="F67" s="5"/>
      <c r="G67" s="5"/>
      <c r="H67" s="5"/>
      <c r="I67" s="66"/>
      <c r="J67" s="5"/>
      <c r="K67" s="5"/>
    </row>
    <row r="68" spans="2:11" ht="29.4" thickBot="1">
      <c r="B68" s="1435"/>
      <c r="C68" s="73"/>
      <c r="D68" s="32" t="s">
        <v>42</v>
      </c>
      <c r="E68" s="856" t="s">
        <v>2016</v>
      </c>
      <c r="F68" s="5"/>
      <c r="G68" s="5"/>
      <c r="H68" s="5"/>
      <c r="I68" s="66"/>
      <c r="J68" s="5"/>
      <c r="K68" s="5"/>
    </row>
    <row r="69" spans="2:11" ht="15" thickBot="1">
      <c r="B69" s="1435"/>
      <c r="C69" s="73"/>
      <c r="D69" s="32" t="s">
        <v>43</v>
      </c>
      <c r="E69" s="211" t="s">
        <v>2018</v>
      </c>
      <c r="F69" s="5"/>
      <c r="G69" s="5"/>
      <c r="H69" s="5"/>
      <c r="I69" s="66"/>
      <c r="J69" s="5"/>
      <c r="K69" s="5"/>
    </row>
    <row r="70" spans="2:11" ht="15" thickBot="1">
      <c r="B70" s="1436"/>
      <c r="C70" s="2"/>
      <c r="D70" s="32" t="s">
        <v>44</v>
      </c>
      <c r="E70" s="562" t="s">
        <v>1814</v>
      </c>
      <c r="F70" s="5"/>
      <c r="G70" s="5"/>
      <c r="H70" s="5"/>
      <c r="I70" s="66"/>
      <c r="J70" s="5"/>
      <c r="K70" s="5"/>
    </row>
    <row r="71" spans="2:11" ht="15" thickBot="1">
      <c r="B71" s="1"/>
      <c r="C71" s="64"/>
      <c r="D71" s="5"/>
      <c r="E71" s="5"/>
      <c r="F71" s="5"/>
      <c r="G71" s="5"/>
      <c r="H71" s="5"/>
      <c r="I71" s="66"/>
      <c r="J71" s="5"/>
      <c r="K71" s="5"/>
    </row>
    <row r="72" spans="2:11" ht="15" thickBot="1">
      <c r="B72" s="1444" t="s">
        <v>45</v>
      </c>
      <c r="C72" s="1445"/>
      <c r="D72" s="1445"/>
      <c r="E72" s="1446"/>
      <c r="F72" s="5"/>
      <c r="G72" s="5"/>
      <c r="H72" s="5"/>
      <c r="I72" s="66"/>
      <c r="J72" s="5"/>
      <c r="K72" s="5"/>
    </row>
    <row r="73" spans="2:11" ht="36" customHeight="1" thickBot="1">
      <c r="B73" s="1434">
        <v>1</v>
      </c>
      <c r="C73" s="73"/>
      <c r="D73" s="38" t="s">
        <v>38</v>
      </c>
      <c r="E73" s="42" t="s">
        <v>46</v>
      </c>
      <c r="F73" s="5"/>
      <c r="G73" s="5"/>
      <c r="H73" s="5"/>
      <c r="I73" s="66"/>
      <c r="J73" s="5"/>
      <c r="K73" s="5"/>
    </row>
    <row r="74" spans="2:11" ht="36.6" thickBot="1">
      <c r="B74" s="1435"/>
      <c r="C74" s="73"/>
      <c r="D74" s="32" t="s">
        <v>39</v>
      </c>
      <c r="E74" s="42" t="s">
        <v>159</v>
      </c>
      <c r="F74" s="5"/>
      <c r="G74" s="5"/>
      <c r="H74" s="5"/>
      <c r="I74" s="66"/>
      <c r="J74" s="5"/>
      <c r="K74" s="5"/>
    </row>
    <row r="75" spans="2:11" ht="15" thickBot="1">
      <c r="B75" s="1435"/>
      <c r="C75" s="73"/>
      <c r="D75" s="32" t="s">
        <v>40</v>
      </c>
      <c r="E75" s="142"/>
      <c r="F75" s="5"/>
      <c r="G75" s="5"/>
      <c r="H75" s="5"/>
      <c r="I75" s="66"/>
      <c r="J75" s="5"/>
      <c r="K75" s="5"/>
    </row>
    <row r="76" spans="2:11" ht="15" thickBot="1">
      <c r="B76" s="1435"/>
      <c r="C76" s="73"/>
      <c r="D76" s="32" t="s">
        <v>41</v>
      </c>
      <c r="E76" s="142"/>
      <c r="F76" s="5"/>
      <c r="G76" s="5"/>
      <c r="H76" s="5"/>
      <c r="I76" s="66"/>
      <c r="J76" s="5"/>
      <c r="K76" s="5"/>
    </row>
    <row r="77" spans="2:11" ht="15" thickBot="1">
      <c r="B77" s="1435"/>
      <c r="C77" s="73"/>
      <c r="D77" s="32" t="s">
        <v>42</v>
      </c>
      <c r="E77" s="142"/>
      <c r="F77" s="5"/>
      <c r="G77" s="5"/>
      <c r="H77" s="5"/>
      <c r="I77" s="66"/>
      <c r="J77" s="5"/>
      <c r="K77" s="5"/>
    </row>
    <row r="78" spans="2:11" ht="15" thickBot="1">
      <c r="B78" s="1435"/>
      <c r="C78" s="73"/>
      <c r="D78" s="32" t="s">
        <v>43</v>
      </c>
      <c r="E78" s="142"/>
      <c r="F78" s="5"/>
      <c r="G78" s="5"/>
      <c r="H78" s="5"/>
      <c r="I78" s="66"/>
      <c r="J78" s="5"/>
      <c r="K78" s="5"/>
    </row>
    <row r="79" spans="2:11" ht="15" thickBot="1">
      <c r="B79" s="1436"/>
      <c r="C79" s="2"/>
      <c r="D79" s="32" t="s">
        <v>44</v>
      </c>
      <c r="E79" s="142"/>
      <c r="F79" s="5"/>
      <c r="G79" s="5"/>
      <c r="H79" s="5"/>
      <c r="I79" s="66"/>
      <c r="J79" s="5"/>
      <c r="K79" s="5"/>
    </row>
    <row r="80" spans="2:11" ht="15" thickBot="1">
      <c r="B80" s="1"/>
      <c r="C80" s="64"/>
      <c r="D80" s="5"/>
      <c r="E80" s="5"/>
      <c r="F80" s="5"/>
      <c r="G80" s="5"/>
      <c r="H80" s="5"/>
      <c r="I80" s="66"/>
      <c r="J80" s="5"/>
      <c r="K80" s="5"/>
    </row>
    <row r="81" spans="2:11" ht="15" customHeight="1" thickBot="1">
      <c r="B81" s="97" t="s">
        <v>48</v>
      </c>
      <c r="C81" s="98"/>
      <c r="D81" s="98"/>
      <c r="E81" s="99"/>
      <c r="G81" s="5"/>
      <c r="H81" s="5"/>
      <c r="I81" s="66"/>
      <c r="J81" s="5"/>
      <c r="K81" s="5"/>
    </row>
    <row r="82" spans="2:11" ht="24.6" thickBot="1">
      <c r="B82" s="37" t="s">
        <v>49</v>
      </c>
      <c r="C82" s="32" t="s">
        <v>50</v>
      </c>
      <c r="D82" s="32" t="s">
        <v>51</v>
      </c>
      <c r="E82" s="32" t="s">
        <v>52</v>
      </c>
      <c r="F82" s="5"/>
      <c r="G82" s="5"/>
      <c r="H82" s="5"/>
      <c r="I82" s="66"/>
      <c r="J82" s="5"/>
    </row>
    <row r="83" spans="2:11" ht="72.599999999999994" thickBot="1">
      <c r="B83" s="39">
        <v>42401</v>
      </c>
      <c r="C83" s="32">
        <v>0.01</v>
      </c>
      <c r="D83" s="40" t="s">
        <v>874</v>
      </c>
      <c r="E83" s="32"/>
      <c r="F83" s="5"/>
      <c r="G83" s="5"/>
      <c r="H83" s="5"/>
      <c r="I83" s="66"/>
      <c r="J83" s="5"/>
    </row>
    <row r="84" spans="2:11" ht="15" thickBot="1">
      <c r="B84" s="1"/>
      <c r="C84" s="64"/>
      <c r="D84" s="5"/>
      <c r="E84" s="5"/>
      <c r="F84" s="5"/>
      <c r="G84" s="5"/>
      <c r="H84" s="5"/>
      <c r="I84" s="66"/>
      <c r="J84" s="5"/>
      <c r="K84" s="5"/>
    </row>
    <row r="85" spans="2:11" ht="15" thickBot="1">
      <c r="B85" s="106" t="s">
        <v>54</v>
      </c>
      <c r="C85" s="75"/>
      <c r="D85" s="5"/>
      <c r="E85" s="5"/>
      <c r="F85" s="5"/>
      <c r="G85" s="5"/>
      <c r="H85" s="5"/>
      <c r="I85" s="66"/>
      <c r="J85" s="5"/>
      <c r="K85" s="5"/>
    </row>
    <row r="86" spans="2:11">
      <c r="B86" s="1689"/>
      <c r="C86" s="1690"/>
      <c r="D86" s="1691"/>
      <c r="E86" s="5"/>
      <c r="F86" s="5"/>
      <c r="G86" s="5"/>
      <c r="H86" s="5"/>
      <c r="I86" s="66"/>
      <c r="J86" s="5"/>
      <c r="K86" s="5"/>
    </row>
    <row r="87" spans="2:11" ht="15" thickBot="1">
      <c r="B87" s="1692"/>
      <c r="C87" s="1693"/>
      <c r="D87" s="1694"/>
      <c r="E87" s="5"/>
      <c r="F87" s="5"/>
      <c r="G87" s="5"/>
      <c r="H87" s="5"/>
      <c r="I87" s="66"/>
      <c r="J87" s="5"/>
      <c r="K87" s="5"/>
    </row>
    <row r="88" spans="2:11" ht="15" thickBot="1">
      <c r="B88" s="5"/>
      <c r="D88" s="5"/>
      <c r="E88" s="5"/>
      <c r="F88" s="5"/>
      <c r="G88" s="5"/>
      <c r="H88" s="5"/>
      <c r="I88" s="66"/>
      <c r="J88" s="5"/>
      <c r="K88" s="5"/>
    </row>
    <row r="89" spans="2:11" ht="24.6" thickBot="1">
      <c r="B89" s="41" t="s">
        <v>55</v>
      </c>
      <c r="C89" s="76"/>
      <c r="D89" s="5"/>
      <c r="E89" s="5"/>
      <c r="F89" s="5"/>
      <c r="G89" s="5"/>
      <c r="H89" s="5"/>
      <c r="I89" s="66"/>
      <c r="J89" s="5"/>
      <c r="K89" s="5"/>
    </row>
    <row r="90" spans="2:11" ht="15" thickBot="1">
      <c r="B90" s="1"/>
      <c r="C90" s="64"/>
      <c r="D90" s="5"/>
      <c r="E90" s="5"/>
      <c r="F90" s="5"/>
      <c r="G90" s="5"/>
      <c r="H90" s="5"/>
      <c r="I90" s="66"/>
      <c r="J90" s="5"/>
      <c r="K90" s="5"/>
    </row>
    <row r="91" spans="2:11" ht="108">
      <c r="B91" s="1434" t="s">
        <v>56</v>
      </c>
      <c r="C91" s="84"/>
      <c r="D91" s="53" t="s">
        <v>829</v>
      </c>
      <c r="E91" s="5"/>
      <c r="F91" s="5"/>
      <c r="G91" s="5"/>
      <c r="H91" s="5"/>
      <c r="I91" s="66"/>
      <c r="J91" s="5"/>
      <c r="K91" s="5"/>
    </row>
    <row r="92" spans="2:11" ht="96.6" thickBot="1">
      <c r="B92" s="1436"/>
      <c r="C92" s="2"/>
      <c r="D92" s="32" t="s">
        <v>830</v>
      </c>
      <c r="E92" s="5"/>
      <c r="F92" s="5"/>
      <c r="G92" s="5"/>
      <c r="H92" s="5"/>
      <c r="I92" s="66"/>
      <c r="J92" s="5"/>
      <c r="K92" s="5"/>
    </row>
    <row r="93" spans="2:11">
      <c r="B93" s="1434" t="s">
        <v>58</v>
      </c>
      <c r="C93" s="73"/>
      <c r="D93" s="43" t="s">
        <v>59</v>
      </c>
      <c r="E93" s="5"/>
      <c r="F93" s="5"/>
      <c r="G93" s="5"/>
      <c r="H93" s="5"/>
      <c r="I93" s="66"/>
      <c r="J93" s="5"/>
      <c r="K93" s="5"/>
    </row>
    <row r="94" spans="2:11" ht="84">
      <c r="B94" s="1435"/>
      <c r="C94" s="73"/>
      <c r="D94" s="36" t="s">
        <v>831</v>
      </c>
      <c r="E94" s="5"/>
      <c r="F94" s="5"/>
      <c r="G94" s="5"/>
      <c r="H94" s="5"/>
      <c r="I94" s="66"/>
      <c r="J94" s="5"/>
      <c r="K94" s="5"/>
    </row>
    <row r="95" spans="2:11">
      <c r="B95" s="1435"/>
      <c r="C95" s="73"/>
      <c r="D95" s="43" t="s">
        <v>133</v>
      </c>
      <c r="E95" s="5"/>
      <c r="F95" s="5"/>
      <c r="G95" s="5"/>
      <c r="H95" s="5"/>
      <c r="I95" s="66"/>
      <c r="J95" s="5"/>
      <c r="K95" s="5"/>
    </row>
    <row r="96" spans="2:11">
      <c r="B96" s="1435"/>
      <c r="C96" s="73"/>
      <c r="D96" s="36" t="s">
        <v>63</v>
      </c>
      <c r="E96" s="5"/>
      <c r="F96" s="5"/>
      <c r="G96" s="5"/>
      <c r="H96" s="5"/>
      <c r="I96" s="66"/>
      <c r="J96" s="5"/>
      <c r="K96" s="5"/>
    </row>
    <row r="97" spans="2:11">
      <c r="B97" s="1435"/>
      <c r="C97" s="73"/>
      <c r="D97" s="36" t="s">
        <v>64</v>
      </c>
      <c r="E97" s="5"/>
      <c r="F97" s="5"/>
      <c r="G97" s="5"/>
      <c r="H97" s="5"/>
      <c r="I97" s="66"/>
      <c r="J97" s="5"/>
      <c r="K97" s="5"/>
    </row>
    <row r="98" spans="2:11">
      <c r="B98" s="1435"/>
      <c r="C98" s="73"/>
      <c r="D98" s="36" t="s">
        <v>832</v>
      </c>
      <c r="E98" s="5"/>
      <c r="F98" s="5"/>
      <c r="G98" s="5"/>
      <c r="H98" s="5"/>
      <c r="I98" s="66"/>
      <c r="J98" s="5"/>
      <c r="K98" s="5"/>
    </row>
    <row r="99" spans="2:11">
      <c r="B99" s="1435"/>
      <c r="C99" s="73"/>
      <c r="D99" s="36" t="s">
        <v>833</v>
      </c>
      <c r="E99" s="5"/>
      <c r="F99" s="5"/>
      <c r="G99" s="5"/>
      <c r="H99" s="5"/>
      <c r="I99" s="66"/>
      <c r="J99" s="5"/>
      <c r="K99" s="5"/>
    </row>
    <row r="100" spans="2:11" ht="24">
      <c r="B100" s="1435"/>
      <c r="C100" s="73"/>
      <c r="D100" s="36" t="s">
        <v>834</v>
      </c>
      <c r="E100" s="5"/>
      <c r="F100" s="5"/>
      <c r="G100" s="5"/>
      <c r="H100" s="5"/>
      <c r="I100" s="66"/>
      <c r="J100" s="5"/>
      <c r="K100" s="5"/>
    </row>
    <row r="101" spans="2:11" ht="24">
      <c r="B101" s="1435"/>
      <c r="C101" s="73"/>
      <c r="D101" s="36" t="s">
        <v>835</v>
      </c>
      <c r="E101" s="5"/>
      <c r="F101" s="5"/>
      <c r="G101" s="5"/>
      <c r="H101" s="5"/>
      <c r="I101" s="66"/>
      <c r="J101" s="5"/>
      <c r="K101" s="5"/>
    </row>
    <row r="102" spans="2:11" ht="48">
      <c r="B102" s="1435"/>
      <c r="C102" s="73"/>
      <c r="D102" s="36" t="s">
        <v>836</v>
      </c>
      <c r="E102" s="5"/>
      <c r="F102" s="5"/>
      <c r="G102" s="5"/>
      <c r="H102" s="5"/>
      <c r="I102" s="66"/>
      <c r="J102" s="5"/>
      <c r="K102" s="5"/>
    </row>
    <row r="103" spans="2:11" ht="36.6" thickBot="1">
      <c r="B103" s="1436"/>
      <c r="C103" s="2"/>
      <c r="D103" s="32" t="s">
        <v>837</v>
      </c>
      <c r="E103" s="5"/>
      <c r="F103" s="5"/>
      <c r="G103" s="5"/>
      <c r="H103" s="5"/>
      <c r="I103" s="66"/>
      <c r="J103" s="5"/>
      <c r="K103" s="5"/>
    </row>
    <row r="104" spans="2:11" ht="24.6" thickBot="1">
      <c r="B104" s="37" t="s">
        <v>71</v>
      </c>
      <c r="C104" s="2"/>
      <c r="D104" s="32"/>
      <c r="E104" s="5"/>
      <c r="F104" s="5"/>
      <c r="G104" s="5"/>
      <c r="H104" s="5"/>
      <c r="I104" s="66"/>
      <c r="J104" s="5"/>
      <c r="K104" s="5"/>
    </row>
    <row r="105" spans="2:11" ht="216">
      <c r="B105" s="1434" t="s">
        <v>72</v>
      </c>
      <c r="C105" s="73"/>
      <c r="D105" s="36" t="s">
        <v>838</v>
      </c>
      <c r="E105" s="5"/>
      <c r="F105" s="5"/>
      <c r="G105" s="5"/>
      <c r="H105" s="5"/>
      <c r="I105" s="66"/>
      <c r="J105" s="5"/>
      <c r="K105" s="5"/>
    </row>
    <row r="106" spans="2:11" ht="60">
      <c r="B106" s="1435"/>
      <c r="C106" s="73"/>
      <c r="D106" s="36" t="s">
        <v>839</v>
      </c>
      <c r="E106" s="5"/>
      <c r="F106" s="5"/>
      <c r="G106" s="5"/>
      <c r="H106" s="5"/>
      <c r="I106" s="66"/>
      <c r="J106" s="5"/>
      <c r="K106" s="5"/>
    </row>
    <row r="107" spans="2:11" ht="60">
      <c r="B107" s="1435"/>
      <c r="C107" s="73"/>
      <c r="D107" s="36" t="s">
        <v>840</v>
      </c>
      <c r="E107" s="5"/>
      <c r="F107" s="5"/>
      <c r="G107" s="5"/>
      <c r="H107" s="5"/>
      <c r="I107" s="66"/>
      <c r="J107" s="5"/>
      <c r="K107" s="5"/>
    </row>
    <row r="108" spans="2:11" ht="120">
      <c r="B108" s="1435"/>
      <c r="C108" s="73"/>
      <c r="D108" s="36" t="s">
        <v>841</v>
      </c>
      <c r="E108" s="5"/>
      <c r="F108" s="5"/>
      <c r="G108" s="5"/>
      <c r="H108" s="5"/>
      <c r="I108" s="66"/>
      <c r="J108" s="5"/>
      <c r="K108" s="5"/>
    </row>
    <row r="109" spans="2:11" ht="144">
      <c r="B109" s="1435"/>
      <c r="C109" s="73"/>
      <c r="D109" s="36" t="s">
        <v>842</v>
      </c>
      <c r="E109" s="5"/>
      <c r="F109" s="5"/>
      <c r="G109" s="5"/>
      <c r="H109" s="5"/>
      <c r="I109" s="66"/>
      <c r="J109" s="5"/>
      <c r="K109" s="5"/>
    </row>
    <row r="110" spans="2:11" ht="84">
      <c r="B110" s="1435"/>
      <c r="C110" s="73"/>
      <c r="D110" s="36" t="s">
        <v>843</v>
      </c>
      <c r="E110" s="5"/>
      <c r="F110" s="5"/>
      <c r="G110" s="5"/>
      <c r="H110" s="5"/>
      <c r="I110" s="66"/>
      <c r="J110" s="5"/>
      <c r="K110" s="5"/>
    </row>
    <row r="111" spans="2:11" ht="48.6" thickBot="1">
      <c r="B111" s="1436"/>
      <c r="C111" s="2"/>
      <c r="D111" s="32" t="s">
        <v>844</v>
      </c>
      <c r="E111" s="5"/>
      <c r="F111" s="5"/>
      <c r="G111" s="5"/>
      <c r="H111" s="5"/>
      <c r="I111" s="66"/>
      <c r="J111" s="5"/>
      <c r="K111" s="5"/>
    </row>
    <row r="112" spans="2:11" ht="36">
      <c r="B112" s="1434" t="s">
        <v>89</v>
      </c>
      <c r="C112" s="73"/>
      <c r="D112" s="43" t="s">
        <v>828</v>
      </c>
      <c r="E112" s="5"/>
      <c r="F112" s="5"/>
      <c r="G112" s="5"/>
      <c r="H112" s="5"/>
      <c r="I112" s="66"/>
      <c r="J112" s="5"/>
      <c r="K112" s="5"/>
    </row>
    <row r="113" spans="2:11">
      <c r="B113" s="1435"/>
      <c r="C113" s="73"/>
      <c r="D113" s="13"/>
      <c r="E113" s="5"/>
      <c r="F113" s="5"/>
      <c r="G113" s="5"/>
      <c r="H113" s="5"/>
      <c r="I113" s="66"/>
      <c r="J113" s="5"/>
      <c r="K113" s="5"/>
    </row>
    <row r="114" spans="2:11">
      <c r="B114" s="1435"/>
      <c r="C114" s="73"/>
      <c r="D114" s="36" t="s">
        <v>90</v>
      </c>
      <c r="E114" s="5"/>
      <c r="F114" s="5"/>
      <c r="G114" s="5"/>
      <c r="H114" s="5"/>
      <c r="I114" s="66"/>
      <c r="J114" s="5"/>
      <c r="K114" s="5"/>
    </row>
    <row r="115" spans="2:11" ht="24">
      <c r="B115" s="1435"/>
      <c r="C115" s="73"/>
      <c r="D115" s="36" t="s">
        <v>845</v>
      </c>
      <c r="E115" s="5"/>
      <c r="F115" s="5"/>
      <c r="G115" s="5"/>
      <c r="H115" s="5"/>
      <c r="I115" s="66"/>
      <c r="J115" s="5"/>
      <c r="K115" s="5"/>
    </row>
    <row r="116" spans="2:11" ht="24">
      <c r="B116" s="1435"/>
      <c r="C116" s="73"/>
      <c r="D116" s="36" t="s">
        <v>846</v>
      </c>
      <c r="E116" s="5"/>
      <c r="F116" s="5"/>
      <c r="G116" s="5"/>
      <c r="H116" s="5"/>
      <c r="I116" s="66"/>
      <c r="J116" s="5"/>
      <c r="K116" s="5"/>
    </row>
    <row r="117" spans="2:11" ht="48">
      <c r="B117" s="1435"/>
      <c r="C117" s="73"/>
      <c r="D117" s="36" t="s">
        <v>847</v>
      </c>
      <c r="E117" s="5"/>
      <c r="F117" s="5"/>
      <c r="G117" s="5"/>
      <c r="H117" s="5"/>
      <c r="I117" s="66"/>
      <c r="J117" s="5"/>
      <c r="K117" s="5"/>
    </row>
    <row r="118" spans="2:11" ht="60">
      <c r="B118" s="1435"/>
      <c r="C118" s="73"/>
      <c r="D118" s="36" t="s">
        <v>848</v>
      </c>
      <c r="E118" s="5"/>
      <c r="F118" s="5"/>
      <c r="G118" s="5"/>
      <c r="H118" s="5"/>
      <c r="I118" s="66"/>
      <c r="J118" s="5"/>
      <c r="K118" s="5"/>
    </row>
    <row r="119" spans="2:11" ht="60">
      <c r="B119" s="1435"/>
      <c r="C119" s="73"/>
      <c r="D119" s="48" t="s">
        <v>849</v>
      </c>
      <c r="E119" s="5"/>
      <c r="F119" s="5"/>
      <c r="G119" s="5"/>
      <c r="H119" s="5"/>
      <c r="I119" s="66"/>
      <c r="J119" s="5"/>
      <c r="K119" s="5"/>
    </row>
    <row r="120" spans="2:11" ht="24">
      <c r="B120" s="1435"/>
      <c r="C120" s="73"/>
      <c r="D120" s="36" t="s">
        <v>850</v>
      </c>
      <c r="E120" s="5"/>
      <c r="F120" s="5"/>
      <c r="G120" s="5"/>
      <c r="H120" s="5"/>
      <c r="I120" s="66"/>
      <c r="J120" s="5"/>
      <c r="K120" s="5"/>
    </row>
    <row r="121" spans="2:11" ht="24">
      <c r="B121" s="1435"/>
      <c r="C121" s="73"/>
      <c r="D121" s="36" t="s">
        <v>851</v>
      </c>
      <c r="E121" s="5"/>
      <c r="F121" s="5"/>
      <c r="G121" s="5"/>
      <c r="H121" s="5"/>
      <c r="I121" s="66"/>
      <c r="J121" s="5"/>
      <c r="K121" s="5"/>
    </row>
    <row r="122" spans="2:11" ht="24">
      <c r="B122" s="1435"/>
      <c r="C122" s="73"/>
      <c r="D122" s="36" t="s">
        <v>852</v>
      </c>
      <c r="E122" s="5"/>
      <c r="F122" s="5"/>
      <c r="G122" s="5"/>
      <c r="H122" s="5"/>
      <c r="I122" s="66"/>
      <c r="J122" s="5"/>
      <c r="K122" s="5"/>
    </row>
    <row r="123" spans="2:11" ht="36">
      <c r="B123" s="1435"/>
      <c r="C123" s="73"/>
      <c r="D123" s="36" t="s">
        <v>853</v>
      </c>
      <c r="E123" s="5"/>
      <c r="F123" s="5"/>
      <c r="G123" s="5"/>
      <c r="H123" s="5"/>
      <c r="I123" s="66"/>
      <c r="J123" s="5"/>
      <c r="K123" s="5"/>
    </row>
    <row r="124" spans="2:11" ht="24.6" thickBot="1">
      <c r="B124" s="1436"/>
      <c r="C124" s="2"/>
      <c r="D124" s="32" t="s">
        <v>854</v>
      </c>
      <c r="E124" s="5"/>
      <c r="F124" s="5"/>
      <c r="G124" s="5"/>
      <c r="H124" s="5"/>
      <c r="I124" s="66"/>
      <c r="J124" s="5"/>
      <c r="K124" s="5"/>
    </row>
    <row r="125" spans="2:11">
      <c r="B125" s="5"/>
      <c r="D125" s="5"/>
      <c r="E125" s="5"/>
      <c r="F125" s="5"/>
      <c r="G125" s="5"/>
      <c r="H125" s="5"/>
      <c r="I125" s="66"/>
      <c r="J125" s="5"/>
      <c r="K125" s="5"/>
    </row>
    <row r="126" spans="2:11">
      <c r="B126" s="5"/>
      <c r="D126" s="5"/>
      <c r="E126" s="5"/>
      <c r="F126" s="5"/>
      <c r="G126" s="5"/>
      <c r="H126" s="5"/>
      <c r="I126" s="66"/>
      <c r="J126" s="5"/>
      <c r="K126" s="5"/>
    </row>
    <row r="127" spans="2:11">
      <c r="B127" s="5"/>
      <c r="D127" s="5"/>
      <c r="E127" s="5"/>
      <c r="F127" s="5"/>
      <c r="G127" s="5"/>
      <c r="H127" s="5"/>
      <c r="I127" s="66"/>
      <c r="J127" s="5"/>
      <c r="K127" s="5"/>
    </row>
    <row r="128" spans="2:11">
      <c r="B128" s="5"/>
      <c r="D128" s="5"/>
      <c r="E128" s="5"/>
      <c r="F128" s="5"/>
      <c r="G128" s="5"/>
      <c r="H128" s="5"/>
      <c r="I128" s="66"/>
      <c r="J128" s="5"/>
      <c r="K128" s="5"/>
    </row>
    <row r="129" spans="2:11">
      <c r="B129" s="5"/>
      <c r="D129" s="5"/>
      <c r="E129" s="5"/>
      <c r="F129" s="5"/>
      <c r="G129" s="5"/>
      <c r="H129" s="5"/>
      <c r="I129" s="66"/>
      <c r="J129" s="5"/>
      <c r="K129" s="5"/>
    </row>
    <row r="130" spans="2:11">
      <c r="B130" s="5"/>
      <c r="D130" s="5"/>
      <c r="E130" s="5"/>
      <c r="F130" s="5"/>
      <c r="G130" s="5"/>
      <c r="H130" s="5"/>
      <c r="I130" s="66"/>
      <c r="J130" s="5"/>
      <c r="K130" s="5"/>
    </row>
    <row r="131" spans="2:11">
      <c r="B131" s="5"/>
      <c r="D131" s="5"/>
      <c r="E131" s="5"/>
      <c r="F131" s="5"/>
      <c r="G131" s="5"/>
      <c r="H131" s="5"/>
      <c r="I131" s="66"/>
      <c r="J131" s="5"/>
      <c r="K131" s="5"/>
    </row>
    <row r="132" spans="2:11">
      <c r="B132" s="5"/>
      <c r="D132" s="5"/>
      <c r="E132" s="5"/>
      <c r="F132" s="5"/>
      <c r="G132" s="5"/>
      <c r="H132" s="5"/>
      <c r="I132" s="66"/>
      <c r="J132" s="5"/>
      <c r="K132" s="5"/>
    </row>
    <row r="133" spans="2:11">
      <c r="B133" s="5"/>
      <c r="D133" s="5"/>
      <c r="E133" s="5"/>
      <c r="F133" s="5"/>
      <c r="G133" s="5"/>
      <c r="H133" s="5"/>
      <c r="I133" s="66"/>
      <c r="J133" s="5"/>
      <c r="K133" s="5"/>
    </row>
    <row r="134" spans="2:11">
      <c r="B134" s="5"/>
      <c r="D134" s="5"/>
      <c r="E134" s="5"/>
      <c r="F134" s="5"/>
      <c r="G134" s="5"/>
      <c r="H134" s="5"/>
      <c r="I134" s="66"/>
      <c r="J134" s="5"/>
      <c r="K134" s="5"/>
    </row>
    <row r="135" spans="2:11">
      <c r="B135" s="5"/>
      <c r="D135" s="5"/>
      <c r="E135" s="5"/>
      <c r="F135" s="5"/>
      <c r="G135" s="5"/>
      <c r="H135" s="5"/>
      <c r="I135" s="66"/>
      <c r="J135" s="5"/>
      <c r="K135" s="5"/>
    </row>
    <row r="136" spans="2:11">
      <c r="B136" s="5"/>
      <c r="D136" s="5"/>
      <c r="E136" s="5"/>
      <c r="F136" s="5"/>
      <c r="G136" s="5"/>
      <c r="H136" s="5"/>
      <c r="I136" s="66"/>
      <c r="J136" s="5"/>
      <c r="K136" s="5"/>
    </row>
    <row r="137" spans="2:11">
      <c r="B137" s="5"/>
      <c r="D137" s="5"/>
      <c r="E137" s="5"/>
      <c r="F137" s="5"/>
      <c r="G137" s="5"/>
      <c r="H137" s="5"/>
      <c r="I137" s="66"/>
      <c r="J137" s="5"/>
      <c r="K137" s="5"/>
    </row>
    <row r="138" spans="2:11">
      <c r="B138" s="5"/>
      <c r="D138" s="5"/>
      <c r="E138" s="5"/>
      <c r="F138" s="5"/>
      <c r="G138" s="5"/>
      <c r="H138" s="5"/>
      <c r="I138" s="66"/>
      <c r="J138" s="5"/>
      <c r="K138" s="5"/>
    </row>
    <row r="139" spans="2:11">
      <c r="B139" s="5"/>
      <c r="D139" s="5"/>
      <c r="E139" s="5"/>
      <c r="F139" s="5"/>
      <c r="G139" s="5"/>
      <c r="H139" s="5"/>
      <c r="I139" s="66"/>
      <c r="J139" s="5"/>
      <c r="K139" s="5"/>
    </row>
    <row r="140" spans="2:11">
      <c r="B140" s="5"/>
      <c r="D140" s="5"/>
      <c r="E140" s="5"/>
      <c r="F140" s="5"/>
      <c r="G140" s="5"/>
      <c r="H140" s="5"/>
      <c r="I140" s="66"/>
      <c r="J140" s="5"/>
      <c r="K140" s="5"/>
    </row>
    <row r="141" spans="2:11">
      <c r="B141" s="5"/>
      <c r="D141" s="5"/>
      <c r="E141" s="5"/>
      <c r="F141" s="5"/>
      <c r="G141" s="5"/>
      <c r="H141" s="5"/>
      <c r="I141" s="66"/>
      <c r="J141" s="5"/>
      <c r="K141" s="5"/>
    </row>
    <row r="142" spans="2:11">
      <c r="B142" s="5"/>
      <c r="D142" s="5"/>
      <c r="E142" s="5"/>
      <c r="F142" s="5"/>
      <c r="G142" s="5"/>
      <c r="H142" s="5"/>
      <c r="I142" s="66"/>
      <c r="J142" s="5"/>
      <c r="K142" s="5"/>
    </row>
    <row r="143" spans="2:11">
      <c r="B143" s="5"/>
      <c r="D143" s="5"/>
      <c r="E143" s="5"/>
      <c r="F143" s="5"/>
      <c r="G143" s="5"/>
      <c r="H143" s="5"/>
      <c r="I143" s="66"/>
      <c r="J143" s="5"/>
      <c r="K143" s="5"/>
    </row>
    <row r="144" spans="2:11">
      <c r="B144" s="5"/>
      <c r="D144" s="5"/>
      <c r="E144" s="5"/>
      <c r="F144" s="5"/>
      <c r="G144" s="5"/>
      <c r="H144" s="5"/>
      <c r="I144" s="66"/>
      <c r="J144" s="5"/>
      <c r="K144" s="5"/>
    </row>
    <row r="145" spans="2:11">
      <c r="B145" s="5"/>
      <c r="D145" s="5"/>
      <c r="E145" s="5"/>
      <c r="F145" s="5"/>
      <c r="G145" s="5"/>
      <c r="H145" s="5"/>
      <c r="I145" s="66"/>
      <c r="J145" s="5"/>
      <c r="K145" s="5"/>
    </row>
    <row r="146" spans="2:11">
      <c r="B146" s="5"/>
      <c r="D146" s="5"/>
      <c r="E146" s="5"/>
      <c r="F146" s="5"/>
      <c r="G146" s="5"/>
      <c r="H146" s="5"/>
      <c r="I146" s="66"/>
      <c r="J146" s="5"/>
      <c r="K146" s="5"/>
    </row>
    <row r="147" spans="2:11">
      <c r="B147" s="5"/>
      <c r="D147" s="5"/>
      <c r="E147" s="5"/>
      <c r="F147" s="5"/>
      <c r="G147" s="5"/>
      <c r="H147" s="5"/>
      <c r="I147" s="66"/>
      <c r="J147" s="5"/>
      <c r="K147" s="5"/>
    </row>
    <row r="148" spans="2:11">
      <c r="B148" s="5"/>
      <c r="D148" s="5"/>
      <c r="E148" s="5"/>
      <c r="F148" s="5"/>
      <c r="G148" s="5"/>
      <c r="H148" s="5"/>
      <c r="I148" s="66"/>
      <c r="J148" s="5"/>
      <c r="K148" s="5"/>
    </row>
    <row r="149" spans="2:11">
      <c r="B149" s="5"/>
      <c r="D149" s="5"/>
      <c r="E149" s="5"/>
      <c r="F149" s="5"/>
      <c r="G149" s="5"/>
      <c r="H149" s="5"/>
      <c r="I149" s="66"/>
      <c r="J149" s="5"/>
      <c r="K149" s="5"/>
    </row>
    <row r="150" spans="2:11">
      <c r="B150" s="5"/>
      <c r="D150" s="5"/>
      <c r="E150" s="5"/>
      <c r="F150" s="5"/>
      <c r="G150" s="5"/>
      <c r="H150" s="5"/>
      <c r="I150" s="66"/>
      <c r="J150" s="5"/>
      <c r="K150" s="5"/>
    </row>
    <row r="151" spans="2:11">
      <c r="B151" s="5"/>
      <c r="D151" s="5"/>
      <c r="E151" s="5"/>
      <c r="F151" s="5"/>
      <c r="G151" s="5"/>
      <c r="H151" s="5"/>
      <c r="I151" s="66"/>
      <c r="J151" s="5"/>
      <c r="K151" s="5"/>
    </row>
    <row r="152" spans="2:11">
      <c r="B152" s="5"/>
      <c r="D152" s="5"/>
      <c r="E152" s="5"/>
      <c r="F152" s="5"/>
      <c r="G152" s="5"/>
      <c r="H152" s="5"/>
      <c r="I152" s="66"/>
      <c r="J152" s="5"/>
      <c r="K152" s="5"/>
    </row>
    <row r="153" spans="2:11">
      <c r="B153" s="5"/>
      <c r="D153" s="5"/>
      <c r="E153" s="5"/>
      <c r="F153" s="5"/>
      <c r="G153" s="5"/>
      <c r="H153" s="5"/>
      <c r="I153" s="66"/>
      <c r="J153" s="5"/>
      <c r="K153" s="5"/>
    </row>
    <row r="154" spans="2:11">
      <c r="B154" s="5"/>
      <c r="D154" s="5"/>
      <c r="E154" s="5"/>
      <c r="F154" s="5"/>
      <c r="G154" s="5"/>
      <c r="H154" s="5"/>
      <c r="I154" s="66"/>
      <c r="J154" s="5"/>
      <c r="K154" s="5"/>
    </row>
    <row r="155" spans="2:11">
      <c r="B155" s="5"/>
      <c r="D155" s="5"/>
      <c r="E155" s="5"/>
      <c r="F155" s="5"/>
      <c r="G155" s="5"/>
      <c r="H155" s="5"/>
      <c r="I155" s="66"/>
      <c r="J155" s="5"/>
      <c r="K155" s="5"/>
    </row>
    <row r="156" spans="2:11">
      <c r="B156" s="5"/>
      <c r="D156" s="5"/>
      <c r="E156" s="5"/>
      <c r="F156" s="5"/>
      <c r="G156" s="5"/>
      <c r="H156" s="5"/>
      <c r="I156" s="66"/>
      <c r="J156" s="5"/>
      <c r="K156" s="5"/>
    </row>
    <row r="157" spans="2:11">
      <c r="B157" s="5"/>
      <c r="D157" s="5"/>
      <c r="E157" s="5"/>
      <c r="F157" s="5"/>
      <c r="G157" s="5"/>
      <c r="H157" s="5"/>
      <c r="I157" s="66"/>
      <c r="J157" s="5"/>
      <c r="K157" s="5"/>
    </row>
    <row r="158" spans="2:11">
      <c r="B158" s="5"/>
      <c r="D158" s="5"/>
      <c r="E158" s="5"/>
      <c r="F158" s="5"/>
      <c r="G158" s="5"/>
      <c r="H158" s="5"/>
      <c r="I158" s="66"/>
      <c r="J158" s="5"/>
      <c r="K158" s="5"/>
    </row>
    <row r="159" spans="2:11">
      <c r="B159" s="5"/>
      <c r="D159" s="5"/>
      <c r="E159" s="5"/>
      <c r="F159" s="5"/>
      <c r="G159" s="5"/>
      <c r="H159" s="5"/>
      <c r="I159" s="66"/>
      <c r="J159" s="5"/>
      <c r="K159" s="5"/>
    </row>
    <row r="160" spans="2:11">
      <c r="B160" s="5"/>
      <c r="D160" s="5"/>
      <c r="E160" s="5"/>
      <c r="F160" s="5"/>
      <c r="G160" s="5"/>
      <c r="H160" s="5"/>
      <c r="I160" s="66"/>
      <c r="J160" s="5"/>
      <c r="K160" s="5"/>
    </row>
    <row r="161" spans="2:11">
      <c r="B161" s="5"/>
      <c r="D161" s="5"/>
      <c r="E161" s="5"/>
      <c r="F161" s="5"/>
      <c r="G161" s="5"/>
      <c r="H161" s="5"/>
      <c r="I161" s="66"/>
      <c r="J161" s="5"/>
      <c r="K161" s="5"/>
    </row>
    <row r="162" spans="2:11">
      <c r="B162" s="5"/>
      <c r="D162" s="5"/>
      <c r="E162" s="5"/>
      <c r="F162" s="5"/>
      <c r="G162" s="5"/>
      <c r="H162" s="5"/>
      <c r="I162" s="66"/>
      <c r="J162" s="5"/>
      <c r="K162" s="5"/>
    </row>
    <row r="163" spans="2:11">
      <c r="B163" s="5"/>
      <c r="D163" s="5"/>
      <c r="E163" s="5"/>
      <c r="F163" s="5"/>
      <c r="G163" s="5"/>
      <c r="H163" s="5"/>
      <c r="I163" s="66"/>
      <c r="J163" s="5"/>
      <c r="K163" s="5"/>
    </row>
    <row r="164" spans="2:11">
      <c r="B164" s="5"/>
      <c r="D164" s="5"/>
      <c r="E164" s="5"/>
      <c r="F164" s="5"/>
      <c r="G164" s="5"/>
      <c r="H164" s="5"/>
      <c r="I164" s="66"/>
      <c r="J164" s="5"/>
      <c r="K164" s="5"/>
    </row>
    <row r="165" spans="2:11">
      <c r="B165" s="5"/>
      <c r="D165" s="5"/>
      <c r="E165" s="5"/>
      <c r="F165" s="5"/>
      <c r="G165" s="5"/>
      <c r="H165" s="5"/>
      <c r="I165" s="66"/>
      <c r="J165" s="5"/>
      <c r="K165" s="5"/>
    </row>
    <row r="166" spans="2:11">
      <c r="B166" s="5"/>
      <c r="D166" s="5"/>
      <c r="E166" s="5"/>
      <c r="F166" s="5"/>
      <c r="G166" s="5"/>
      <c r="H166" s="5"/>
      <c r="I166" s="66"/>
      <c r="J166" s="5"/>
      <c r="K166" s="5"/>
    </row>
    <row r="167" spans="2:11">
      <c r="B167" s="5"/>
      <c r="D167" s="5"/>
      <c r="E167" s="5"/>
      <c r="F167" s="5"/>
      <c r="G167" s="5"/>
      <c r="H167" s="5"/>
      <c r="I167" s="66"/>
      <c r="J167" s="5"/>
      <c r="K167" s="5"/>
    </row>
    <row r="168" spans="2:11">
      <c r="B168" s="5"/>
      <c r="D168" s="5"/>
      <c r="E168" s="5"/>
      <c r="F168" s="5"/>
      <c r="G168" s="5"/>
      <c r="H168" s="5"/>
      <c r="I168" s="66"/>
      <c r="J168" s="5"/>
      <c r="K168" s="5"/>
    </row>
    <row r="169" spans="2:11">
      <c r="B169" s="5"/>
      <c r="D169" s="5"/>
      <c r="E169" s="5"/>
      <c r="F169" s="5"/>
      <c r="G169" s="5"/>
      <c r="H169" s="5"/>
      <c r="I169" s="66"/>
      <c r="J169" s="5"/>
      <c r="K169" s="5"/>
    </row>
    <row r="170" spans="2:11">
      <c r="B170" s="5"/>
      <c r="D170" s="5"/>
      <c r="E170" s="5"/>
      <c r="F170" s="5"/>
      <c r="G170" s="5"/>
      <c r="H170" s="5"/>
      <c r="I170" s="66"/>
      <c r="J170" s="5"/>
      <c r="K170" s="5"/>
    </row>
    <row r="171" spans="2:11">
      <c r="B171" s="5"/>
      <c r="D171" s="5"/>
      <c r="E171" s="5"/>
      <c r="F171" s="5"/>
      <c r="G171" s="5"/>
      <c r="H171" s="5"/>
      <c r="I171" s="66"/>
      <c r="J171" s="5"/>
      <c r="K171" s="5"/>
    </row>
    <row r="172" spans="2:11">
      <c r="B172" s="5"/>
      <c r="D172" s="5"/>
      <c r="E172" s="5"/>
      <c r="F172" s="5"/>
      <c r="G172" s="5"/>
      <c r="H172" s="5"/>
      <c r="I172" s="66"/>
      <c r="J172" s="5"/>
      <c r="K172" s="5"/>
    </row>
    <row r="173" spans="2:11">
      <c r="B173" s="5"/>
      <c r="D173" s="5"/>
      <c r="E173" s="5"/>
      <c r="F173" s="5"/>
      <c r="G173" s="5"/>
      <c r="H173" s="5"/>
      <c r="I173" s="66"/>
      <c r="J173" s="5"/>
      <c r="K173" s="5"/>
    </row>
    <row r="174" spans="2:11">
      <c r="B174" s="5"/>
      <c r="D174" s="5"/>
      <c r="E174" s="5"/>
      <c r="F174" s="5"/>
      <c r="G174" s="5"/>
      <c r="H174" s="5"/>
      <c r="I174" s="66"/>
      <c r="J174" s="5"/>
      <c r="K174" s="5"/>
    </row>
    <row r="175" spans="2:11">
      <c r="B175" s="5"/>
      <c r="D175" s="5"/>
      <c r="E175" s="5"/>
      <c r="F175" s="5"/>
      <c r="G175" s="5"/>
      <c r="H175" s="5"/>
      <c r="I175" s="66"/>
      <c r="J175" s="5"/>
      <c r="K175" s="5"/>
    </row>
    <row r="176" spans="2:11">
      <c r="B176" s="5"/>
      <c r="D176" s="5"/>
      <c r="E176" s="5"/>
      <c r="F176" s="5"/>
      <c r="G176" s="5"/>
      <c r="H176" s="5"/>
      <c r="I176" s="66"/>
      <c r="J176" s="5"/>
      <c r="K176" s="5"/>
    </row>
    <row r="177" spans="2:11">
      <c r="B177" s="5"/>
      <c r="D177" s="5"/>
      <c r="E177" s="5"/>
      <c r="F177" s="5"/>
      <c r="G177" s="5"/>
      <c r="H177" s="5"/>
      <c r="I177" s="66"/>
      <c r="J177" s="5"/>
      <c r="K177" s="5"/>
    </row>
    <row r="178" spans="2:11">
      <c r="B178" s="5"/>
      <c r="D178" s="5"/>
      <c r="E178" s="5"/>
      <c r="F178" s="5"/>
      <c r="G178" s="5"/>
      <c r="H178" s="5"/>
      <c r="I178" s="66"/>
      <c r="J178" s="5"/>
      <c r="K178" s="5"/>
    </row>
    <row r="179" spans="2:11">
      <c r="B179" s="5"/>
      <c r="D179" s="5"/>
      <c r="E179" s="5"/>
      <c r="F179" s="5"/>
      <c r="G179" s="5"/>
      <c r="H179" s="5"/>
      <c r="I179" s="66"/>
      <c r="J179" s="5"/>
      <c r="K179" s="5"/>
    </row>
    <row r="180" spans="2:11">
      <c r="B180" s="5"/>
      <c r="D180" s="5"/>
      <c r="E180" s="5"/>
      <c r="F180" s="5"/>
      <c r="G180" s="5"/>
      <c r="H180" s="5"/>
      <c r="I180" s="66"/>
      <c r="J180" s="5"/>
      <c r="K180" s="5"/>
    </row>
    <row r="181" spans="2:11">
      <c r="B181" s="5"/>
      <c r="D181" s="5"/>
      <c r="E181" s="5"/>
      <c r="F181" s="5"/>
      <c r="G181" s="5"/>
      <c r="H181" s="5"/>
      <c r="I181" s="66"/>
      <c r="J181" s="5"/>
      <c r="K181" s="5"/>
    </row>
    <row r="182" spans="2:11">
      <c r="B182" s="5"/>
      <c r="D182" s="5"/>
      <c r="E182" s="5"/>
      <c r="F182" s="5"/>
      <c r="G182" s="5"/>
      <c r="H182" s="5"/>
      <c r="I182" s="66"/>
      <c r="J182" s="5"/>
      <c r="K182" s="5"/>
    </row>
    <row r="183" spans="2:11">
      <c r="B183" s="5"/>
      <c r="D183" s="5"/>
      <c r="E183" s="5"/>
      <c r="F183" s="5"/>
      <c r="G183" s="5"/>
      <c r="H183" s="5"/>
      <c r="I183" s="66"/>
      <c r="J183" s="5"/>
      <c r="K183" s="5"/>
    </row>
    <row r="184" spans="2:11">
      <c r="B184" s="5"/>
      <c r="D184" s="5"/>
      <c r="E184" s="5"/>
      <c r="F184" s="5"/>
      <c r="G184" s="5"/>
      <c r="H184" s="5"/>
      <c r="I184" s="66"/>
      <c r="J184" s="5"/>
      <c r="K184" s="5"/>
    </row>
    <row r="185" spans="2:11">
      <c r="B185" s="5"/>
      <c r="D185" s="5"/>
      <c r="E185" s="5"/>
      <c r="F185" s="5"/>
      <c r="G185" s="5"/>
      <c r="H185" s="5"/>
      <c r="I185" s="66"/>
      <c r="J185" s="5"/>
      <c r="K185" s="5"/>
    </row>
    <row r="186" spans="2:11">
      <c r="B186" s="5"/>
      <c r="D186" s="5"/>
      <c r="E186" s="5"/>
      <c r="F186" s="5"/>
      <c r="G186" s="5"/>
      <c r="H186" s="5"/>
      <c r="I186" s="66"/>
      <c r="J186" s="5"/>
      <c r="K186" s="5"/>
    </row>
    <row r="187" spans="2:11">
      <c r="B187" s="5"/>
      <c r="D187" s="5"/>
      <c r="E187" s="5"/>
      <c r="F187" s="5"/>
      <c r="G187" s="5"/>
      <c r="H187" s="5"/>
      <c r="I187" s="66"/>
      <c r="J187" s="5"/>
      <c r="K187" s="5"/>
    </row>
    <row r="188" spans="2:11">
      <c r="B188" s="5"/>
      <c r="D188" s="5"/>
      <c r="E188" s="5"/>
      <c r="F188" s="5"/>
      <c r="G188" s="5"/>
      <c r="H188" s="5"/>
      <c r="I188" s="66"/>
      <c r="J188" s="5"/>
      <c r="K188" s="5"/>
    </row>
    <row r="189" spans="2:11">
      <c r="B189" s="5"/>
      <c r="D189" s="5"/>
      <c r="E189" s="5"/>
      <c r="F189" s="5"/>
      <c r="G189" s="5"/>
      <c r="H189" s="5"/>
      <c r="I189" s="66"/>
      <c r="J189" s="5"/>
      <c r="K189" s="5"/>
    </row>
  </sheetData>
  <sheetProtection insertColumns="0" insertRows="0"/>
  <mergeCells count="37">
    <mergeCell ref="B10:D10"/>
    <mergeCell ref="F10:S10"/>
    <mergeCell ref="F11:S11"/>
    <mergeCell ref="E12:R12"/>
    <mergeCell ref="E13:R13"/>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D38:I38"/>
    <mergeCell ref="D43:I43"/>
    <mergeCell ref="D44:I44"/>
    <mergeCell ref="D45:I45"/>
    <mergeCell ref="D60:I60"/>
    <mergeCell ref="B86:D87"/>
    <mergeCell ref="D61:I61"/>
    <mergeCell ref="B63:E63"/>
    <mergeCell ref="B64:B70"/>
    <mergeCell ref="B72:E72"/>
    <mergeCell ref="B73:B79"/>
    <mergeCell ref="A1:P1"/>
    <mergeCell ref="A2:P2"/>
    <mergeCell ref="A3:P3"/>
    <mergeCell ref="A4:D4"/>
    <mergeCell ref="A5:P5"/>
  </mergeCells>
  <conditionalFormatting sqref="E12:R12">
    <cfRule type="expression" dxfId="37" priority="1">
      <formula>E11="SI SE REPORTA"</formula>
    </cfRule>
  </conditionalFormatting>
  <conditionalFormatting sqref="F10">
    <cfRule type="notContainsBlanks" dxfId="36" priority="4">
      <formula>LEN(TRIM(F10))&gt;0</formula>
    </cfRule>
  </conditionalFormatting>
  <conditionalFormatting sqref="F11:S11">
    <cfRule type="expression" dxfId="35" priority="2">
      <formula>E11="NO SE REPORTA"</formula>
    </cfRule>
    <cfRule type="expression" dxfId="34" priority="3">
      <formula>E10="NO APLICA"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40:H41 E19:H20 E26:H27 E33:H34 E47:H48" xr:uid="{FDBCF1E2-640B-4046-B3D9-DAB6B746399F}">
      <formula1>0</formula1>
    </dataValidation>
    <dataValidation allowBlank="1" showInputMessage="1" showErrorMessage="1" sqref="E49:H49 E52:E57 G52:G57 F57 E21:H21 I26:I28 E28:H28 E35:I35 I33:I34 I40:I42 E42:H42 I47:I49" xr:uid="{F4C3073C-857C-4858-B9D4-2CD2E2064522}"/>
    <dataValidation type="list" allowBlank="1" showInputMessage="1" showErrorMessage="1" sqref="E11" xr:uid="{66B5D433-DC0B-459B-90EB-99C8B531C0EB}">
      <formula1>REPORTE</formula1>
    </dataValidation>
    <dataValidation type="list" allowBlank="1" showInputMessage="1" showErrorMessage="1" sqref="E10" xr:uid="{E1A3EE95-BC1A-4E54-8D9A-2A02FEC36906}">
      <formula1>SI</formula1>
    </dataValidation>
  </dataValidations>
  <hyperlinks>
    <hyperlink ref="B9" location="'ANEXO 3'!A1" display="VOLVER AL INDICE" xr:uid="{1FE9BA41-8322-4733-ADC0-D7A711FE3970}"/>
    <hyperlink ref="E68" r:id="rId1" display="jrestrepo@crautonoma.gov.co" xr:uid="{E3592CA0-67A0-4864-AF90-17AE107D8EB9}"/>
  </hyperlinks>
  <pageMargins left="0.25" right="0.25" top="0.75" bottom="0.75" header="0.3" footer="0.3"/>
  <pageSetup paperSize="178" orientation="landscape" horizontalDpi="1200" verticalDpi="1200" r:id="rId2"/>
  <ignoredErrors>
    <ignoredError sqref="F53" unlockedFormula="1"/>
  </ignoredErrors>
  <drawing r:id="rId3"/>
  <legacyDrawing r:id="rId4"/>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rgb="FF92D050"/>
  </sheetPr>
  <dimension ref="A1:U192"/>
  <sheetViews>
    <sheetView showGridLines="0" topLeftCell="A11" zoomScale="98" zoomScaleNormal="98" workbookViewId="0">
      <selection activeCell="H49" sqref="H49"/>
    </sheetView>
  </sheetViews>
  <sheetFormatPr baseColWidth="10" defaultRowHeight="14.4"/>
  <cols>
    <col min="1" max="1" width="1.88671875" customWidth="1"/>
    <col min="2" max="2" width="12.88671875" customWidth="1"/>
    <col min="3" max="3" width="5" style="66" bestFit="1" customWidth="1"/>
    <col min="4" max="4" width="34.88671875" customWidth="1"/>
    <col min="5" max="5" width="18.5546875" customWidth="1"/>
    <col min="6" max="6" width="12.5546875" customWidth="1"/>
    <col min="9" max="9" width="11.5546875" style="110"/>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+'[9]Datos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+'[8]Datos Generales'!C6</f>
        <v>2023-II</v>
      </c>
      <c r="F4" s="320"/>
      <c r="G4" s="320"/>
      <c r="H4" s="320"/>
      <c r="I4" s="320"/>
      <c r="J4" s="320"/>
      <c r="K4" s="320"/>
      <c r="L4" s="321"/>
      <c r="M4" s="321"/>
      <c r="N4" s="321"/>
      <c r="O4" s="321"/>
      <c r="P4" s="322"/>
      <c r="Q4"/>
      <c r="R4"/>
    </row>
    <row r="5" spans="1:21" ht="16.5" customHeight="1" thickBot="1">
      <c r="A5" s="1401" t="s">
        <v>875</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66"/>
      <c r="J6" s="5"/>
      <c r="K6" s="5"/>
    </row>
    <row r="7" spans="1:21" ht="15" thickBot="1">
      <c r="B7" s="63"/>
      <c r="C7" s="65"/>
      <c r="D7" s="5"/>
      <c r="E7" s="14"/>
      <c r="F7" s="5" t="s">
        <v>128</v>
      </c>
      <c r="G7" s="5"/>
      <c r="H7" s="5"/>
      <c r="I7" s="66"/>
      <c r="J7" s="5"/>
      <c r="K7" s="5"/>
    </row>
    <row r="8" spans="1:21" ht="15" thickBot="1">
      <c r="B8" s="144" t="s">
        <v>1178</v>
      </c>
      <c r="C8" s="564">
        <v>2023</v>
      </c>
      <c r="D8" s="170">
        <f>IF(E10="NO APLICA","NO APLICA",IF(E11="NO SE REPORTA","SIN INFORMACION",+G117))</f>
        <v>0.51725670191619921</v>
      </c>
      <c r="E8" s="167"/>
      <c r="F8" s="5" t="s">
        <v>129</v>
      </c>
      <c r="G8" s="5"/>
      <c r="H8" s="5"/>
      <c r="I8" s="66"/>
      <c r="J8" s="5"/>
      <c r="K8" s="5"/>
    </row>
    <row r="9" spans="1:21">
      <c r="B9" s="298" t="s">
        <v>1179</v>
      </c>
      <c r="C9" s="67"/>
      <c r="D9" s="5"/>
      <c r="E9" s="5"/>
      <c r="F9" s="5"/>
      <c r="G9" s="5"/>
      <c r="H9" s="5"/>
      <c r="I9" s="66"/>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23.4" customHeight="1">
      <c r="B12" s="298"/>
      <c r="C12" s="67"/>
      <c r="D12" s="144" t="str">
        <f>IF(E11="SI SE REPORTA","¿Qué programas o proyectos del Plan de Acción están asociados al indicador? ","")</f>
        <v xml:space="preserve">¿Qué programas o proyectos del Plan de Acción están asociados al indicador? </v>
      </c>
      <c r="E12" s="1535" t="s">
        <v>1934</v>
      </c>
      <c r="F12" s="1535"/>
      <c r="G12" s="1535"/>
      <c r="H12" s="1535"/>
      <c r="I12" s="1535"/>
      <c r="J12" s="1535"/>
      <c r="K12" s="1535"/>
      <c r="L12" s="1535"/>
      <c r="M12" s="1535"/>
      <c r="N12" s="1535"/>
      <c r="O12" s="1535"/>
      <c r="P12" s="1535"/>
      <c r="Q12" s="1535"/>
      <c r="R12" s="1535"/>
    </row>
    <row r="13" spans="1:21" ht="21.9" customHeight="1">
      <c r="B13" s="298"/>
      <c r="C13" s="67"/>
      <c r="D13" s="144" t="s">
        <v>1236</v>
      </c>
      <c r="E13" s="1408"/>
      <c r="F13" s="1409"/>
      <c r="G13" s="1409"/>
      <c r="H13" s="1409"/>
      <c r="I13" s="1409"/>
      <c r="J13" s="1409"/>
      <c r="K13" s="1409"/>
      <c r="L13" s="1409"/>
      <c r="M13" s="1409"/>
      <c r="N13" s="1409"/>
      <c r="O13" s="1409"/>
      <c r="P13" s="1409"/>
      <c r="Q13" s="1409"/>
      <c r="R13" s="1410"/>
    </row>
    <row r="14" spans="1:21" ht="6.9" customHeight="1" thickBot="1">
      <c r="B14" s="298"/>
      <c r="C14" s="67"/>
      <c r="D14" s="5"/>
      <c r="E14" s="5"/>
      <c r="F14" s="5"/>
      <c r="G14" s="5"/>
      <c r="H14" s="5"/>
      <c r="I14" s="66"/>
      <c r="J14" s="5"/>
      <c r="K14" s="5"/>
    </row>
    <row r="15" spans="1:21">
      <c r="B15" s="1434" t="s">
        <v>2</v>
      </c>
      <c r="C15" s="68"/>
      <c r="D15" s="1425" t="s">
        <v>3</v>
      </c>
      <c r="E15" s="1426"/>
      <c r="F15" s="1426"/>
      <c r="G15" s="1426"/>
      <c r="H15" s="1426"/>
      <c r="I15" s="1427"/>
      <c r="J15" s="5"/>
      <c r="K15" s="5"/>
    </row>
    <row r="16" spans="1:21">
      <c r="B16" s="1435"/>
      <c r="C16" s="71"/>
      <c r="D16" s="1639" t="s">
        <v>893</v>
      </c>
      <c r="E16" s="1640"/>
      <c r="F16" s="1640"/>
      <c r="G16" s="1640"/>
      <c r="H16" s="1640"/>
      <c r="I16" s="1641"/>
      <c r="J16" s="5"/>
      <c r="K16" s="5"/>
    </row>
    <row r="17" spans="2:11" ht="15" thickBot="1">
      <c r="B17" s="1435"/>
      <c r="C17" s="71"/>
      <c r="D17" s="1416"/>
      <c r="E17" s="1417"/>
      <c r="F17" s="1417"/>
      <c r="G17" s="1417"/>
      <c r="H17" s="1417"/>
      <c r="I17" s="1418"/>
      <c r="J17" s="5"/>
      <c r="K17" s="5"/>
    </row>
    <row r="18" spans="2:11" ht="24.6" thickBot="1">
      <c r="B18" s="1435"/>
      <c r="C18" s="73"/>
      <c r="D18" s="34" t="s">
        <v>2019</v>
      </c>
      <c r="E18" s="541">
        <v>68</v>
      </c>
      <c r="F18" s="5"/>
      <c r="G18" s="5"/>
      <c r="H18" s="5"/>
      <c r="I18" s="259"/>
      <c r="J18" s="5"/>
      <c r="K18" s="5"/>
    </row>
    <row r="19" spans="2:11" ht="36.6" thickBot="1">
      <c r="B19" s="1435"/>
      <c r="C19" s="73"/>
      <c r="D19" s="32" t="s">
        <v>894</v>
      </c>
      <c r="E19" s="541">
        <v>43</v>
      </c>
      <c r="F19" s="5"/>
      <c r="G19" s="5"/>
      <c r="H19" s="5"/>
      <c r="I19" s="259"/>
      <c r="J19" s="5"/>
      <c r="K19" s="5"/>
    </row>
    <row r="20" spans="2:11" ht="15" thickBot="1">
      <c r="B20" s="1435"/>
      <c r="C20" s="71"/>
      <c r="D20" s="1447"/>
      <c r="E20" s="1448"/>
      <c r="F20" s="1448"/>
      <c r="G20" s="1448"/>
      <c r="H20" s="1448"/>
      <c r="I20" s="1449"/>
      <c r="J20" s="5"/>
      <c r="K20" s="5"/>
    </row>
    <row r="21" spans="2:11" ht="15" thickBot="1">
      <c r="B21" s="1435"/>
      <c r="C21" s="73"/>
      <c r="D21" s="34" t="s">
        <v>149</v>
      </c>
      <c r="E21" s="30" t="s">
        <v>19</v>
      </c>
      <c r="F21" s="30" t="s">
        <v>20</v>
      </c>
      <c r="G21" s="30" t="s">
        <v>21</v>
      </c>
      <c r="H21" s="30" t="s">
        <v>22</v>
      </c>
      <c r="I21" s="69" t="s">
        <v>150</v>
      </c>
      <c r="J21" s="5"/>
      <c r="K21" s="5"/>
    </row>
    <row r="22" spans="2:11" ht="36.75" customHeight="1" thickBot="1">
      <c r="B22" s="1435"/>
      <c r="C22" s="73"/>
      <c r="D22" s="32" t="s">
        <v>895</v>
      </c>
      <c r="E22" s="541">
        <v>55</v>
      </c>
      <c r="F22" s="541">
        <v>52</v>
      </c>
      <c r="G22" s="541">
        <v>55</v>
      </c>
      <c r="H22" s="541">
        <v>68</v>
      </c>
      <c r="I22" s="543">
        <f>SUM(E22:H22)</f>
        <v>230</v>
      </c>
      <c r="J22" s="5"/>
      <c r="K22" s="5"/>
    </row>
    <row r="23" spans="2:11" ht="30.75" customHeight="1" thickBot="1">
      <c r="B23" s="1435"/>
      <c r="C23" s="73"/>
      <c r="D23" s="32" t="s">
        <v>896</v>
      </c>
      <c r="E23" s="541">
        <v>36</v>
      </c>
      <c r="F23" s="541">
        <v>52</v>
      </c>
      <c r="G23" s="541">
        <v>55</v>
      </c>
      <c r="H23" s="541">
        <v>43</v>
      </c>
      <c r="I23" s="543">
        <f>SUM(E23:H23)</f>
        <v>186</v>
      </c>
      <c r="J23" s="5"/>
      <c r="K23" s="5"/>
    </row>
    <row r="24" spans="2:11" ht="24.6" thickBot="1">
      <c r="B24" s="1435"/>
      <c r="C24" s="73"/>
      <c r="D24" s="32" t="s">
        <v>897</v>
      </c>
      <c r="E24" s="487">
        <f>+E23/E22</f>
        <v>0.65454545454545454</v>
      </c>
      <c r="F24" s="487">
        <f>+F23/F22</f>
        <v>1</v>
      </c>
      <c r="G24" s="487">
        <f>+G23/G22</f>
        <v>1</v>
      </c>
      <c r="H24" s="487">
        <f>+H23/H22</f>
        <v>0.63235294117647056</v>
      </c>
      <c r="I24" s="487">
        <f>+I23/I22</f>
        <v>0.80869565217391304</v>
      </c>
      <c r="J24" s="5"/>
      <c r="K24" s="5"/>
    </row>
    <row r="25" spans="2:11">
      <c r="B25" s="1435"/>
      <c r="C25" s="71"/>
      <c r="D25" s="1425" t="s">
        <v>898</v>
      </c>
      <c r="E25" s="1426"/>
      <c r="F25" s="1426"/>
      <c r="G25" s="1426"/>
      <c r="H25" s="1426"/>
      <c r="I25" s="1427"/>
      <c r="J25" s="5"/>
      <c r="K25" s="5"/>
    </row>
    <row r="26" spans="2:11" ht="15" thickBot="1">
      <c r="B26" s="1435"/>
      <c r="C26" s="71"/>
      <c r="D26" s="1416"/>
      <c r="E26" s="1417"/>
      <c r="F26" s="1417"/>
      <c r="G26" s="1417"/>
      <c r="H26" s="1417"/>
      <c r="I26" s="1418"/>
      <c r="J26" s="5"/>
      <c r="K26" s="5"/>
    </row>
    <row r="27" spans="2:11" ht="24">
      <c r="B27" s="1435"/>
      <c r="C27" s="73"/>
      <c r="D27" s="1642" t="s">
        <v>899</v>
      </c>
      <c r="E27" s="1597" t="s">
        <v>900</v>
      </c>
      <c r="F27" s="1597" t="s">
        <v>901</v>
      </c>
      <c r="G27" s="1597" t="s">
        <v>902</v>
      </c>
      <c r="H27" s="156" t="s">
        <v>903</v>
      </c>
      <c r="I27" s="259"/>
      <c r="J27" s="5"/>
      <c r="K27" s="5"/>
    </row>
    <row r="28" spans="2:11" ht="15" thickBot="1">
      <c r="B28" s="1435"/>
      <c r="C28" s="73"/>
      <c r="D28" s="1643"/>
      <c r="E28" s="1599"/>
      <c r="F28" s="1599"/>
      <c r="G28" s="1599"/>
      <c r="H28" s="157" t="s">
        <v>904</v>
      </c>
      <c r="I28" s="259"/>
      <c r="J28" s="5"/>
      <c r="K28" s="5"/>
    </row>
    <row r="29" spans="2:11" ht="15" thickBot="1">
      <c r="B29" s="1435"/>
      <c r="C29" s="73"/>
      <c r="D29" s="25" t="s">
        <v>2657</v>
      </c>
      <c r="E29" s="119">
        <v>68</v>
      </c>
      <c r="F29" s="119">
        <v>68</v>
      </c>
      <c r="G29" s="119">
        <v>68</v>
      </c>
      <c r="H29" s="119">
        <v>43</v>
      </c>
      <c r="I29" s="259"/>
      <c r="J29" s="5"/>
      <c r="K29" s="5"/>
    </row>
    <row r="30" spans="2:11" ht="15" thickBot="1">
      <c r="B30" s="1435"/>
      <c r="C30" s="73"/>
      <c r="D30" s="25"/>
      <c r="E30" s="119"/>
      <c r="F30" s="119"/>
      <c r="G30" s="119"/>
      <c r="H30" s="119"/>
      <c r="I30" s="259"/>
      <c r="J30" s="5"/>
      <c r="K30" s="5"/>
    </row>
    <row r="31" spans="2:11" ht="15" thickBot="1">
      <c r="B31" s="1435"/>
      <c r="C31" s="73"/>
      <c r="D31" s="25"/>
      <c r="E31" s="119"/>
      <c r="F31" s="119"/>
      <c r="G31" s="119"/>
      <c r="H31" s="119"/>
      <c r="I31" s="259"/>
      <c r="J31" s="5"/>
      <c r="K31" s="5"/>
    </row>
    <row r="32" spans="2:11" ht="15" thickBot="1">
      <c r="B32" s="1435"/>
      <c r="C32" s="73"/>
      <c r="D32" s="24"/>
      <c r="E32" s="119"/>
      <c r="F32" s="119"/>
      <c r="G32" s="119"/>
      <c r="H32" s="119"/>
      <c r="I32" s="259"/>
      <c r="J32" s="5"/>
      <c r="K32" s="5"/>
    </row>
    <row r="33" spans="2:11" ht="15" thickBot="1">
      <c r="B33" s="1435"/>
      <c r="C33" s="73"/>
      <c r="D33" s="25"/>
      <c r="E33" s="119"/>
      <c r="F33" s="119"/>
      <c r="G33" s="119"/>
      <c r="H33" s="119"/>
      <c r="I33" s="259"/>
      <c r="J33" s="5"/>
      <c r="K33" s="5"/>
    </row>
    <row r="34" spans="2:11" ht="15" thickBot="1">
      <c r="B34" s="1435"/>
      <c r="C34" s="73"/>
      <c r="D34" s="25"/>
      <c r="E34" s="119"/>
      <c r="F34" s="119"/>
      <c r="G34" s="119"/>
      <c r="H34" s="119"/>
      <c r="I34" s="259"/>
      <c r="J34" s="5"/>
      <c r="K34" s="5"/>
    </row>
    <row r="35" spans="2:11" ht="15" thickBot="1">
      <c r="B35" s="1435"/>
      <c r="C35" s="73"/>
      <c r="D35" s="25"/>
      <c r="E35" s="119"/>
      <c r="F35" s="119"/>
      <c r="G35" s="119"/>
      <c r="H35" s="119"/>
      <c r="I35" s="259"/>
      <c r="J35" s="5"/>
      <c r="K35" s="5"/>
    </row>
    <row r="36" spans="2:11" ht="15" thickBot="1">
      <c r="B36" s="1435"/>
      <c r="C36" s="73"/>
      <c r="D36" s="32" t="s">
        <v>150</v>
      </c>
      <c r="E36" s="260">
        <f>SUM(E29:E35)</f>
        <v>68</v>
      </c>
      <c r="F36" s="260">
        <f>SUM(F29:F35)</f>
        <v>68</v>
      </c>
      <c r="G36" s="260">
        <f>SUM(G29:G35)</f>
        <v>68</v>
      </c>
      <c r="H36" s="260">
        <f>SUM(H29:H35)</f>
        <v>43</v>
      </c>
      <c r="I36" s="259"/>
      <c r="J36" s="5"/>
      <c r="K36" s="5"/>
    </row>
    <row r="37" spans="2:11">
      <c r="B37" s="1435"/>
      <c r="C37" s="71"/>
      <c r="D37" s="1416"/>
      <c r="E37" s="1417"/>
      <c r="F37" s="1417"/>
      <c r="G37" s="1417"/>
      <c r="H37" s="1417"/>
      <c r="I37" s="1418"/>
      <c r="J37" s="5"/>
      <c r="K37" s="5"/>
    </row>
    <row r="38" spans="2:11">
      <c r="B38" s="1435"/>
      <c r="C38" s="71"/>
      <c r="D38" s="1639" t="s">
        <v>905</v>
      </c>
      <c r="E38" s="1640"/>
      <c r="F38" s="1640"/>
      <c r="G38" s="1640"/>
      <c r="H38" s="1640"/>
      <c r="I38" s="1641"/>
      <c r="J38" s="5"/>
      <c r="K38" s="5"/>
    </row>
    <row r="39" spans="2:11" ht="15" thickBot="1">
      <c r="B39" s="1435"/>
      <c r="C39" s="71"/>
      <c r="D39" s="1416"/>
      <c r="E39" s="1417"/>
      <c r="F39" s="1417"/>
      <c r="G39" s="1417"/>
      <c r="H39" s="1417"/>
      <c r="I39" s="1418"/>
      <c r="J39" s="5"/>
      <c r="K39" s="5"/>
    </row>
    <row r="40" spans="2:11" ht="15" thickBot="1">
      <c r="B40" s="1435"/>
      <c r="C40" s="73"/>
      <c r="D40" s="34" t="s">
        <v>149</v>
      </c>
      <c r="E40" s="30" t="s">
        <v>906</v>
      </c>
      <c r="F40" s="5"/>
      <c r="G40" s="5"/>
      <c r="H40" s="5"/>
      <c r="I40" s="259"/>
      <c r="J40" s="5"/>
      <c r="K40" s="5"/>
    </row>
    <row r="41" spans="2:11" ht="15" thickBot="1">
      <c r="B41" s="1435"/>
      <c r="C41" s="73"/>
      <c r="D41" s="32" t="s">
        <v>2020</v>
      </c>
      <c r="E41" s="542">
        <v>188</v>
      </c>
      <c r="F41" s="5"/>
      <c r="G41" s="5"/>
      <c r="H41" s="5"/>
      <c r="I41" s="259"/>
      <c r="J41" s="5"/>
      <c r="K41" s="5"/>
    </row>
    <row r="42" spans="2:11" ht="24.6" thickBot="1">
      <c r="B42" s="1435"/>
      <c r="C42" s="73"/>
      <c r="D42" s="32" t="s">
        <v>2021</v>
      </c>
      <c r="E42" s="857">
        <v>188</v>
      </c>
      <c r="F42" s="5"/>
      <c r="G42" s="5"/>
      <c r="H42" s="5"/>
      <c r="I42" s="259"/>
      <c r="J42" s="5"/>
      <c r="K42" s="5"/>
    </row>
    <row r="43" spans="2:11" ht="24.6" thickBot="1">
      <c r="B43" s="1435"/>
      <c r="C43" s="73"/>
      <c r="D43" s="32" t="s">
        <v>2022</v>
      </c>
      <c r="E43" s="857">
        <v>188</v>
      </c>
      <c r="F43" s="5"/>
      <c r="G43" s="5"/>
      <c r="H43" s="5"/>
      <c r="I43" s="259"/>
      <c r="J43" s="5"/>
      <c r="K43" s="5"/>
    </row>
    <row r="44" spans="2:11">
      <c r="B44" s="1435"/>
      <c r="C44" s="71"/>
      <c r="D44" s="1416"/>
      <c r="E44" s="1417"/>
      <c r="F44" s="1417"/>
      <c r="G44" s="1417"/>
      <c r="H44" s="1417"/>
      <c r="I44" s="1418"/>
      <c r="J44" s="5"/>
      <c r="K44" s="5"/>
    </row>
    <row r="45" spans="2:11">
      <c r="B45" s="1435"/>
      <c r="C45" s="71"/>
      <c r="D45" s="1416" t="s">
        <v>907</v>
      </c>
      <c r="E45" s="1417"/>
      <c r="F45" s="1417"/>
      <c r="G45" s="1417"/>
      <c r="H45" s="1417"/>
      <c r="I45" s="1418"/>
      <c r="J45" s="5"/>
      <c r="K45" s="5"/>
    </row>
    <row r="46" spans="2:11" ht="15" thickBot="1">
      <c r="B46" s="1435"/>
      <c r="C46" s="71"/>
      <c r="D46" s="1447"/>
      <c r="E46" s="1448"/>
      <c r="F46" s="1448"/>
      <c r="G46" s="1448"/>
      <c r="H46" s="1448"/>
      <c r="I46" s="1449"/>
      <c r="J46" s="5"/>
      <c r="K46" s="5"/>
    </row>
    <row r="47" spans="2:11" ht="15" thickBot="1">
      <c r="B47" s="1435"/>
      <c r="C47" s="73"/>
      <c r="D47" s="34" t="s">
        <v>149</v>
      </c>
      <c r="E47" s="30" t="s">
        <v>19</v>
      </c>
      <c r="F47" s="30" t="s">
        <v>20</v>
      </c>
      <c r="G47" s="30" t="s">
        <v>21</v>
      </c>
      <c r="H47" s="30" t="s">
        <v>22</v>
      </c>
      <c r="I47" s="69" t="s">
        <v>150</v>
      </c>
      <c r="J47" s="5"/>
      <c r="K47" s="5"/>
    </row>
    <row r="48" spans="2:11" ht="24.6" thickBot="1">
      <c r="B48" s="1435"/>
      <c r="C48" s="73"/>
      <c r="D48" s="32" t="s">
        <v>908</v>
      </c>
      <c r="E48" s="541">
        <v>39</v>
      </c>
      <c r="F48" s="541">
        <v>170</v>
      </c>
      <c r="G48" s="541">
        <v>180</v>
      </c>
      <c r="H48" s="541">
        <v>188</v>
      </c>
      <c r="I48" s="544">
        <f>SUM(E48:H48)</f>
        <v>577</v>
      </c>
      <c r="J48" s="5"/>
      <c r="K48" s="5"/>
    </row>
    <row r="49" spans="2:11" ht="24.6" thickBot="1">
      <c r="B49" s="1435"/>
      <c r="C49" s="73"/>
      <c r="D49" s="32" t="s">
        <v>909</v>
      </c>
      <c r="E49" s="541">
        <v>34</v>
      </c>
      <c r="F49" s="541">
        <v>163</v>
      </c>
      <c r="G49" s="541">
        <v>144</v>
      </c>
      <c r="H49" s="541">
        <v>98</v>
      </c>
      <c r="I49" s="544">
        <f>SUM(E49:H49)</f>
        <v>439</v>
      </c>
      <c r="J49" s="5"/>
      <c r="K49" s="5"/>
    </row>
    <row r="50" spans="2:11" ht="24.6" thickBot="1">
      <c r="B50" s="1435"/>
      <c r="C50" s="73"/>
      <c r="D50" s="32" t="s">
        <v>910</v>
      </c>
      <c r="E50" s="148">
        <f>+E49/E48</f>
        <v>0.87179487179487181</v>
      </c>
      <c r="F50" s="148">
        <f>+F49/F48</f>
        <v>0.95882352941176474</v>
      </c>
      <c r="G50" s="148">
        <f>+G49/G48</f>
        <v>0.8</v>
      </c>
      <c r="H50" s="148">
        <f>+H49/H48</f>
        <v>0.52127659574468088</v>
      </c>
      <c r="I50" s="148">
        <f>+I49/I48</f>
        <v>0.76083188908145583</v>
      </c>
      <c r="J50" s="5"/>
      <c r="K50" s="5"/>
    </row>
    <row r="51" spans="2:11">
      <c r="B51" s="1435"/>
      <c r="C51" s="71"/>
      <c r="D51" s="1425"/>
      <c r="E51" s="1426"/>
      <c r="F51" s="1426"/>
      <c r="G51" s="1426"/>
      <c r="H51" s="1426"/>
      <c r="I51" s="1427"/>
      <c r="J51" s="5"/>
      <c r="K51" s="5"/>
    </row>
    <row r="52" spans="2:11">
      <c r="B52" s="1435"/>
      <c r="C52" s="71"/>
      <c r="D52" s="1416" t="s">
        <v>911</v>
      </c>
      <c r="E52" s="1417"/>
      <c r="F52" s="1417"/>
      <c r="G52" s="1417"/>
      <c r="H52" s="1417"/>
      <c r="I52" s="1418"/>
      <c r="J52" s="5"/>
      <c r="K52" s="5"/>
    </row>
    <row r="53" spans="2:11" ht="15" thickBot="1">
      <c r="B53" s="1435"/>
      <c r="C53" s="71"/>
      <c r="D53" s="1698"/>
      <c r="E53" s="1699"/>
      <c r="F53" s="1699"/>
      <c r="G53" s="1699"/>
      <c r="H53" s="1699"/>
      <c r="I53" s="1700"/>
      <c r="J53" s="5"/>
      <c r="K53" s="5"/>
    </row>
    <row r="54" spans="2:11" ht="15" thickBot="1">
      <c r="B54" s="1435"/>
      <c r="C54" s="73"/>
      <c r="D54" s="34" t="s">
        <v>149</v>
      </c>
      <c r="E54" s="30" t="s">
        <v>19</v>
      </c>
      <c r="F54" s="30" t="s">
        <v>20</v>
      </c>
      <c r="G54" s="30" t="s">
        <v>21</v>
      </c>
      <c r="H54" s="30" t="s">
        <v>22</v>
      </c>
      <c r="I54" s="69" t="s">
        <v>150</v>
      </c>
      <c r="J54" s="5"/>
      <c r="K54" s="5"/>
    </row>
    <row r="55" spans="2:11" ht="24.6" thickBot="1">
      <c r="B55" s="1435"/>
      <c r="C55" s="73"/>
      <c r="D55" s="32" t="s">
        <v>912</v>
      </c>
      <c r="E55" s="541"/>
      <c r="F55" s="541"/>
      <c r="G55" s="119"/>
      <c r="H55" s="119"/>
      <c r="I55" s="544">
        <f>SUM(E55:H55)</f>
        <v>0</v>
      </c>
      <c r="J55" s="5"/>
      <c r="K55" s="5"/>
    </row>
    <row r="56" spans="2:11" ht="15" thickBot="1">
      <c r="B56" s="1435"/>
      <c r="C56" s="73"/>
      <c r="D56" s="32" t="s">
        <v>913</v>
      </c>
      <c r="E56" s="541"/>
      <c r="F56" s="541"/>
      <c r="G56" s="119"/>
      <c r="H56" s="119"/>
      <c r="I56" s="544">
        <f>SUM(E56:H56)</f>
        <v>0</v>
      </c>
      <c r="J56" s="5"/>
      <c r="K56" s="5"/>
    </row>
    <row r="57" spans="2:11" ht="24.6" thickBot="1">
      <c r="B57" s="1435"/>
      <c r="C57" s="73"/>
      <c r="D57" s="32" t="s">
        <v>914</v>
      </c>
      <c r="E57" s="148" t="e">
        <f>+E56/E55</f>
        <v>#DIV/0!</v>
      </c>
      <c r="F57" s="148" t="e">
        <f>+F56/F55</f>
        <v>#DIV/0!</v>
      </c>
      <c r="G57" s="148" t="e">
        <f>+G56/G55</f>
        <v>#DIV/0!</v>
      </c>
      <c r="H57" s="148" t="e">
        <f>+H56/H55</f>
        <v>#DIV/0!</v>
      </c>
      <c r="I57" s="148" t="e">
        <f>+I56/I55</f>
        <v>#DIV/0!</v>
      </c>
      <c r="J57" s="5"/>
      <c r="K57" s="5"/>
    </row>
    <row r="58" spans="2:11">
      <c r="B58" s="1435"/>
      <c r="C58" s="71"/>
      <c r="D58" s="1425"/>
      <c r="E58" s="1426"/>
      <c r="F58" s="1426"/>
      <c r="G58" s="1426"/>
      <c r="H58" s="1426"/>
      <c r="I58" s="1427"/>
      <c r="J58" s="5"/>
      <c r="K58" s="5"/>
    </row>
    <row r="59" spans="2:11">
      <c r="B59" s="1435"/>
      <c r="C59" s="71"/>
      <c r="D59" s="1639" t="s">
        <v>1221</v>
      </c>
      <c r="E59" s="1640"/>
      <c r="F59" s="1640"/>
      <c r="G59" s="1640"/>
      <c r="H59" s="1640"/>
      <c r="I59" s="1641"/>
      <c r="J59" s="5"/>
      <c r="K59" s="5"/>
    </row>
    <row r="60" spans="2:11" ht="15" thickBot="1">
      <c r="B60" s="1435"/>
      <c r="C60" s="71"/>
      <c r="D60" s="1416"/>
      <c r="E60" s="1417"/>
      <c r="F60" s="1417"/>
      <c r="G60" s="1417"/>
      <c r="H60" s="1417"/>
      <c r="I60" s="1418"/>
      <c r="J60" s="5"/>
      <c r="K60" s="5"/>
    </row>
    <row r="61" spans="2:11" ht="15" thickBot="1">
      <c r="B61" s="1435"/>
      <c r="C61" s="73"/>
      <c r="D61" s="34" t="s">
        <v>149</v>
      </c>
      <c r="E61" s="30" t="s">
        <v>906</v>
      </c>
      <c r="F61" s="5"/>
      <c r="G61" s="5"/>
      <c r="H61" s="5"/>
      <c r="I61" s="259"/>
      <c r="J61" s="5"/>
      <c r="K61" s="5"/>
    </row>
    <row r="62" spans="2:11" ht="24.6" thickBot="1">
      <c r="B62" s="1435"/>
      <c r="C62" s="73"/>
      <c r="D62" s="32" t="s">
        <v>2658</v>
      </c>
      <c r="E62" s="541">
        <v>152</v>
      </c>
      <c r="F62" s="5"/>
      <c r="G62" s="5"/>
      <c r="H62" s="5"/>
      <c r="I62" s="259"/>
      <c r="J62" s="5"/>
      <c r="K62" s="5"/>
    </row>
    <row r="63" spans="2:11" ht="24.6" thickBot="1">
      <c r="B63" s="1435"/>
      <c r="C63" s="73"/>
      <c r="D63" s="32" t="s">
        <v>2659</v>
      </c>
      <c r="E63" s="541">
        <v>152</v>
      </c>
      <c r="F63" s="5"/>
      <c r="G63" s="5"/>
      <c r="H63" s="5"/>
      <c r="I63" s="259"/>
      <c r="J63" s="5"/>
      <c r="K63" s="5"/>
    </row>
    <row r="64" spans="2:11" ht="15" thickBot="1">
      <c r="B64" s="1435"/>
      <c r="C64" s="73"/>
      <c r="D64" s="32" t="s">
        <v>2660</v>
      </c>
      <c r="E64" s="541">
        <v>152</v>
      </c>
      <c r="F64" s="5"/>
      <c r="G64" s="5"/>
      <c r="H64" s="5"/>
      <c r="I64" s="259"/>
      <c r="J64" s="5"/>
      <c r="K64" s="5"/>
    </row>
    <row r="65" spans="2:11">
      <c r="B65" s="1435"/>
      <c r="C65" s="71"/>
      <c r="D65" s="1416"/>
      <c r="E65" s="1417"/>
      <c r="F65" s="1417"/>
      <c r="G65" s="1417"/>
      <c r="H65" s="1417"/>
      <c r="I65" s="1418"/>
      <c r="J65" s="5"/>
      <c r="K65" s="5"/>
    </row>
    <row r="66" spans="2:11">
      <c r="B66" s="1435"/>
      <c r="C66" s="71"/>
      <c r="D66" s="1416" t="s">
        <v>915</v>
      </c>
      <c r="E66" s="1417"/>
      <c r="F66" s="1417"/>
      <c r="G66" s="1417"/>
      <c r="H66" s="1417"/>
      <c r="I66" s="1418"/>
      <c r="J66" s="5"/>
      <c r="K66" s="5"/>
    </row>
    <row r="67" spans="2:11" ht="15" thickBot="1">
      <c r="B67" s="1435"/>
      <c r="C67" s="71"/>
      <c r="D67" s="1447"/>
      <c r="E67" s="1448"/>
      <c r="F67" s="1448"/>
      <c r="G67" s="1448"/>
      <c r="H67" s="1448"/>
      <c r="I67" s="1449"/>
      <c r="J67" s="5"/>
      <c r="K67" s="5"/>
    </row>
    <row r="68" spans="2:11" ht="15" thickBot="1">
      <c r="B68" s="1435"/>
      <c r="C68" s="73"/>
      <c r="D68" s="34" t="s">
        <v>149</v>
      </c>
      <c r="E68" s="30" t="s">
        <v>19</v>
      </c>
      <c r="F68" s="30" t="s">
        <v>20</v>
      </c>
      <c r="G68" s="30" t="s">
        <v>21</v>
      </c>
      <c r="H68" s="30" t="s">
        <v>22</v>
      </c>
      <c r="I68" s="69" t="s">
        <v>150</v>
      </c>
      <c r="J68" s="5"/>
      <c r="K68" s="5"/>
    </row>
    <row r="69" spans="2:11" ht="24.6" thickBot="1">
      <c r="B69" s="1435"/>
      <c r="C69" s="73"/>
      <c r="D69" s="32" t="s">
        <v>916</v>
      </c>
      <c r="E69" s="541">
        <v>35</v>
      </c>
      <c r="F69" s="541">
        <v>137</v>
      </c>
      <c r="G69" s="541">
        <v>142</v>
      </c>
      <c r="H69" s="541">
        <v>152</v>
      </c>
      <c r="I69" s="544">
        <f>SUM(E69:H69)</f>
        <v>466</v>
      </c>
      <c r="J69" s="5"/>
      <c r="K69" s="5"/>
    </row>
    <row r="70" spans="2:11" ht="24.6" thickBot="1">
      <c r="B70" s="1435"/>
      <c r="C70" s="73"/>
      <c r="D70" s="32" t="s">
        <v>917</v>
      </c>
      <c r="E70" s="541">
        <v>36</v>
      </c>
      <c r="F70" s="541">
        <v>121</v>
      </c>
      <c r="G70" s="541">
        <v>110</v>
      </c>
      <c r="H70" s="541">
        <v>85</v>
      </c>
      <c r="I70" s="544">
        <f>SUM(E70:H70)</f>
        <v>352</v>
      </c>
      <c r="J70" s="5"/>
      <c r="K70" s="5"/>
    </row>
    <row r="71" spans="2:11" ht="24.6" thickBot="1">
      <c r="B71" s="1435"/>
      <c r="C71" s="73"/>
      <c r="D71" s="32" t="s">
        <v>918</v>
      </c>
      <c r="E71" s="487">
        <f>+E70/E69</f>
        <v>1.0285714285714285</v>
      </c>
      <c r="F71" s="487">
        <f>+F70/F69</f>
        <v>0.88321167883211682</v>
      </c>
      <c r="G71" s="487">
        <f>+G70/G69</f>
        <v>0.77464788732394363</v>
      </c>
      <c r="H71" s="487">
        <f>+H70/H69</f>
        <v>0.55921052631578949</v>
      </c>
      <c r="I71" s="487">
        <f>+I70/I69</f>
        <v>0.75536480686695284</v>
      </c>
      <c r="J71" s="5"/>
      <c r="K71" s="5"/>
    </row>
    <row r="72" spans="2:11" ht="15" thickBot="1">
      <c r="B72" s="1435"/>
      <c r="C72" s="80"/>
      <c r="D72" s="107"/>
      <c r="E72" s="261"/>
      <c r="F72" s="261"/>
      <c r="G72" s="261"/>
      <c r="H72" s="261"/>
      <c r="I72" s="262"/>
      <c r="J72" s="5"/>
      <c r="K72" s="5"/>
    </row>
    <row r="73" spans="2:11">
      <c r="B73" s="1435"/>
      <c r="C73" s="71"/>
      <c r="D73" s="1425" t="s">
        <v>919</v>
      </c>
      <c r="E73" s="1426"/>
      <c r="F73" s="1426"/>
      <c r="G73" s="1426"/>
      <c r="H73" s="1426"/>
      <c r="I73" s="1427"/>
      <c r="J73" s="5"/>
      <c r="K73" s="5"/>
    </row>
    <row r="74" spans="2:11" ht="15.75" customHeight="1" thickBot="1">
      <c r="B74" s="1435"/>
      <c r="C74" s="71"/>
      <c r="D74" s="1698"/>
      <c r="E74" s="1699"/>
      <c r="F74" s="1699"/>
      <c r="G74" s="1699"/>
      <c r="H74" s="1699"/>
      <c r="I74" s="1700"/>
      <c r="J74" s="5"/>
      <c r="K74" s="5"/>
    </row>
    <row r="75" spans="2:11" ht="15" thickBot="1">
      <c r="B75" s="1435"/>
      <c r="C75" s="73"/>
      <c r="D75" s="34" t="s">
        <v>149</v>
      </c>
      <c r="E75" s="30" t="s">
        <v>19</v>
      </c>
      <c r="F75" s="30" t="s">
        <v>20</v>
      </c>
      <c r="G75" s="30" t="s">
        <v>21</v>
      </c>
      <c r="H75" s="30" t="s">
        <v>22</v>
      </c>
      <c r="I75" s="69" t="s">
        <v>150</v>
      </c>
      <c r="J75" s="5"/>
      <c r="K75" s="5"/>
    </row>
    <row r="76" spans="2:11" ht="24.6" thickBot="1">
      <c r="B76" s="1435"/>
      <c r="C76" s="73"/>
      <c r="D76" s="32" t="s">
        <v>920</v>
      </c>
      <c r="E76" s="541"/>
      <c r="F76" s="541"/>
      <c r="G76" s="541"/>
      <c r="H76" s="541"/>
      <c r="I76" s="544">
        <f>SUM(E76:H76)</f>
        <v>0</v>
      </c>
      <c r="J76" s="5"/>
      <c r="K76" s="5"/>
    </row>
    <row r="77" spans="2:11" ht="24.6" thickBot="1">
      <c r="B77" s="1435"/>
      <c r="C77" s="73"/>
      <c r="D77" s="32" t="s">
        <v>921</v>
      </c>
      <c r="E77" s="541"/>
      <c r="F77" s="541"/>
      <c r="G77" s="541"/>
      <c r="H77" s="541"/>
      <c r="I77" s="544">
        <f>SUM(E77:H77)</f>
        <v>0</v>
      </c>
      <c r="J77" s="5"/>
      <c r="K77" s="5"/>
    </row>
    <row r="78" spans="2:11" ht="24.6" thickBot="1">
      <c r="B78" s="1435"/>
      <c r="C78" s="73"/>
      <c r="D78" s="32" t="s">
        <v>922</v>
      </c>
      <c r="E78" s="487" t="e">
        <f>+E77/E76</f>
        <v>#DIV/0!</v>
      </c>
      <c r="F78" s="487" t="e">
        <f>+F77/F76</f>
        <v>#DIV/0!</v>
      </c>
      <c r="G78" s="487" t="e">
        <f>+G77/G76</f>
        <v>#DIV/0!</v>
      </c>
      <c r="H78" s="487" t="e">
        <f>+H77/H76</f>
        <v>#DIV/0!</v>
      </c>
      <c r="I78" s="487" t="e">
        <f>+I77/I76</f>
        <v>#DIV/0!</v>
      </c>
      <c r="J78" s="5"/>
      <c r="K78" s="5"/>
    </row>
    <row r="79" spans="2:11">
      <c r="B79" s="1435"/>
      <c r="C79" s="71"/>
      <c r="D79" s="1425"/>
      <c r="E79" s="1426"/>
      <c r="F79" s="1426"/>
      <c r="G79" s="1426"/>
      <c r="H79" s="1426"/>
      <c r="I79" s="1427"/>
      <c r="J79" s="5"/>
      <c r="K79" s="5"/>
    </row>
    <row r="80" spans="2:11" ht="15" thickBot="1">
      <c r="B80" s="1435"/>
      <c r="C80" s="71"/>
      <c r="D80" s="1639" t="s">
        <v>923</v>
      </c>
      <c r="E80" s="1640"/>
      <c r="F80" s="1640"/>
      <c r="G80" s="1640"/>
      <c r="H80" s="1640"/>
      <c r="I80" s="1641"/>
      <c r="J80" s="5"/>
      <c r="K80" s="5"/>
    </row>
    <row r="81" spans="2:11" ht="15" thickBot="1">
      <c r="B81" s="1435"/>
      <c r="C81" s="73"/>
      <c r="D81" s="34" t="s">
        <v>149</v>
      </c>
      <c r="E81" s="30" t="s">
        <v>906</v>
      </c>
      <c r="F81" s="5"/>
      <c r="G81" s="5"/>
      <c r="H81" s="5"/>
      <c r="I81" s="259"/>
      <c r="J81" s="5"/>
      <c r="K81" s="5"/>
    </row>
    <row r="82" spans="2:11" ht="24.6" thickBot="1">
      <c r="B82" s="1435"/>
      <c r="C82" s="73"/>
      <c r="D82" s="32" t="s">
        <v>2023</v>
      </c>
      <c r="E82" s="541">
        <v>108</v>
      </c>
      <c r="F82" s="5"/>
      <c r="G82" s="5"/>
      <c r="H82" s="5"/>
      <c r="I82" s="259"/>
      <c r="J82" s="5"/>
      <c r="K82" s="5"/>
    </row>
    <row r="83" spans="2:11" ht="24.6" thickBot="1">
      <c r="B83" s="1435"/>
      <c r="C83" s="73"/>
      <c r="D83" s="32" t="s">
        <v>2024</v>
      </c>
      <c r="E83" s="541">
        <v>108</v>
      </c>
      <c r="F83" s="5"/>
      <c r="G83" s="5"/>
      <c r="H83" s="5"/>
      <c r="I83" s="259"/>
      <c r="J83" s="5"/>
      <c r="K83" s="5"/>
    </row>
    <row r="84" spans="2:11">
      <c r="B84" s="1435"/>
      <c r="C84" s="71"/>
      <c r="D84" s="1416"/>
      <c r="E84" s="1417"/>
      <c r="F84" s="1417"/>
      <c r="G84" s="1417"/>
      <c r="H84" s="1417"/>
      <c r="I84" s="1418"/>
      <c r="J84" s="5"/>
      <c r="K84" s="5"/>
    </row>
    <row r="85" spans="2:11" ht="15" thickBot="1">
      <c r="B85" s="1435"/>
      <c r="C85" s="71"/>
      <c r="D85" s="1447" t="s">
        <v>924</v>
      </c>
      <c r="E85" s="1448"/>
      <c r="F85" s="1448"/>
      <c r="G85" s="1448"/>
      <c r="H85" s="1448"/>
      <c r="I85" s="1449"/>
      <c r="J85" s="5"/>
      <c r="K85" s="5"/>
    </row>
    <row r="86" spans="2:11" ht="15" thickBot="1">
      <c r="B86" s="1435"/>
      <c r="C86" s="73"/>
      <c r="D86" s="34" t="s">
        <v>149</v>
      </c>
      <c r="E86" s="30" t="s">
        <v>19</v>
      </c>
      <c r="F86" s="30" t="s">
        <v>20</v>
      </c>
      <c r="G86" s="30" t="s">
        <v>21</v>
      </c>
      <c r="H86" s="30" t="s">
        <v>22</v>
      </c>
      <c r="I86" s="69" t="s">
        <v>150</v>
      </c>
      <c r="J86" s="5"/>
      <c r="K86" s="5"/>
    </row>
    <row r="87" spans="2:11" ht="36.6" thickBot="1">
      <c r="B87" s="1435"/>
      <c r="C87" s="73"/>
      <c r="D87" s="32" t="s">
        <v>925</v>
      </c>
      <c r="E87" s="541">
        <v>60</v>
      </c>
      <c r="F87" s="541">
        <v>93</v>
      </c>
      <c r="G87" s="541">
        <v>108</v>
      </c>
      <c r="H87" s="541">
        <v>174</v>
      </c>
      <c r="I87" s="544">
        <f>SUM(E87:H87)</f>
        <v>435</v>
      </c>
      <c r="J87" s="5"/>
      <c r="K87" s="5"/>
    </row>
    <row r="88" spans="2:11" ht="24.6" thickBot="1">
      <c r="B88" s="1435"/>
      <c r="C88" s="73"/>
      <c r="D88" s="32" t="s">
        <v>926</v>
      </c>
      <c r="E88" s="541">
        <v>43</v>
      </c>
      <c r="F88" s="541">
        <v>63</v>
      </c>
      <c r="G88" s="541">
        <v>80</v>
      </c>
      <c r="H88" s="541">
        <v>46</v>
      </c>
      <c r="I88" s="544">
        <f>SUM(E88:H88)</f>
        <v>232</v>
      </c>
      <c r="J88" s="5"/>
      <c r="K88" s="5"/>
    </row>
    <row r="89" spans="2:11" ht="24.6" thickBot="1">
      <c r="B89" s="1435"/>
      <c r="C89" s="73"/>
      <c r="D89" s="32" t="s">
        <v>927</v>
      </c>
      <c r="E89" s="487">
        <f>+E88/E87</f>
        <v>0.71666666666666667</v>
      </c>
      <c r="F89" s="487">
        <f>+F88/F87</f>
        <v>0.67741935483870963</v>
      </c>
      <c r="G89" s="487">
        <f>+G88/G87</f>
        <v>0.7407407407407407</v>
      </c>
      <c r="H89" s="487">
        <f>+H88/H87</f>
        <v>0.26436781609195403</v>
      </c>
      <c r="I89" s="487">
        <f>+I88/I87</f>
        <v>0.53333333333333333</v>
      </c>
      <c r="J89" s="5"/>
      <c r="K89" s="5"/>
    </row>
    <row r="90" spans="2:11">
      <c r="B90" s="1435"/>
      <c r="C90" s="71"/>
      <c r="D90" s="1425"/>
      <c r="E90" s="1426"/>
      <c r="F90" s="1426"/>
      <c r="G90" s="1426"/>
      <c r="H90" s="1426"/>
      <c r="I90" s="1427"/>
      <c r="J90" s="5"/>
      <c r="K90" s="5"/>
    </row>
    <row r="91" spans="2:11">
      <c r="B91" s="1435"/>
      <c r="C91" s="71"/>
      <c r="D91" s="1416" t="s">
        <v>928</v>
      </c>
      <c r="E91" s="1417"/>
      <c r="F91" s="1417"/>
      <c r="G91" s="1417"/>
      <c r="H91" s="1417"/>
      <c r="I91" s="1418"/>
      <c r="J91" s="5"/>
      <c r="K91" s="5"/>
    </row>
    <row r="92" spans="2:11" ht="15" thickBot="1">
      <c r="B92" s="1435"/>
      <c r="C92" s="71"/>
      <c r="D92" s="1698"/>
      <c r="E92" s="1699"/>
      <c r="F92" s="1699"/>
      <c r="G92" s="1699"/>
      <c r="H92" s="1699"/>
      <c r="I92" s="1700"/>
      <c r="J92" s="5"/>
      <c r="K92" s="5"/>
    </row>
    <row r="93" spans="2:11" ht="15" thickBot="1">
      <c r="B93" s="1435"/>
      <c r="C93" s="73"/>
      <c r="D93" s="34" t="s">
        <v>149</v>
      </c>
      <c r="E93" s="30" t="s">
        <v>19</v>
      </c>
      <c r="F93" s="30" t="s">
        <v>20</v>
      </c>
      <c r="G93" s="30" t="s">
        <v>21</v>
      </c>
      <c r="H93" s="30" t="s">
        <v>22</v>
      </c>
      <c r="I93" s="69" t="s">
        <v>150</v>
      </c>
      <c r="J93" s="5"/>
      <c r="K93" s="5"/>
    </row>
    <row r="94" spans="2:11" ht="24.6" thickBot="1">
      <c r="B94" s="1435"/>
      <c r="C94" s="73"/>
      <c r="D94" s="32" t="s">
        <v>929</v>
      </c>
      <c r="E94" s="541"/>
      <c r="F94" s="541"/>
      <c r="G94" s="541"/>
      <c r="H94" s="541"/>
      <c r="I94" s="544">
        <f>SUM(E94:H94)</f>
        <v>0</v>
      </c>
      <c r="J94" s="5"/>
      <c r="K94" s="5"/>
    </row>
    <row r="95" spans="2:11" ht="24.6" thickBot="1">
      <c r="B95" s="1435"/>
      <c r="C95" s="73"/>
      <c r="D95" s="32" t="s">
        <v>930</v>
      </c>
      <c r="E95" s="541"/>
      <c r="F95" s="541"/>
      <c r="G95" s="541"/>
      <c r="H95" s="541"/>
      <c r="I95" s="544">
        <f>SUM(E95:H95)</f>
        <v>0</v>
      </c>
      <c r="J95" s="5"/>
      <c r="K95" s="5"/>
    </row>
    <row r="96" spans="2:11" ht="24.6" thickBot="1">
      <c r="B96" s="1435"/>
      <c r="C96" s="73"/>
      <c r="D96" s="32" t="s">
        <v>931</v>
      </c>
      <c r="E96" s="487" t="e">
        <f>+E95/E94</f>
        <v>#DIV/0!</v>
      </c>
      <c r="F96" s="487" t="e">
        <f>+F95/F94</f>
        <v>#DIV/0!</v>
      </c>
      <c r="G96" s="487" t="e">
        <f>+G95/G94</f>
        <v>#DIV/0!</v>
      </c>
      <c r="H96" s="487" t="e">
        <f>+H95/H94</f>
        <v>#DIV/0!</v>
      </c>
      <c r="I96" s="487" t="e">
        <f>+I95/I94</f>
        <v>#DIV/0!</v>
      </c>
      <c r="J96" s="5"/>
      <c r="K96" s="5"/>
    </row>
    <row r="97" spans="2:11">
      <c r="B97" s="1435"/>
      <c r="C97" s="71"/>
      <c r="D97" s="1425"/>
      <c r="E97" s="1426"/>
      <c r="F97" s="1426"/>
      <c r="G97" s="1426"/>
      <c r="H97" s="1426"/>
      <c r="I97" s="1427"/>
      <c r="J97" s="5"/>
      <c r="K97" s="5"/>
    </row>
    <row r="98" spans="2:11">
      <c r="B98" s="1435"/>
      <c r="C98" s="71"/>
      <c r="D98" s="1639" t="s">
        <v>932</v>
      </c>
      <c r="E98" s="1640"/>
      <c r="F98" s="1640"/>
      <c r="G98" s="1640"/>
      <c r="H98" s="1640"/>
      <c r="I98" s="1641"/>
      <c r="J98" s="5"/>
      <c r="K98" s="5"/>
    </row>
    <row r="99" spans="2:11" ht="15" thickBot="1">
      <c r="B99" s="1435"/>
      <c r="C99" s="71"/>
      <c r="D99" s="1416"/>
      <c r="E99" s="1417"/>
      <c r="F99" s="1417"/>
      <c r="G99" s="1417"/>
      <c r="H99" s="1417"/>
      <c r="I99" s="1418"/>
      <c r="J99" s="5"/>
      <c r="K99" s="5"/>
    </row>
    <row r="100" spans="2:11" ht="15" thickBot="1">
      <c r="B100" s="1435"/>
      <c r="C100" s="73"/>
      <c r="D100" s="34" t="s">
        <v>149</v>
      </c>
      <c r="E100" s="30" t="s">
        <v>906</v>
      </c>
      <c r="F100" s="5"/>
      <c r="G100" s="5"/>
      <c r="H100" s="5"/>
      <c r="I100" s="259"/>
      <c r="J100" s="5"/>
      <c r="K100" s="5"/>
    </row>
    <row r="101" spans="2:11" ht="24.6" thickBot="1">
      <c r="B101" s="1435"/>
      <c r="C101" s="73"/>
      <c r="D101" s="32" t="s">
        <v>2025</v>
      </c>
      <c r="E101" s="541">
        <v>63</v>
      </c>
      <c r="F101" s="5"/>
      <c r="G101" s="5"/>
      <c r="H101" s="5"/>
      <c r="I101" s="259"/>
      <c r="J101" s="5"/>
      <c r="K101" s="5"/>
    </row>
    <row r="102" spans="2:11" ht="24.6" thickBot="1">
      <c r="B102" s="1435"/>
      <c r="C102" s="73"/>
      <c r="D102" s="32" t="s">
        <v>2661</v>
      </c>
      <c r="E102" s="541">
        <v>63</v>
      </c>
      <c r="F102" s="5"/>
      <c r="G102" s="5"/>
      <c r="H102" s="5"/>
      <c r="I102" s="259"/>
      <c r="J102" s="5"/>
      <c r="K102" s="5"/>
    </row>
    <row r="103" spans="2:11">
      <c r="B103" s="1435"/>
      <c r="C103" s="71"/>
      <c r="D103" s="1416"/>
      <c r="E103" s="1417"/>
      <c r="F103" s="1417"/>
      <c r="G103" s="1417"/>
      <c r="H103" s="1417"/>
      <c r="I103" s="1418"/>
      <c r="J103" s="5"/>
      <c r="K103" s="5"/>
    </row>
    <row r="104" spans="2:11">
      <c r="B104" s="1435"/>
      <c r="C104" s="71"/>
      <c r="D104" s="1416" t="s">
        <v>933</v>
      </c>
      <c r="E104" s="1417"/>
      <c r="F104" s="1417"/>
      <c r="G104" s="1417"/>
      <c r="H104" s="1417"/>
      <c r="I104" s="1418"/>
      <c r="J104" s="5"/>
      <c r="K104" s="5"/>
    </row>
    <row r="105" spans="2:11" ht="15" thickBot="1">
      <c r="B105" s="1435"/>
      <c r="C105" s="71"/>
      <c r="D105" s="1447"/>
      <c r="E105" s="1448"/>
      <c r="F105" s="1448"/>
      <c r="G105" s="1448"/>
      <c r="H105" s="1448"/>
      <c r="I105" s="1449"/>
      <c r="J105" s="5"/>
      <c r="K105" s="5"/>
    </row>
    <row r="106" spans="2:11" ht="15" thickBot="1">
      <c r="B106" s="1435"/>
      <c r="C106" s="73"/>
      <c r="D106" s="34" t="s">
        <v>149</v>
      </c>
      <c r="E106" s="30" t="s">
        <v>19</v>
      </c>
      <c r="F106" s="30" t="s">
        <v>20</v>
      </c>
      <c r="G106" s="30" t="s">
        <v>21</v>
      </c>
      <c r="H106" s="30" t="s">
        <v>22</v>
      </c>
      <c r="I106" s="69" t="s">
        <v>150</v>
      </c>
      <c r="J106" s="5"/>
      <c r="K106" s="5"/>
    </row>
    <row r="107" spans="2:11" ht="24.6" thickBot="1">
      <c r="B107" s="1435"/>
      <c r="C107" s="73"/>
      <c r="D107" s="32" t="s">
        <v>934</v>
      </c>
      <c r="E107" s="541">
        <v>13</v>
      </c>
      <c r="F107" s="541">
        <v>58</v>
      </c>
      <c r="G107" s="541">
        <v>60</v>
      </c>
      <c r="H107" s="541">
        <v>63</v>
      </c>
      <c r="I107" s="544">
        <f>SUM(E107:H107)</f>
        <v>194</v>
      </c>
      <c r="J107" s="5"/>
      <c r="K107" s="5"/>
    </row>
    <row r="108" spans="2:11" ht="24.6" thickBot="1">
      <c r="B108" s="1435"/>
      <c r="C108" s="73"/>
      <c r="D108" s="32" t="s">
        <v>935</v>
      </c>
      <c r="E108" s="541">
        <v>18</v>
      </c>
      <c r="F108" s="541">
        <v>49</v>
      </c>
      <c r="G108" s="541">
        <v>48</v>
      </c>
      <c r="H108" s="541">
        <v>36</v>
      </c>
      <c r="I108" s="544">
        <f>SUM(E108:H108)</f>
        <v>151</v>
      </c>
      <c r="J108" s="5"/>
      <c r="K108" s="5"/>
    </row>
    <row r="109" spans="2:11" ht="24.6" thickBot="1">
      <c r="B109" s="1436"/>
      <c r="C109" s="2"/>
      <c r="D109" s="32" t="s">
        <v>936</v>
      </c>
      <c r="E109" s="487">
        <f>+E108/E107</f>
        <v>1.3846153846153846</v>
      </c>
      <c r="F109" s="487">
        <f>+F108/F107</f>
        <v>0.84482758620689657</v>
      </c>
      <c r="G109" s="487">
        <f>+G108/G107</f>
        <v>0.8</v>
      </c>
      <c r="H109" s="487">
        <f>+H108/H107</f>
        <v>0.5714285714285714</v>
      </c>
      <c r="I109" s="487">
        <f>+I108/I107</f>
        <v>0.77835051546391754</v>
      </c>
      <c r="J109" s="5"/>
      <c r="K109" s="5"/>
    </row>
    <row r="110" spans="2:11" ht="15" thickBot="1">
      <c r="B110" s="29"/>
      <c r="C110" s="67"/>
      <c r="D110" s="5"/>
      <c r="E110" s="5"/>
      <c r="F110" s="5"/>
      <c r="G110" s="5"/>
      <c r="H110" s="5"/>
      <c r="I110" s="66"/>
      <c r="J110" s="5"/>
      <c r="K110" s="5"/>
    </row>
    <row r="111" spans="2:11" ht="24.6" thickBot="1">
      <c r="B111" s="29"/>
      <c r="C111" s="67"/>
      <c r="D111" s="42" t="s">
        <v>1223</v>
      </c>
      <c r="E111" s="42" t="s">
        <v>1224</v>
      </c>
      <c r="F111" s="42" t="s">
        <v>691</v>
      </c>
      <c r="G111" s="42" t="s">
        <v>1225</v>
      </c>
      <c r="H111" s="5"/>
      <c r="I111" s="66"/>
      <c r="J111" s="5"/>
      <c r="K111" s="5"/>
    </row>
    <row r="112" spans="2:11" ht="24.6" thickBot="1">
      <c r="B112" s="29"/>
      <c r="C112" s="67"/>
      <c r="D112" s="42" t="str">
        <f>+D24</f>
        <v>Porcentaje de licencias ambientales con seguimiento (PLACS)</v>
      </c>
      <c r="E112" s="487">
        <v>0.67</v>
      </c>
      <c r="F112" s="545">
        <v>0.2</v>
      </c>
      <c r="G112" s="487">
        <f>+E112*F112</f>
        <v>0.13400000000000001</v>
      </c>
      <c r="H112" s="5"/>
      <c r="I112" s="66"/>
      <c r="J112" s="5"/>
      <c r="K112" s="5"/>
    </row>
    <row r="113" spans="2:11" ht="24.6" thickBot="1">
      <c r="B113" s="29"/>
      <c r="C113" s="67"/>
      <c r="D113" s="42" t="str">
        <f>+D50</f>
        <v>Porcentaje de concesiones de agua con seguimiento (PCACS)</v>
      </c>
      <c r="E113" s="487">
        <f>+H50</f>
        <v>0.52127659574468088</v>
      </c>
      <c r="F113" s="545">
        <v>0.2</v>
      </c>
      <c r="G113" s="487">
        <f>+E113*F113</f>
        <v>0.10425531914893618</v>
      </c>
      <c r="H113" s="5"/>
      <c r="I113" s="66"/>
      <c r="J113" s="5"/>
      <c r="K113" s="5"/>
    </row>
    <row r="114" spans="2:11" ht="24.6" thickBot="1">
      <c r="B114" s="29"/>
      <c r="C114" s="67"/>
      <c r="D114" s="42" t="str">
        <f>+D71</f>
        <v>Porcentaje de permisos de vertimiento de agua con seguimiento (PVACS)</v>
      </c>
      <c r="E114" s="487">
        <f>+H71</f>
        <v>0.55921052631578949</v>
      </c>
      <c r="F114" s="545">
        <v>0.2</v>
      </c>
      <c r="G114" s="487">
        <f>+E114*F114</f>
        <v>0.11184210526315791</v>
      </c>
      <c r="H114" s="5"/>
      <c r="I114" s="66"/>
      <c r="J114" s="5"/>
      <c r="K114" s="5"/>
    </row>
    <row r="115" spans="2:11" ht="24.6" thickBot="1">
      <c r="B115" s="29"/>
      <c r="C115" s="67"/>
      <c r="D115" s="42" t="str">
        <f>+D89</f>
        <v>Porcentaje de permisos de aprovechamiento forestal con seguimiento (PPAFCS)</v>
      </c>
      <c r="E115" s="487">
        <f>+H89</f>
        <v>0.26436781609195403</v>
      </c>
      <c r="F115" s="545">
        <v>0.2</v>
      </c>
      <c r="G115" s="487">
        <f>+E115*F115</f>
        <v>5.2873563218390811E-2</v>
      </c>
      <c r="H115" s="5"/>
      <c r="I115" s="66"/>
      <c r="J115" s="5"/>
      <c r="K115" s="5"/>
    </row>
    <row r="116" spans="2:11" ht="24.6" thickBot="1">
      <c r="B116" s="29"/>
      <c r="C116" s="67"/>
      <c r="D116" s="42" t="str">
        <f>+D109</f>
        <v>Porcentaje de permisos de emisiones atmosféricas con seguimiento (PEACS)</v>
      </c>
      <c r="E116" s="487">
        <f>+H109</f>
        <v>0.5714285714285714</v>
      </c>
      <c r="F116" s="545">
        <v>0.2</v>
      </c>
      <c r="G116" s="487">
        <f>+E116*F116</f>
        <v>0.11428571428571428</v>
      </c>
      <c r="H116" s="5"/>
      <c r="I116" s="66"/>
      <c r="J116" s="5"/>
      <c r="K116" s="5"/>
    </row>
    <row r="117" spans="2:11" ht="24.6" thickBot="1">
      <c r="B117" s="29"/>
      <c r="C117" s="67"/>
      <c r="D117" s="42" t="s">
        <v>1222</v>
      </c>
      <c r="E117" s="263"/>
      <c r="F117" s="546">
        <f>+[9]Formulas!D26</f>
        <v>1</v>
      </c>
      <c r="G117" s="487">
        <f>SUM(G112:G116)</f>
        <v>0.51725670191619921</v>
      </c>
      <c r="H117" s="5"/>
      <c r="I117" s="66"/>
      <c r="J117" s="5"/>
      <c r="K117" s="5"/>
    </row>
    <row r="118" spans="2:11" ht="15" thickBot="1">
      <c r="B118" s="29"/>
      <c r="C118" s="67"/>
      <c r="D118" s="5"/>
      <c r="E118" s="5"/>
      <c r="F118" s="5"/>
      <c r="G118" s="5"/>
      <c r="H118" s="5"/>
      <c r="I118" s="66"/>
      <c r="J118" s="5"/>
      <c r="K118" s="5"/>
    </row>
    <row r="119" spans="2:11" ht="84.6" thickBot="1">
      <c r="B119" s="42" t="s">
        <v>33</v>
      </c>
      <c r="C119" s="77"/>
      <c r="D119" s="34" t="s">
        <v>937</v>
      </c>
      <c r="E119" s="5"/>
      <c r="F119" s="5"/>
      <c r="G119" s="5"/>
      <c r="H119" s="5"/>
      <c r="I119" s="66"/>
      <c r="J119" s="5"/>
      <c r="K119" s="5"/>
    </row>
    <row r="120" spans="2:11" ht="60.6" thickBot="1">
      <c r="B120" s="37" t="s">
        <v>35</v>
      </c>
      <c r="C120" s="2"/>
      <c r="D120" s="32" t="s">
        <v>158</v>
      </c>
      <c r="E120" s="5"/>
      <c r="F120" s="5"/>
      <c r="G120" s="5"/>
      <c r="H120" s="5"/>
      <c r="I120" s="66"/>
      <c r="J120" s="5"/>
      <c r="K120" s="5"/>
    </row>
    <row r="121" spans="2:11" ht="15" thickBot="1">
      <c r="B121" s="1"/>
      <c r="C121" s="64"/>
      <c r="D121" s="5"/>
      <c r="E121" s="5"/>
      <c r="F121" s="5"/>
      <c r="G121" s="5"/>
      <c r="H121" s="5"/>
      <c r="I121" s="66"/>
      <c r="J121" s="5"/>
      <c r="K121" s="5"/>
    </row>
    <row r="122" spans="2:11" ht="24" customHeight="1" thickBot="1">
      <c r="B122" s="1444" t="s">
        <v>37</v>
      </c>
      <c r="C122" s="1445"/>
      <c r="D122" s="1445"/>
      <c r="E122" s="1446"/>
      <c r="F122" s="5"/>
      <c r="G122" s="5"/>
      <c r="H122" s="5"/>
      <c r="I122" s="66"/>
      <c r="J122" s="5"/>
      <c r="K122" s="5"/>
    </row>
    <row r="123" spans="2:11" ht="18.600000000000001" thickBot="1">
      <c r="B123" s="1434">
        <v>1</v>
      </c>
      <c r="C123" s="73"/>
      <c r="D123" s="38" t="s">
        <v>38</v>
      </c>
      <c r="E123" s="575" t="s">
        <v>1811</v>
      </c>
      <c r="F123" s="5"/>
      <c r="G123" s="5"/>
      <c r="H123" s="5"/>
      <c r="I123" s="66"/>
      <c r="J123" s="5"/>
      <c r="K123" s="5"/>
    </row>
    <row r="124" spans="2:11" ht="24.6" thickBot="1">
      <c r="B124" s="1435"/>
      <c r="C124" s="73"/>
      <c r="D124" s="32" t="s">
        <v>39</v>
      </c>
      <c r="E124" s="281" t="s">
        <v>1874</v>
      </c>
      <c r="F124" s="5"/>
      <c r="G124" s="5"/>
      <c r="H124" s="5"/>
      <c r="I124" s="66"/>
      <c r="J124" s="5"/>
      <c r="K124" s="5"/>
    </row>
    <row r="125" spans="2:11" ht="15" thickBot="1">
      <c r="B125" s="1435"/>
      <c r="C125" s="73"/>
      <c r="D125" s="32" t="s">
        <v>40</v>
      </c>
      <c r="E125" s="281" t="s">
        <v>2015</v>
      </c>
      <c r="F125" s="5"/>
      <c r="G125" s="5"/>
      <c r="H125" s="5"/>
      <c r="I125" s="66"/>
      <c r="J125" s="5"/>
      <c r="K125" s="5"/>
    </row>
    <row r="126" spans="2:11" ht="15" thickBot="1">
      <c r="B126" s="1435"/>
      <c r="C126" s="73"/>
      <c r="D126" s="32" t="s">
        <v>41</v>
      </c>
      <c r="E126" s="281" t="s">
        <v>2028</v>
      </c>
      <c r="F126" s="5"/>
      <c r="G126" s="5"/>
      <c r="H126" s="5"/>
      <c r="I126" s="66"/>
      <c r="J126" s="5"/>
      <c r="K126" s="5"/>
    </row>
    <row r="127" spans="2:11" ht="58.2" thickBot="1">
      <c r="B127" s="1435"/>
      <c r="C127" s="73"/>
      <c r="D127" s="32" t="s">
        <v>42</v>
      </c>
      <c r="E127" s="445" t="s">
        <v>2016</v>
      </c>
      <c r="F127" s="5"/>
      <c r="G127" s="5"/>
      <c r="H127" s="5"/>
      <c r="I127" s="66"/>
      <c r="J127" s="5"/>
      <c r="K127" s="5"/>
    </row>
    <row r="128" spans="2:11" ht="15" thickBot="1">
      <c r="B128" s="1435"/>
      <c r="C128" s="73"/>
      <c r="D128" s="32" t="s">
        <v>43</v>
      </c>
      <c r="E128" s="281" t="s">
        <v>2018</v>
      </c>
      <c r="F128" s="5"/>
      <c r="G128" s="5"/>
      <c r="H128" s="5"/>
      <c r="I128" s="66"/>
      <c r="J128" s="5"/>
      <c r="K128" s="5"/>
    </row>
    <row r="129" spans="2:11" ht="15" thickBot="1">
      <c r="B129" s="1436"/>
      <c r="C129" s="2"/>
      <c r="D129" s="32" t="s">
        <v>44</v>
      </c>
      <c r="E129" s="281" t="s">
        <v>1814</v>
      </c>
      <c r="F129" s="5"/>
      <c r="G129" s="5"/>
      <c r="H129" s="5"/>
      <c r="I129" s="66"/>
      <c r="J129" s="5"/>
      <c r="K129" s="5"/>
    </row>
    <row r="130" spans="2:11" ht="15" thickBot="1">
      <c r="B130" s="1"/>
      <c r="C130" s="64"/>
      <c r="D130" s="5"/>
      <c r="E130" s="5"/>
      <c r="F130" s="5"/>
      <c r="G130" s="5"/>
      <c r="H130" s="5"/>
      <c r="I130" s="66"/>
      <c r="J130" s="5"/>
      <c r="K130" s="5"/>
    </row>
    <row r="131" spans="2:11" ht="15" thickBot="1">
      <c r="B131" s="1444" t="s">
        <v>45</v>
      </c>
      <c r="C131" s="1445"/>
      <c r="D131" s="1445"/>
      <c r="E131" s="1446"/>
      <c r="F131" s="5"/>
      <c r="G131" s="5"/>
      <c r="H131" s="5"/>
      <c r="I131" s="66"/>
      <c r="J131" s="5"/>
      <c r="K131" s="5"/>
    </row>
    <row r="132" spans="2:11" ht="39" customHeight="1" thickBot="1">
      <c r="B132" s="1434">
        <v>1</v>
      </c>
      <c r="C132" s="73"/>
      <c r="D132" s="38" t="s">
        <v>38</v>
      </c>
      <c r="E132" s="28" t="s">
        <v>46</v>
      </c>
      <c r="F132" s="5"/>
      <c r="G132" s="5"/>
      <c r="H132" s="5"/>
      <c r="I132" s="66"/>
      <c r="J132" s="5"/>
      <c r="K132" s="5"/>
    </row>
    <row r="133" spans="2:11" ht="48.6" thickBot="1">
      <c r="B133" s="1435"/>
      <c r="C133" s="73"/>
      <c r="D133" s="32" t="s">
        <v>39</v>
      </c>
      <c r="E133" s="28" t="s">
        <v>159</v>
      </c>
      <c r="F133" s="5"/>
      <c r="G133" s="5"/>
      <c r="H133" s="5"/>
      <c r="I133" s="66"/>
      <c r="J133" s="5"/>
      <c r="K133" s="5"/>
    </row>
    <row r="134" spans="2:11" ht="15" thickBot="1">
      <c r="B134" s="1435"/>
      <c r="C134" s="73"/>
      <c r="D134" s="32" t="s">
        <v>40</v>
      </c>
      <c r="E134" s="138"/>
      <c r="F134" s="5"/>
      <c r="G134" s="5"/>
      <c r="H134" s="5"/>
      <c r="I134" s="66"/>
      <c r="J134" s="5"/>
      <c r="K134" s="5"/>
    </row>
    <row r="135" spans="2:11" ht="15" thickBot="1">
      <c r="B135" s="1435"/>
      <c r="C135" s="73"/>
      <c r="D135" s="32" t="s">
        <v>41</v>
      </c>
      <c r="E135" s="138"/>
      <c r="F135" s="5"/>
      <c r="G135" s="5"/>
      <c r="H135" s="5"/>
      <c r="I135" s="66"/>
      <c r="J135" s="5"/>
      <c r="K135" s="5"/>
    </row>
    <row r="136" spans="2:11" ht="15" thickBot="1">
      <c r="B136" s="1435"/>
      <c r="C136" s="73"/>
      <c r="D136" s="32" t="s">
        <v>42</v>
      </c>
      <c r="E136" s="138"/>
      <c r="F136" s="5"/>
      <c r="G136" s="5"/>
      <c r="H136" s="5"/>
      <c r="I136" s="66"/>
      <c r="J136" s="5"/>
      <c r="K136" s="5"/>
    </row>
    <row r="137" spans="2:11" ht="15" thickBot="1">
      <c r="B137" s="1435"/>
      <c r="C137" s="73"/>
      <c r="D137" s="32" t="s">
        <v>43</v>
      </c>
      <c r="E137" s="138"/>
      <c r="F137" s="5"/>
      <c r="G137" s="5"/>
      <c r="H137" s="5"/>
      <c r="I137" s="66"/>
      <c r="J137" s="5"/>
      <c r="K137" s="5"/>
    </row>
    <row r="138" spans="2:11" ht="15" thickBot="1">
      <c r="B138" s="1436"/>
      <c r="C138" s="2"/>
      <c r="D138" s="32" t="s">
        <v>44</v>
      </c>
      <c r="E138" s="138"/>
      <c r="F138" s="5"/>
      <c r="G138" s="5"/>
      <c r="H138" s="5"/>
      <c r="I138" s="66"/>
      <c r="J138" s="5"/>
      <c r="K138" s="5"/>
    </row>
    <row r="139" spans="2:11" ht="15" thickBot="1">
      <c r="B139" s="1"/>
      <c r="C139" s="64"/>
      <c r="D139" s="5"/>
      <c r="E139" s="5"/>
      <c r="F139" s="5"/>
      <c r="G139" s="5"/>
      <c r="H139" s="5"/>
      <c r="I139" s="66"/>
      <c r="J139" s="5"/>
      <c r="K139" s="5"/>
    </row>
    <row r="140" spans="2:11" ht="15" customHeight="1" thickBot="1">
      <c r="B140" s="137" t="s">
        <v>48</v>
      </c>
      <c r="C140" s="101"/>
      <c r="D140" s="101"/>
      <c r="E140" s="102"/>
      <c r="G140" s="5"/>
      <c r="H140" s="5"/>
      <c r="I140" s="66"/>
      <c r="J140" s="5"/>
      <c r="K140" s="5"/>
    </row>
    <row r="141" spans="2:11" ht="24.6" thickBot="1">
      <c r="B141" s="37" t="s">
        <v>49</v>
      </c>
      <c r="C141" s="32" t="s">
        <v>50</v>
      </c>
      <c r="D141" s="32" t="s">
        <v>51</v>
      </c>
      <c r="E141" s="32" t="s">
        <v>52</v>
      </c>
      <c r="F141" s="5"/>
      <c r="G141" s="5"/>
      <c r="H141" s="5"/>
      <c r="I141" s="66"/>
      <c r="J141" s="5"/>
    </row>
    <row r="142" spans="2:11" ht="60.6" thickBot="1">
      <c r="B142" s="39">
        <v>42401</v>
      </c>
      <c r="C142" s="32">
        <v>0.01</v>
      </c>
      <c r="D142" s="40" t="s">
        <v>938</v>
      </c>
      <c r="E142" s="32"/>
      <c r="F142" s="5"/>
      <c r="G142" s="5"/>
      <c r="H142" s="5"/>
      <c r="I142" s="66"/>
      <c r="J142" s="5"/>
    </row>
    <row r="143" spans="2:11" ht="15" thickBot="1">
      <c r="B143" s="3"/>
      <c r="C143" s="74"/>
      <c r="D143" s="5"/>
      <c r="E143" s="5"/>
      <c r="F143" s="5"/>
      <c r="G143" s="5"/>
      <c r="H143" s="5"/>
      <c r="I143" s="66"/>
      <c r="J143" s="5"/>
      <c r="K143" s="5"/>
    </row>
    <row r="144" spans="2:11" ht="15" thickBot="1">
      <c r="B144" s="106" t="s">
        <v>54</v>
      </c>
      <c r="C144" s="75"/>
      <c r="D144" s="5"/>
      <c r="E144" s="5"/>
      <c r="F144" s="5"/>
      <c r="G144" s="5"/>
      <c r="H144" s="5"/>
      <c r="I144" s="66"/>
      <c r="J144" s="5"/>
      <c r="K144" s="5"/>
    </row>
    <row r="145" spans="2:11" ht="63" customHeight="1" thickBot="1">
      <c r="B145" s="1701"/>
      <c r="C145" s="1702"/>
      <c r="D145" s="1702"/>
      <c r="E145" s="1703"/>
      <c r="F145" s="5"/>
      <c r="G145" s="5"/>
      <c r="H145" s="5"/>
      <c r="I145" s="66"/>
      <c r="J145" s="5"/>
      <c r="K145" s="5"/>
    </row>
    <row r="146" spans="2:11" ht="15" thickBot="1">
      <c r="B146" s="5"/>
      <c r="D146" s="5"/>
      <c r="E146" s="5"/>
      <c r="F146" s="5"/>
      <c r="G146" s="5"/>
      <c r="H146" s="5"/>
      <c r="I146" s="66"/>
      <c r="J146" s="5"/>
      <c r="K146" s="5"/>
    </row>
    <row r="147" spans="2:11" ht="24.6" thickBot="1">
      <c r="B147" s="41" t="s">
        <v>55</v>
      </c>
      <c r="C147" s="76"/>
      <c r="D147" s="5"/>
      <c r="E147" s="5"/>
      <c r="F147" s="5"/>
      <c r="G147" s="5"/>
      <c r="H147" s="5"/>
      <c r="I147" s="66"/>
      <c r="J147" s="5"/>
      <c r="K147" s="5"/>
    </row>
    <row r="148" spans="2:11" ht="15" thickBot="1">
      <c r="B148" s="1" t="s">
        <v>876</v>
      </c>
      <c r="C148" s="64"/>
      <c r="D148" s="5"/>
      <c r="E148" s="5"/>
      <c r="F148" s="5"/>
      <c r="G148" s="5"/>
      <c r="H148" s="5"/>
      <c r="I148" s="66"/>
      <c r="J148" s="5"/>
      <c r="K148" s="5"/>
    </row>
    <row r="149" spans="2:11" ht="48.6" thickBot="1">
      <c r="B149" s="42" t="s">
        <v>56</v>
      </c>
      <c r="C149" s="77"/>
      <c r="D149" s="34" t="s">
        <v>877</v>
      </c>
      <c r="E149" s="5"/>
      <c r="F149" s="5"/>
      <c r="G149" s="5"/>
      <c r="H149" s="5"/>
      <c r="I149" s="66"/>
      <c r="J149" s="5"/>
      <c r="K149" s="5"/>
    </row>
    <row r="150" spans="2:11">
      <c r="B150" s="1434" t="s">
        <v>58</v>
      </c>
      <c r="C150" s="73"/>
      <c r="D150" s="43" t="s">
        <v>59</v>
      </c>
      <c r="E150" s="5"/>
      <c r="F150" s="5"/>
      <c r="G150" s="5"/>
      <c r="H150" s="5"/>
      <c r="I150" s="66"/>
      <c r="J150" s="5"/>
      <c r="K150" s="5"/>
    </row>
    <row r="151" spans="2:11" ht="96">
      <c r="B151" s="1435"/>
      <c r="C151" s="73"/>
      <c r="D151" s="36" t="s">
        <v>878</v>
      </c>
      <c r="E151" s="5"/>
      <c r="F151" s="5"/>
      <c r="G151" s="5"/>
      <c r="H151" s="5"/>
      <c r="I151" s="66"/>
      <c r="J151" s="5"/>
      <c r="K151" s="5"/>
    </row>
    <row r="152" spans="2:11">
      <c r="B152" s="1435"/>
      <c r="C152" s="73"/>
      <c r="D152" s="43" t="s">
        <v>133</v>
      </c>
      <c r="E152" s="5"/>
      <c r="F152" s="5"/>
      <c r="G152" s="5"/>
      <c r="H152" s="5"/>
      <c r="I152" s="66"/>
      <c r="J152" s="5"/>
      <c r="K152" s="5"/>
    </row>
    <row r="153" spans="2:11">
      <c r="B153" s="1435"/>
      <c r="C153" s="73"/>
      <c r="D153" s="36" t="s">
        <v>63</v>
      </c>
      <c r="E153" s="5"/>
      <c r="F153" s="5"/>
      <c r="G153" s="5"/>
      <c r="H153" s="5"/>
      <c r="I153" s="66"/>
      <c r="J153" s="5"/>
      <c r="K153" s="5"/>
    </row>
    <row r="154" spans="2:11">
      <c r="B154" s="1435"/>
      <c r="C154" s="73"/>
      <c r="D154" s="36" t="s">
        <v>64</v>
      </c>
      <c r="E154" s="5"/>
      <c r="F154" s="5"/>
      <c r="G154" s="5"/>
      <c r="H154" s="5"/>
      <c r="I154" s="66"/>
      <c r="J154" s="5"/>
      <c r="K154" s="5"/>
    </row>
    <row r="155" spans="2:11">
      <c r="B155" s="1435"/>
      <c r="C155" s="73"/>
      <c r="D155" s="36" t="s">
        <v>832</v>
      </c>
      <c r="E155" s="5"/>
      <c r="F155" s="5"/>
      <c r="G155" s="5"/>
      <c r="H155" s="5"/>
      <c r="I155" s="66"/>
      <c r="J155" s="5"/>
      <c r="K155" s="5"/>
    </row>
    <row r="156" spans="2:11" ht="36.6" thickBot="1">
      <c r="B156" s="1436"/>
      <c r="C156" s="2"/>
      <c r="D156" s="32" t="s">
        <v>879</v>
      </c>
      <c r="E156" s="5"/>
      <c r="F156" s="5"/>
      <c r="G156" s="5"/>
      <c r="H156" s="5"/>
      <c r="I156" s="66"/>
      <c r="J156" s="5"/>
      <c r="K156" s="5"/>
    </row>
    <row r="157" spans="2:11" ht="24.6" thickBot="1">
      <c r="B157" s="37" t="s">
        <v>71</v>
      </c>
      <c r="C157" s="2"/>
      <c r="D157" s="32"/>
      <c r="E157" s="5"/>
      <c r="F157" s="5"/>
      <c r="G157" s="5"/>
      <c r="H157" s="5"/>
      <c r="I157" s="66"/>
      <c r="J157" s="5"/>
      <c r="K157" s="5"/>
    </row>
    <row r="158" spans="2:11" ht="264">
      <c r="B158" s="1434" t="s">
        <v>72</v>
      </c>
      <c r="C158" s="73"/>
      <c r="D158" s="36" t="s">
        <v>880</v>
      </c>
      <c r="E158" s="5"/>
      <c r="F158" s="5"/>
      <c r="G158" s="5"/>
      <c r="H158" s="5"/>
      <c r="I158" s="66"/>
      <c r="J158" s="5"/>
      <c r="K158" s="5"/>
    </row>
    <row r="159" spans="2:11" ht="276">
      <c r="B159" s="1435"/>
      <c r="C159" s="73"/>
      <c r="D159" s="36" t="s">
        <v>881</v>
      </c>
      <c r="E159" s="5"/>
      <c r="F159" s="5"/>
      <c r="G159" s="5"/>
      <c r="H159" s="5"/>
      <c r="I159" s="66"/>
      <c r="J159" s="5"/>
      <c r="K159" s="5"/>
    </row>
    <row r="160" spans="2:11" ht="84">
      <c r="B160" s="1435"/>
      <c r="C160" s="73"/>
      <c r="D160" s="36" t="s">
        <v>882</v>
      </c>
      <c r="E160" s="5"/>
      <c r="F160" s="5"/>
      <c r="G160" s="5"/>
      <c r="H160" s="5"/>
      <c r="I160" s="66"/>
      <c r="J160" s="5"/>
      <c r="K160" s="5"/>
    </row>
    <row r="161" spans="2:11" ht="60.6" thickBot="1">
      <c r="B161" s="1436"/>
      <c r="C161" s="2"/>
      <c r="D161" s="32" t="s">
        <v>883</v>
      </c>
      <c r="E161" s="5"/>
      <c r="F161" s="5"/>
      <c r="G161" s="5"/>
      <c r="H161" s="5"/>
      <c r="I161" s="66"/>
      <c r="J161" s="5"/>
      <c r="K161" s="5"/>
    </row>
    <row r="162" spans="2:11" ht="24">
      <c r="B162" s="1434" t="s">
        <v>89</v>
      </c>
      <c r="C162" s="73"/>
      <c r="D162" s="43" t="s">
        <v>875</v>
      </c>
      <c r="E162" s="5"/>
      <c r="F162" s="5"/>
      <c r="G162" s="5"/>
      <c r="H162" s="5"/>
      <c r="I162" s="66"/>
      <c r="J162" s="5"/>
      <c r="K162" s="5"/>
    </row>
    <row r="163" spans="2:11">
      <c r="B163" s="1435"/>
      <c r="C163" s="73"/>
      <c r="D163" s="13"/>
      <c r="E163" s="5"/>
      <c r="F163" s="5"/>
      <c r="G163" s="5"/>
      <c r="H163" s="5"/>
      <c r="I163" s="66"/>
      <c r="J163" s="5"/>
      <c r="K163" s="5"/>
    </row>
    <row r="164" spans="2:11">
      <c r="B164" s="1435"/>
      <c r="C164" s="73"/>
      <c r="D164" s="36" t="s">
        <v>90</v>
      </c>
      <c r="E164" s="5"/>
      <c r="F164" s="5"/>
      <c r="G164" s="5"/>
      <c r="H164" s="5"/>
      <c r="I164" s="66"/>
      <c r="J164" s="5"/>
      <c r="K164" s="5"/>
    </row>
    <row r="165" spans="2:11" ht="26.4">
      <c r="B165" s="1435"/>
      <c r="C165" s="73"/>
      <c r="D165" s="36" t="s">
        <v>884</v>
      </c>
      <c r="E165" s="5"/>
      <c r="F165" s="5"/>
      <c r="G165" s="5"/>
      <c r="H165" s="5"/>
      <c r="I165" s="66"/>
      <c r="J165" s="5"/>
      <c r="K165" s="5"/>
    </row>
    <row r="166" spans="2:11" ht="26.4">
      <c r="B166" s="1435"/>
      <c r="C166" s="73"/>
      <c r="D166" s="36" t="s">
        <v>885</v>
      </c>
      <c r="E166" s="5"/>
      <c r="F166" s="5"/>
      <c r="G166" s="5"/>
      <c r="H166" s="5"/>
      <c r="I166" s="66"/>
      <c r="J166" s="5"/>
      <c r="K166" s="5"/>
    </row>
    <row r="167" spans="2:11" ht="48">
      <c r="B167" s="1435"/>
      <c r="C167" s="73"/>
      <c r="D167" s="36" t="s">
        <v>886</v>
      </c>
      <c r="E167" s="5"/>
      <c r="F167" s="5"/>
      <c r="G167" s="5"/>
      <c r="H167" s="5"/>
      <c r="I167" s="66"/>
      <c r="J167" s="5"/>
      <c r="K167" s="5"/>
    </row>
    <row r="168" spans="2:11" ht="86.4">
      <c r="B168" s="1435"/>
      <c r="C168" s="73"/>
      <c r="D168" s="36" t="s">
        <v>887</v>
      </c>
      <c r="E168" s="5"/>
      <c r="F168" s="5"/>
      <c r="G168" s="5"/>
      <c r="H168" s="5"/>
      <c r="I168" s="66"/>
      <c r="J168" s="5"/>
      <c r="K168" s="5"/>
    </row>
    <row r="169" spans="2:11" ht="24">
      <c r="B169" s="1435"/>
      <c r="C169" s="73"/>
      <c r="D169" s="43" t="s">
        <v>888</v>
      </c>
      <c r="E169" s="5"/>
      <c r="F169" s="5"/>
      <c r="G169" s="5"/>
      <c r="H169" s="5"/>
      <c r="I169" s="66"/>
      <c r="J169" s="5"/>
      <c r="K169" s="5"/>
    </row>
    <row r="170" spans="2:11">
      <c r="B170" s="1435"/>
      <c r="C170" s="73"/>
      <c r="D170" s="13"/>
      <c r="E170" s="5"/>
      <c r="F170" s="5"/>
      <c r="G170" s="5"/>
      <c r="H170" s="5"/>
      <c r="I170" s="66"/>
      <c r="J170" s="5"/>
      <c r="K170" s="5"/>
    </row>
    <row r="171" spans="2:11">
      <c r="B171" s="1435"/>
      <c r="C171" s="73"/>
      <c r="D171" s="36" t="s">
        <v>90</v>
      </c>
      <c r="E171" s="5"/>
      <c r="F171" s="5"/>
      <c r="G171" s="5"/>
      <c r="H171" s="5"/>
      <c r="I171" s="66"/>
      <c r="J171" s="5"/>
      <c r="K171" s="5"/>
    </row>
    <row r="172" spans="2:11" ht="26.4">
      <c r="B172" s="1435"/>
      <c r="C172" s="73"/>
      <c r="D172" s="36" t="s">
        <v>889</v>
      </c>
      <c r="E172" s="5"/>
      <c r="F172" s="5"/>
      <c r="G172" s="5"/>
      <c r="H172" s="5"/>
      <c r="I172" s="66"/>
      <c r="J172" s="5"/>
      <c r="K172" s="5"/>
    </row>
    <row r="173" spans="2:11" ht="26.4">
      <c r="B173" s="1435"/>
      <c r="C173" s="73"/>
      <c r="D173" s="36" t="s">
        <v>890</v>
      </c>
      <c r="E173" s="5"/>
      <c r="F173" s="5"/>
      <c r="G173" s="5"/>
      <c r="H173" s="5"/>
      <c r="I173" s="66"/>
      <c r="J173" s="5"/>
      <c r="K173" s="5"/>
    </row>
    <row r="174" spans="2:11" ht="26.4">
      <c r="B174" s="1435"/>
      <c r="C174" s="73"/>
      <c r="D174" s="36" t="s">
        <v>891</v>
      </c>
      <c r="E174" s="5"/>
      <c r="F174" s="5"/>
      <c r="G174" s="5"/>
      <c r="H174" s="5"/>
      <c r="I174" s="66"/>
      <c r="J174" s="5"/>
      <c r="K174" s="5"/>
    </row>
    <row r="175" spans="2:11" ht="48">
      <c r="B175" s="1435"/>
      <c r="C175" s="73"/>
      <c r="D175" s="36" t="s">
        <v>886</v>
      </c>
      <c r="E175" s="5"/>
      <c r="F175" s="5"/>
      <c r="G175" s="5"/>
      <c r="H175" s="5"/>
      <c r="I175" s="66"/>
      <c r="J175" s="5"/>
      <c r="K175" s="5"/>
    </row>
    <row r="176" spans="2:11" ht="48.6" thickBot="1">
      <c r="B176" s="1436"/>
      <c r="C176" s="2"/>
      <c r="D176" s="32" t="s">
        <v>892</v>
      </c>
      <c r="E176" s="5"/>
      <c r="F176" s="5"/>
      <c r="G176" s="5"/>
      <c r="H176" s="5"/>
      <c r="I176" s="66"/>
      <c r="J176" s="5"/>
      <c r="K176" s="5"/>
    </row>
    <row r="177" spans="2:11">
      <c r="B177" s="5"/>
      <c r="D177" s="5"/>
      <c r="E177" s="5"/>
      <c r="F177" s="5"/>
      <c r="G177" s="5"/>
      <c r="H177" s="5"/>
      <c r="I177" s="66"/>
      <c r="J177" s="5"/>
      <c r="K177" s="5"/>
    </row>
    <row r="178" spans="2:11">
      <c r="B178" s="5"/>
      <c r="D178" s="5"/>
      <c r="E178" s="5"/>
      <c r="F178" s="5"/>
      <c r="G178" s="5"/>
      <c r="H178" s="5"/>
      <c r="I178" s="66"/>
      <c r="J178" s="5"/>
      <c r="K178" s="5"/>
    </row>
    <row r="179" spans="2:11">
      <c r="B179" s="5"/>
      <c r="D179" s="5"/>
      <c r="E179" s="5"/>
      <c r="F179" s="5"/>
      <c r="G179" s="5"/>
      <c r="H179" s="5"/>
      <c r="I179" s="66"/>
      <c r="J179" s="5"/>
      <c r="K179" s="5"/>
    </row>
    <row r="180" spans="2:11">
      <c r="B180" s="5"/>
      <c r="D180" s="5"/>
      <c r="E180" s="5"/>
      <c r="F180" s="5"/>
      <c r="G180" s="5"/>
      <c r="H180" s="5"/>
      <c r="I180" s="66"/>
      <c r="J180" s="5"/>
      <c r="K180" s="5"/>
    </row>
    <row r="181" spans="2:11">
      <c r="B181" s="5"/>
      <c r="D181" s="5"/>
      <c r="E181" s="5"/>
      <c r="F181" s="5"/>
      <c r="G181" s="5"/>
      <c r="H181" s="5"/>
      <c r="I181" s="66"/>
      <c r="J181" s="5"/>
      <c r="K181" s="5"/>
    </row>
    <row r="182" spans="2:11">
      <c r="B182" s="5"/>
      <c r="D182" s="5"/>
      <c r="E182" s="5"/>
      <c r="F182" s="5"/>
      <c r="G182" s="5"/>
      <c r="H182" s="5"/>
      <c r="I182" s="66"/>
      <c r="J182" s="5"/>
      <c r="K182" s="5"/>
    </row>
    <row r="183" spans="2:11">
      <c r="B183" s="5"/>
      <c r="D183" s="5"/>
      <c r="E183" s="5"/>
      <c r="F183" s="5"/>
      <c r="G183" s="5"/>
      <c r="H183" s="5"/>
      <c r="I183" s="66"/>
      <c r="J183" s="5"/>
      <c r="K183" s="5"/>
    </row>
    <row r="184" spans="2:11">
      <c r="B184" s="5"/>
      <c r="D184" s="5"/>
      <c r="E184" s="5"/>
      <c r="F184" s="5"/>
      <c r="G184" s="5"/>
      <c r="H184" s="5"/>
      <c r="I184" s="66"/>
      <c r="J184" s="5"/>
      <c r="K184" s="5"/>
    </row>
    <row r="185" spans="2:11">
      <c r="B185" s="5"/>
      <c r="D185" s="5"/>
      <c r="E185" s="5"/>
      <c r="F185" s="5"/>
      <c r="G185" s="5"/>
      <c r="H185" s="5"/>
      <c r="I185" s="66"/>
      <c r="J185" s="5"/>
      <c r="K185" s="5"/>
    </row>
    <row r="186" spans="2:11">
      <c r="B186" s="5"/>
      <c r="D186" s="5"/>
      <c r="E186" s="5"/>
      <c r="F186" s="5"/>
      <c r="G186" s="5"/>
      <c r="H186" s="5"/>
      <c r="I186" s="66"/>
      <c r="J186" s="5"/>
      <c r="K186" s="5"/>
    </row>
    <row r="187" spans="2:11">
      <c r="B187" s="5"/>
      <c r="D187" s="5"/>
      <c r="E187" s="5"/>
      <c r="F187" s="5"/>
      <c r="G187" s="5"/>
      <c r="H187" s="5"/>
      <c r="I187" s="66"/>
      <c r="J187" s="5"/>
      <c r="K187" s="5"/>
    </row>
    <row r="188" spans="2:11">
      <c r="B188" s="5"/>
      <c r="D188" s="5"/>
      <c r="E188" s="5"/>
      <c r="F188" s="5"/>
      <c r="G188" s="5"/>
      <c r="H188" s="5"/>
      <c r="I188" s="66"/>
      <c r="J188" s="5"/>
      <c r="K188" s="5"/>
    </row>
    <row r="189" spans="2:11">
      <c r="B189" s="5"/>
      <c r="D189" s="5"/>
      <c r="E189" s="5"/>
      <c r="F189" s="5"/>
      <c r="G189" s="5"/>
      <c r="H189" s="5"/>
      <c r="I189" s="66"/>
      <c r="J189" s="5"/>
      <c r="K189" s="5"/>
    </row>
    <row r="190" spans="2:11">
      <c r="B190" s="5"/>
      <c r="D190" s="5"/>
      <c r="E190" s="5"/>
      <c r="F190" s="5"/>
      <c r="G190" s="5"/>
      <c r="H190" s="5"/>
      <c r="I190" s="66"/>
      <c r="J190" s="5"/>
      <c r="K190" s="5"/>
    </row>
    <row r="191" spans="2:11">
      <c r="B191" s="5"/>
      <c r="D191" s="5"/>
      <c r="E191" s="5"/>
      <c r="F191" s="5"/>
      <c r="G191" s="5"/>
      <c r="H191" s="5"/>
      <c r="I191" s="66"/>
      <c r="J191" s="5"/>
      <c r="K191" s="5"/>
    </row>
    <row r="192" spans="2:11">
      <c r="B192" s="5"/>
      <c r="D192" s="5"/>
      <c r="E192" s="5"/>
      <c r="F192" s="5"/>
      <c r="G192" s="5"/>
      <c r="H192" s="5"/>
      <c r="I192" s="66"/>
      <c r="J192" s="5"/>
      <c r="K192" s="5"/>
    </row>
  </sheetData>
  <mergeCells count="59">
    <mergeCell ref="A1:P1"/>
    <mergeCell ref="A2:P2"/>
    <mergeCell ref="A3:P3"/>
    <mergeCell ref="A4:D4"/>
    <mergeCell ref="A5:P5"/>
    <mergeCell ref="B10:D10"/>
    <mergeCell ref="F10:S10"/>
    <mergeCell ref="F11:S11"/>
    <mergeCell ref="E12:R12"/>
    <mergeCell ref="E13:R13"/>
    <mergeCell ref="B145:E145"/>
    <mergeCell ref="B150:B156"/>
    <mergeCell ref="B158:B161"/>
    <mergeCell ref="B162:B176"/>
    <mergeCell ref="D27:D28"/>
    <mergeCell ref="E27:E28"/>
    <mergeCell ref="D51:I51"/>
    <mergeCell ref="D52:I52"/>
    <mergeCell ref="D53:I53"/>
    <mergeCell ref="D58:I58"/>
    <mergeCell ref="D59:I59"/>
    <mergeCell ref="D60:I60"/>
    <mergeCell ref="D65:I65"/>
    <mergeCell ref="D98:I98"/>
    <mergeCell ref="D67:I67"/>
    <mergeCell ref="D73:I73"/>
    <mergeCell ref="G27:G28"/>
    <mergeCell ref="B15:B109"/>
    <mergeCell ref="D15:I15"/>
    <mergeCell ref="D16:I16"/>
    <mergeCell ref="D17:I17"/>
    <mergeCell ref="D20:I20"/>
    <mergeCell ref="D25:I25"/>
    <mergeCell ref="D26:I26"/>
    <mergeCell ref="D37:I37"/>
    <mergeCell ref="D38:I38"/>
    <mergeCell ref="F27:F28"/>
    <mergeCell ref="D66:I66"/>
    <mergeCell ref="D39:I39"/>
    <mergeCell ref="D44:I44"/>
    <mergeCell ref="D45:I45"/>
    <mergeCell ref="D46:I46"/>
    <mergeCell ref="D79:I79"/>
    <mergeCell ref="D80:I80"/>
    <mergeCell ref="D84:I84"/>
    <mergeCell ref="D85:I85"/>
    <mergeCell ref="D74:I74"/>
    <mergeCell ref="D90:I90"/>
    <mergeCell ref="D91:I91"/>
    <mergeCell ref="D92:I92"/>
    <mergeCell ref="D97:I97"/>
    <mergeCell ref="B131:E131"/>
    <mergeCell ref="B132:B138"/>
    <mergeCell ref="D99:I99"/>
    <mergeCell ref="D103:I103"/>
    <mergeCell ref="D104:I104"/>
    <mergeCell ref="D105:I105"/>
    <mergeCell ref="B122:E122"/>
    <mergeCell ref="B123:B129"/>
  </mergeCells>
  <conditionalFormatting sqref="E12:R12">
    <cfRule type="expression" dxfId="33" priority="1">
      <formula>E11="SI SE REPORTA"</formula>
    </cfRule>
  </conditionalFormatting>
  <conditionalFormatting sqref="F10">
    <cfRule type="notContainsBlanks" dxfId="32" priority="4">
      <formula>LEN(TRIM(F10))&gt;0</formula>
    </cfRule>
  </conditionalFormatting>
  <conditionalFormatting sqref="F117">
    <cfRule type="containsText" dxfId="31" priority="5" operator="containsText" text="ERROR">
      <formula>NOT(ISERROR(SEARCH("ERROR",F117)))</formula>
    </cfRule>
  </conditionalFormatting>
  <conditionalFormatting sqref="F11:S11">
    <cfRule type="expression" dxfId="30" priority="2">
      <formula>E11="NO SE REPORTA"</formula>
    </cfRule>
    <cfRule type="expression" dxfId="29" priority="3">
      <formula>E10="NO APLICA"</formula>
    </cfRule>
  </conditionalFormatting>
  <dataValidations count="5">
    <dataValidation type="whole" operator="greaterThanOrEqual" allowBlank="1" showErrorMessage="1" errorTitle="ERROR" error="Escriba un número igual o mayor que 0" promptTitle="ERROR" prompt="Escriba un número igual o mayor que 0" sqref="E94:H95 E55:H56 E87:H88 E18:E19 E41:E43 E48:H49 E62:E64 E69:H70 E76:H77 E101:E102 E82:E83 E22:H23 E107:H108 E29:H35" xr:uid="{71B9858D-2002-4F6C-BB99-7AC39A17AB37}">
      <formula1>0</formula1>
    </dataValidation>
    <dataValidation allowBlank="1" showInputMessage="1" showErrorMessage="1" sqref="E57:H57 E71:I71 I69:I70 I76:I78 E78:H78 E24:H24 E36:H36 I48:I50 E50:H50 I55:I57" xr:uid="{5405038B-5E32-4781-927F-619B72C86E8F}"/>
    <dataValidation type="decimal" allowBlank="1" showInputMessage="1" showErrorMessage="1" errorTitle="ERROR" error="Escriba un valor entre 0% y 100%" sqref="F112:F116" xr:uid="{A6974848-87DE-42C1-BC95-946DE86C0040}">
      <formula1>0</formula1>
      <formula2>1</formula2>
    </dataValidation>
    <dataValidation type="list" allowBlank="1" showInputMessage="1" showErrorMessage="1" sqref="E11" xr:uid="{46EC2550-D8B2-4A0C-896A-FA6F41070672}">
      <formula1>REPORTE</formula1>
    </dataValidation>
    <dataValidation type="list" allowBlank="1" showInputMessage="1" showErrorMessage="1" sqref="E10" xr:uid="{5BAD9955-A001-4019-BB02-2BAD88565389}">
      <formula1>SI</formula1>
    </dataValidation>
  </dataValidations>
  <hyperlinks>
    <hyperlink ref="B9" location="'ANEXO 3'!A1" display="VOLVER AL INDICE" xr:uid="{D74AEAFC-8299-4E0E-A298-8120217D2CAA}"/>
    <hyperlink ref="E127" r:id="rId1" display="bcoll@crautonoma.gov.co" xr:uid="{AF5EA0F2-B8FC-441A-B475-414740191916}"/>
  </hyperlinks>
  <pageMargins left="0.25" right="0.25" top="0.75" bottom="0.75" header="0.3" footer="0.3"/>
  <pageSetup paperSize="178" orientation="landscape" horizontalDpi="1200" verticalDpi="1200"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1:B19"/>
  <sheetViews>
    <sheetView workbookViewId="0">
      <selection activeCell="E8" sqref="E8"/>
    </sheetView>
  </sheetViews>
  <sheetFormatPr baseColWidth="10" defaultColWidth="11.44140625" defaultRowHeight="13.8"/>
  <cols>
    <col min="1" max="1" width="34.109375" style="395" customWidth="1"/>
    <col min="2" max="2" width="70.5546875" style="395" customWidth="1"/>
    <col min="3" max="16384" width="11.44140625" style="395"/>
  </cols>
  <sheetData>
    <row r="1" spans="1:2" ht="14.4" thickBot="1">
      <c r="A1" s="1333"/>
      <c r="B1" s="1333"/>
    </row>
    <row r="2" spans="1:2" ht="14.4" thickBot="1">
      <c r="A2" s="1334" t="s">
        <v>1662</v>
      </c>
      <c r="B2" s="1335"/>
    </row>
    <row r="3" spans="1:2" ht="14.4" thickBot="1">
      <c r="A3" s="1336" t="s">
        <v>1241</v>
      </c>
      <c r="B3" s="1337"/>
    </row>
    <row r="4" spans="1:2" ht="14.4" thickBot="1">
      <c r="A4" s="396" t="s">
        <v>1663</v>
      </c>
      <c r="B4" s="396" t="s">
        <v>1242</v>
      </c>
    </row>
    <row r="5" spans="1:2" ht="28.2" thickBot="1">
      <c r="A5" s="397" t="s">
        <v>1664</v>
      </c>
      <c r="B5" s="398" t="s">
        <v>1665</v>
      </c>
    </row>
    <row r="6" spans="1:2" ht="15" thickTop="1" thickBot="1">
      <c r="A6" s="399" t="s">
        <v>1666</v>
      </c>
      <c r="B6" s="398" t="s">
        <v>1667</v>
      </c>
    </row>
    <row r="7" spans="1:2" ht="28.8" thickTop="1" thickBot="1">
      <c r="A7" s="399" t="s">
        <v>1668</v>
      </c>
      <c r="B7" s="400" t="s">
        <v>1669</v>
      </c>
    </row>
    <row r="8" spans="1:2" ht="56.4" thickTop="1" thickBot="1">
      <c r="A8" s="399" t="s">
        <v>1670</v>
      </c>
      <c r="B8" s="398" t="s">
        <v>1671</v>
      </c>
    </row>
    <row r="9" spans="1:2" ht="56.4" thickTop="1" thickBot="1">
      <c r="A9" s="401" t="s">
        <v>1672</v>
      </c>
      <c r="B9" s="398" t="s">
        <v>1673</v>
      </c>
    </row>
    <row r="10" spans="1:2" ht="28.8" thickTop="1" thickBot="1">
      <c r="A10" s="401" t="s">
        <v>1674</v>
      </c>
      <c r="B10" s="398" t="s">
        <v>1675</v>
      </c>
    </row>
    <row r="11" spans="1:2" ht="28.8" thickTop="1" thickBot="1">
      <c r="A11" s="402" t="s">
        <v>1676</v>
      </c>
      <c r="B11" s="400" t="s">
        <v>1677</v>
      </c>
    </row>
    <row r="12" spans="1:2" ht="28.8" thickTop="1" thickBot="1">
      <c r="A12" s="399" t="s">
        <v>1678</v>
      </c>
      <c r="B12" s="400" t="s">
        <v>1679</v>
      </c>
    </row>
    <row r="13" spans="1:2" ht="97.8" thickTop="1" thickBot="1">
      <c r="A13" s="402" t="s">
        <v>1680</v>
      </c>
      <c r="B13" s="398" t="s">
        <v>1681</v>
      </c>
    </row>
    <row r="14" spans="1:2" ht="56.4" thickTop="1" thickBot="1">
      <c r="A14" s="402" t="s">
        <v>1682</v>
      </c>
      <c r="B14" s="398" t="s">
        <v>1683</v>
      </c>
    </row>
    <row r="15" spans="1:2" ht="84" thickTop="1" thickBot="1">
      <c r="A15" s="403" t="s">
        <v>1684</v>
      </c>
      <c r="B15" s="400" t="s">
        <v>1685</v>
      </c>
    </row>
    <row r="16" spans="1:2" ht="15" thickTop="1" thickBot="1">
      <c r="A16" s="399" t="s">
        <v>1686</v>
      </c>
      <c r="B16" s="400" t="s">
        <v>1687</v>
      </c>
    </row>
    <row r="17" spans="1:2" ht="28.8" thickTop="1" thickBot="1">
      <c r="A17" s="404" t="s">
        <v>1688</v>
      </c>
      <c r="B17" s="400" t="s">
        <v>1689</v>
      </c>
    </row>
    <row r="18" spans="1:2" ht="28.8" thickTop="1" thickBot="1">
      <c r="A18" s="399" t="s">
        <v>1690</v>
      </c>
      <c r="B18" s="405" t="s">
        <v>1691</v>
      </c>
    </row>
    <row r="19" spans="1:2" ht="14.4" thickTop="1"/>
  </sheetData>
  <mergeCells count="3">
    <mergeCell ref="A1:B1"/>
    <mergeCell ref="A2:B2"/>
    <mergeCell ref="A3:B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33">
    <tabColor rgb="FF92D050"/>
  </sheetPr>
  <dimension ref="A1:U179"/>
  <sheetViews>
    <sheetView showGridLines="0" topLeftCell="A16" zoomScale="98" zoomScaleNormal="98" workbookViewId="0">
      <selection activeCell="H21" sqref="H21"/>
    </sheetView>
  </sheetViews>
  <sheetFormatPr baseColWidth="10" defaultRowHeight="14.4"/>
  <cols>
    <col min="1" max="1" width="1.88671875" customWidth="1"/>
    <col min="2" max="2" width="12.88671875" customWidth="1"/>
    <col min="3" max="3" width="5" style="66" bestFit="1" customWidth="1"/>
    <col min="4" max="4" width="34.88671875" customWidth="1"/>
    <col min="5" max="5" width="24.886718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+'[9]Datos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+'[8]Datos Generales'!C6</f>
        <v>2023-II</v>
      </c>
      <c r="F4" s="320"/>
      <c r="G4" s="320"/>
      <c r="H4" s="320"/>
      <c r="I4" s="320"/>
      <c r="J4" s="320"/>
      <c r="K4" s="320"/>
      <c r="L4" s="321"/>
      <c r="M4" s="321"/>
      <c r="N4" s="321"/>
      <c r="O4" s="321"/>
      <c r="P4" s="322"/>
      <c r="Q4"/>
      <c r="R4"/>
    </row>
    <row r="5" spans="1:21" ht="16.5" customHeight="1" thickBot="1">
      <c r="A5" s="1401" t="s">
        <v>939</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4" t="s">
        <v>1178</v>
      </c>
      <c r="C8" s="564">
        <v>2023</v>
      </c>
      <c r="D8" s="170">
        <f>IF(E10="NO APLICA","NO APLICA",IF(E11="NO SE REPORTA","SIN INFORMACION",+H21))</f>
        <v>2.4271844660194174E-2</v>
      </c>
      <c r="E8" s="167"/>
      <c r="F8" s="5" t="s">
        <v>129</v>
      </c>
      <c r="G8" s="5"/>
      <c r="H8" s="5"/>
      <c r="I8" s="5"/>
      <c r="J8" s="5"/>
      <c r="K8" s="5"/>
    </row>
    <row r="9" spans="1:21">
      <c r="B9" s="298" t="s">
        <v>1179</v>
      </c>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23.4" customHeight="1">
      <c r="B12" s="298"/>
      <c r="C12" s="67"/>
      <c r="D12" s="144" t="str">
        <f>IF(E11="SI SE REPORTA","¿Qué programas o proyectos del Plan de Acción están asociados al indicador? ","")</f>
        <v xml:space="preserve">¿Qué programas o proyectos del Plan de Acción están asociados al indicador? </v>
      </c>
      <c r="E12" s="1535" t="s">
        <v>1935</v>
      </c>
      <c r="F12" s="1535"/>
      <c r="G12" s="1535"/>
      <c r="H12" s="1535"/>
      <c r="I12" s="1535"/>
      <c r="J12" s="1535"/>
      <c r="K12" s="1535"/>
      <c r="L12" s="1535"/>
      <c r="M12" s="1535"/>
      <c r="N12" s="1535"/>
      <c r="O12" s="1535"/>
      <c r="P12" s="1535"/>
      <c r="Q12" s="1535"/>
      <c r="R12" s="1535"/>
    </row>
    <row r="13" spans="1:21" ht="21.9" customHeight="1">
      <c r="B13" s="298"/>
      <c r="C13" s="67"/>
      <c r="D13" s="144" t="s">
        <v>1236</v>
      </c>
      <c r="E13" s="1710"/>
      <c r="F13" s="1711"/>
      <c r="G13" s="1711"/>
      <c r="H13" s="1711"/>
      <c r="I13" s="1711"/>
      <c r="J13" s="1711"/>
      <c r="K13" s="1711"/>
      <c r="L13" s="1711"/>
      <c r="M13" s="1711"/>
      <c r="N13" s="1711"/>
      <c r="O13" s="1711"/>
      <c r="P13" s="1711"/>
      <c r="Q13" s="1711"/>
      <c r="R13" s="1712"/>
    </row>
    <row r="14" spans="1:21" ht="6.9" customHeight="1" thickBot="1">
      <c r="B14" s="298"/>
      <c r="D14" s="5"/>
      <c r="E14" s="5"/>
      <c r="F14" s="5"/>
      <c r="G14" s="5"/>
      <c r="H14" s="5"/>
      <c r="I14" s="5"/>
      <c r="J14" s="5"/>
      <c r="K14" s="5"/>
    </row>
    <row r="15" spans="1:21">
      <c r="B15" s="1434" t="s">
        <v>2</v>
      </c>
      <c r="C15" s="68"/>
      <c r="D15" s="1425"/>
      <c r="E15" s="1426"/>
      <c r="F15" s="1426"/>
      <c r="G15" s="1426"/>
      <c r="H15" s="1426"/>
      <c r="I15" s="1427"/>
      <c r="J15" s="5"/>
      <c r="K15" s="5"/>
    </row>
    <row r="16" spans="1:21" ht="15" thickBot="1">
      <c r="B16" s="1435"/>
      <c r="C16" s="71"/>
      <c r="D16" s="1447" t="s">
        <v>3</v>
      </c>
      <c r="E16" s="1448"/>
      <c r="F16" s="1448"/>
      <c r="G16" s="1448"/>
      <c r="H16" s="1448"/>
      <c r="I16" s="1449"/>
      <c r="J16" s="5"/>
      <c r="K16" s="5"/>
    </row>
    <row r="17" spans="2:11" ht="21.75" customHeight="1" thickBot="1">
      <c r="B17" s="1435"/>
      <c r="C17" s="73"/>
      <c r="D17" s="572" t="s">
        <v>149</v>
      </c>
      <c r="E17" s="585" t="s">
        <v>19</v>
      </c>
      <c r="F17" s="585" t="s">
        <v>20</v>
      </c>
      <c r="G17" s="585" t="s">
        <v>21</v>
      </c>
      <c r="H17" s="585" t="s">
        <v>22</v>
      </c>
      <c r="I17" s="585" t="s">
        <v>150</v>
      </c>
      <c r="J17" s="5"/>
      <c r="K17" s="5"/>
    </row>
    <row r="18" spans="2:11" ht="36.6" thickBot="1">
      <c r="B18" s="1435"/>
      <c r="C18" s="73"/>
      <c r="D18" s="32" t="s">
        <v>954</v>
      </c>
      <c r="E18" s="541">
        <f>482+17</f>
        <v>499</v>
      </c>
      <c r="F18" s="541">
        <v>444</v>
      </c>
      <c r="G18" s="541">
        <v>377</v>
      </c>
      <c r="H18" s="541">
        <v>412</v>
      </c>
      <c r="I18" s="543">
        <f>SUM(E18:H18)</f>
        <v>1732</v>
      </c>
      <c r="J18" s="5"/>
      <c r="K18" s="5"/>
    </row>
    <row r="19" spans="2:11" ht="36.6" thickBot="1">
      <c r="B19" s="1435"/>
      <c r="C19" s="73"/>
      <c r="D19" s="32" t="s">
        <v>955</v>
      </c>
      <c r="E19" s="541">
        <v>63</v>
      </c>
      <c r="F19" s="541">
        <v>86</v>
      </c>
      <c r="G19" s="541">
        <v>8</v>
      </c>
      <c r="H19" s="541">
        <v>4</v>
      </c>
      <c r="I19" s="543">
        <f>SUM(E19:H19)</f>
        <v>161</v>
      </c>
      <c r="J19" s="5"/>
      <c r="K19" s="5"/>
    </row>
    <row r="20" spans="2:11" ht="24.6" thickBot="1">
      <c r="B20" s="1435"/>
      <c r="C20" s="73"/>
      <c r="D20" s="32" t="s">
        <v>956</v>
      </c>
      <c r="E20" s="541">
        <v>2</v>
      </c>
      <c r="F20" s="541">
        <v>10</v>
      </c>
      <c r="G20" s="541">
        <v>4</v>
      </c>
      <c r="H20" s="541">
        <v>6</v>
      </c>
      <c r="I20" s="543">
        <f>SUM(E20:H20)</f>
        <v>22</v>
      </c>
      <c r="J20" s="5"/>
      <c r="K20" s="5"/>
    </row>
    <row r="21" spans="2:11" ht="24.6" thickBot="1">
      <c r="B21" s="1436"/>
      <c r="C21" s="2"/>
      <c r="D21" s="32" t="s">
        <v>957</v>
      </c>
      <c r="E21" s="547">
        <f>+(E19+E20)/E18</f>
        <v>0.13026052104208416</v>
      </c>
      <c r="F21" s="547">
        <f>+(F19+F20)/F18</f>
        <v>0.21621621621621623</v>
      </c>
      <c r="G21" s="547">
        <f>+(G19+G20)/G18</f>
        <v>3.1830238726790451E-2</v>
      </c>
      <c r="H21" s="547">
        <f>+(H19+H20)/H18</f>
        <v>2.4271844660194174E-2</v>
      </c>
      <c r="I21" s="547">
        <f>+(I19+I20)/I18</f>
        <v>0.1056581986143187</v>
      </c>
      <c r="J21" s="5"/>
      <c r="K21" s="5"/>
    </row>
    <row r="22" spans="2:11" ht="36" customHeight="1" thickBot="1">
      <c r="B22" s="37" t="s">
        <v>33</v>
      </c>
      <c r="C22" s="72"/>
      <c r="D22" s="1437" t="s">
        <v>958</v>
      </c>
      <c r="E22" s="1438"/>
      <c r="F22" s="1438"/>
      <c r="G22" s="1438"/>
      <c r="H22" s="1438"/>
      <c r="I22" s="1439"/>
      <c r="J22" s="5"/>
      <c r="K22" s="5"/>
    </row>
    <row r="23" spans="2:11" ht="36" customHeight="1" thickBot="1">
      <c r="B23" s="37" t="s">
        <v>35</v>
      </c>
      <c r="C23" s="72"/>
      <c r="D23" s="1437" t="s">
        <v>158</v>
      </c>
      <c r="E23" s="1438"/>
      <c r="F23" s="1438"/>
      <c r="G23" s="1438"/>
      <c r="H23" s="1438"/>
      <c r="I23" s="1439"/>
      <c r="J23" s="5"/>
      <c r="K23" s="5"/>
    </row>
    <row r="24" spans="2:11" ht="15" thickBot="1">
      <c r="B24" s="1"/>
      <c r="C24" s="64"/>
      <c r="D24" s="5"/>
      <c r="E24" s="5"/>
      <c r="F24" s="5"/>
      <c r="G24" s="5"/>
      <c r="H24" s="5"/>
      <c r="I24" s="5"/>
      <c r="J24" s="5"/>
      <c r="K24" s="5"/>
    </row>
    <row r="25" spans="2:11" ht="24" customHeight="1" thickBot="1">
      <c r="B25" s="1444" t="s">
        <v>37</v>
      </c>
      <c r="C25" s="1445"/>
      <c r="D25" s="1445"/>
      <c r="E25" s="1446"/>
      <c r="F25" s="5"/>
      <c r="G25" s="5"/>
      <c r="H25" s="5"/>
      <c r="I25" s="5"/>
      <c r="J25" s="5"/>
      <c r="K25" s="5"/>
    </row>
    <row r="26" spans="2:11" ht="26.25" customHeight="1" thickBot="1">
      <c r="B26" s="1434">
        <v>1</v>
      </c>
      <c r="C26" s="73"/>
      <c r="D26" s="38" t="s">
        <v>38</v>
      </c>
      <c r="E26" s="858" t="s">
        <v>1811</v>
      </c>
      <c r="F26" s="5"/>
      <c r="G26" s="5"/>
      <c r="H26" s="5"/>
      <c r="I26" s="5"/>
      <c r="J26" s="5"/>
      <c r="K26" s="5"/>
    </row>
    <row r="27" spans="2:11" ht="24.6" thickBot="1">
      <c r="B27" s="1435"/>
      <c r="C27" s="73"/>
      <c r="D27" s="32" t="s">
        <v>39</v>
      </c>
      <c r="E27" s="562" t="s">
        <v>1875</v>
      </c>
      <c r="F27" s="5"/>
      <c r="G27" s="5"/>
      <c r="H27" s="5"/>
      <c r="I27" s="5"/>
      <c r="J27" s="5"/>
      <c r="K27" s="5"/>
    </row>
    <row r="28" spans="2:11" ht="15" thickBot="1">
      <c r="B28" s="1435"/>
      <c r="C28" s="73"/>
      <c r="D28" s="32" t="s">
        <v>40</v>
      </c>
      <c r="E28" s="562" t="s">
        <v>2026</v>
      </c>
      <c r="F28" s="5"/>
      <c r="G28" s="5"/>
      <c r="H28" s="5"/>
      <c r="I28" s="5"/>
      <c r="J28" s="5"/>
      <c r="K28" s="5"/>
    </row>
    <row r="29" spans="2:11" ht="15" thickBot="1">
      <c r="B29" s="1435"/>
      <c r="C29" s="73"/>
      <c r="D29" s="32" t="s">
        <v>41</v>
      </c>
      <c r="E29" s="189" t="s">
        <v>2028</v>
      </c>
      <c r="F29" s="5"/>
      <c r="G29" s="5"/>
      <c r="H29" s="5"/>
      <c r="I29" s="5"/>
      <c r="J29" s="5"/>
      <c r="K29" s="5"/>
    </row>
    <row r="30" spans="2:11" ht="29.4" thickBot="1">
      <c r="B30" s="1435"/>
      <c r="C30" s="73"/>
      <c r="D30" s="32" t="s">
        <v>42</v>
      </c>
      <c r="E30" s="859" t="s">
        <v>2016</v>
      </c>
      <c r="F30" s="5"/>
      <c r="G30" s="5"/>
      <c r="H30" s="5"/>
      <c r="I30" s="5"/>
      <c r="J30" s="5"/>
      <c r="K30" s="5"/>
    </row>
    <row r="31" spans="2:11" ht="15" thickBot="1">
      <c r="B31" s="1435"/>
      <c r="C31" s="73"/>
      <c r="D31" s="32" t="s">
        <v>43</v>
      </c>
      <c r="E31" s="562" t="s">
        <v>1822</v>
      </c>
      <c r="F31" s="5"/>
      <c r="G31" s="5"/>
      <c r="H31" s="5"/>
      <c r="I31" s="5"/>
      <c r="J31" s="5"/>
      <c r="K31" s="5"/>
    </row>
    <row r="32" spans="2:11" ht="15" thickBot="1">
      <c r="B32" s="1436"/>
      <c r="C32" s="2"/>
      <c r="D32" s="32" t="s">
        <v>44</v>
      </c>
      <c r="E32" s="562" t="s">
        <v>1814</v>
      </c>
      <c r="F32" s="5"/>
      <c r="G32" s="5"/>
      <c r="H32" s="5"/>
      <c r="I32" s="5"/>
      <c r="J32" s="5"/>
      <c r="K32" s="5"/>
    </row>
    <row r="33" spans="2:11" ht="15" thickBot="1">
      <c r="B33" s="1"/>
      <c r="C33" s="64"/>
      <c r="D33" s="5"/>
      <c r="E33" s="5"/>
      <c r="F33" s="5"/>
      <c r="G33" s="5"/>
      <c r="H33" s="5"/>
      <c r="I33" s="5"/>
      <c r="J33" s="5"/>
      <c r="K33" s="5"/>
    </row>
    <row r="34" spans="2:11" ht="15" thickBot="1">
      <c r="B34" s="1444" t="s">
        <v>45</v>
      </c>
      <c r="C34" s="1445"/>
      <c r="D34" s="1445"/>
      <c r="E34" s="1446"/>
      <c r="F34" s="5"/>
      <c r="G34" s="5"/>
      <c r="H34" s="5"/>
      <c r="I34" s="5"/>
      <c r="J34" s="5"/>
      <c r="K34" s="5"/>
    </row>
    <row r="35" spans="2:11" ht="24.6" thickBot="1">
      <c r="B35" s="1434">
        <v>1</v>
      </c>
      <c r="C35" s="73"/>
      <c r="D35" s="38" t="s">
        <v>38</v>
      </c>
      <c r="E35" s="28" t="s">
        <v>46</v>
      </c>
      <c r="F35" s="5"/>
      <c r="G35" s="5"/>
      <c r="H35" s="5"/>
      <c r="I35" s="5"/>
      <c r="J35" s="5"/>
      <c r="K35" s="5"/>
    </row>
    <row r="36" spans="2:11" ht="36.6" thickBot="1">
      <c r="B36" s="1435"/>
      <c r="C36" s="73"/>
      <c r="D36" s="32" t="s">
        <v>39</v>
      </c>
      <c r="E36" s="608" t="s">
        <v>47</v>
      </c>
      <c r="F36" s="5"/>
      <c r="G36" s="5"/>
      <c r="H36" s="5"/>
      <c r="I36" s="5"/>
      <c r="J36" s="5"/>
      <c r="K36" s="5"/>
    </row>
    <row r="37" spans="2:11" ht="15" thickBot="1">
      <c r="B37" s="1435"/>
      <c r="C37" s="73"/>
      <c r="D37" s="32" t="s">
        <v>40</v>
      </c>
      <c r="E37" s="138"/>
      <c r="F37" s="5"/>
      <c r="G37" s="5"/>
      <c r="H37" s="5"/>
      <c r="I37" s="5"/>
      <c r="J37" s="5"/>
      <c r="K37" s="5"/>
    </row>
    <row r="38" spans="2:11" ht="15" thickBot="1">
      <c r="B38" s="1435"/>
      <c r="C38" s="73"/>
      <c r="D38" s="32" t="s">
        <v>41</v>
      </c>
      <c r="E38" s="138"/>
      <c r="F38" s="5"/>
      <c r="G38" s="5"/>
      <c r="H38" s="5"/>
      <c r="I38" s="5"/>
      <c r="J38" s="5"/>
      <c r="K38" s="5"/>
    </row>
    <row r="39" spans="2:11" ht="15" thickBot="1">
      <c r="B39" s="1435"/>
      <c r="C39" s="73"/>
      <c r="D39" s="32" t="s">
        <v>42</v>
      </c>
      <c r="E39" s="138"/>
      <c r="F39" s="5"/>
      <c r="G39" s="5"/>
      <c r="H39" s="5"/>
      <c r="I39" s="5"/>
      <c r="J39" s="5"/>
      <c r="K39" s="5"/>
    </row>
    <row r="40" spans="2:11" ht="15" thickBot="1">
      <c r="B40" s="1435"/>
      <c r="C40" s="73"/>
      <c r="D40" s="32" t="s">
        <v>43</v>
      </c>
      <c r="E40" s="138"/>
      <c r="F40" s="5"/>
      <c r="G40" s="5"/>
      <c r="H40" s="5"/>
      <c r="I40" s="5"/>
      <c r="J40" s="5"/>
      <c r="K40" s="5"/>
    </row>
    <row r="41" spans="2:11" ht="15" thickBot="1">
      <c r="B41" s="1436"/>
      <c r="C41" s="2"/>
      <c r="D41" s="32" t="s">
        <v>44</v>
      </c>
      <c r="E41" s="138"/>
      <c r="F41" s="5"/>
      <c r="G41" s="5"/>
      <c r="H41" s="5"/>
      <c r="I41" s="5"/>
      <c r="J41" s="5"/>
      <c r="K41" s="5"/>
    </row>
    <row r="42" spans="2:11" ht="15" thickBot="1">
      <c r="B42" s="1"/>
      <c r="C42" s="64"/>
      <c r="D42" s="5"/>
      <c r="E42" s="5"/>
      <c r="F42" s="5"/>
      <c r="G42" s="5"/>
      <c r="H42" s="5"/>
      <c r="I42" s="5"/>
      <c r="J42" s="5"/>
      <c r="K42" s="5"/>
    </row>
    <row r="43" spans="2:11" ht="15" customHeight="1" thickBot="1">
      <c r="B43" s="100" t="s">
        <v>48</v>
      </c>
      <c r="C43" s="101"/>
      <c r="D43" s="101"/>
      <c r="E43" s="102"/>
      <c r="G43" s="5"/>
      <c r="H43" s="5"/>
      <c r="I43" s="5"/>
      <c r="J43" s="5"/>
      <c r="K43" s="5"/>
    </row>
    <row r="44" spans="2:11" ht="24.6" thickBot="1">
      <c r="B44" s="37" t="s">
        <v>49</v>
      </c>
      <c r="C44" s="32" t="s">
        <v>50</v>
      </c>
      <c r="D44" s="32" t="s">
        <v>51</v>
      </c>
      <c r="E44" s="32" t="s">
        <v>52</v>
      </c>
      <c r="F44" s="5"/>
      <c r="G44" s="5"/>
      <c r="H44" s="5"/>
      <c r="I44" s="5"/>
      <c r="J44" s="5"/>
    </row>
    <row r="45" spans="2:11" ht="60.6" thickBot="1">
      <c r="B45" s="39">
        <v>42401</v>
      </c>
      <c r="C45" s="32">
        <v>0.01</v>
      </c>
      <c r="D45" s="40" t="s">
        <v>959</v>
      </c>
      <c r="E45" s="32"/>
      <c r="F45" s="5"/>
      <c r="G45" s="5"/>
      <c r="H45" s="5"/>
      <c r="I45" s="5"/>
      <c r="J45" s="5"/>
    </row>
    <row r="46" spans="2:11" ht="15" thickBot="1">
      <c r="B46" s="1"/>
      <c r="C46" s="64"/>
      <c r="D46" s="5"/>
      <c r="E46" s="5"/>
      <c r="F46" s="5"/>
      <c r="G46" s="5"/>
      <c r="H46" s="5"/>
      <c r="I46" s="5"/>
      <c r="J46" s="5"/>
      <c r="K46" s="5"/>
    </row>
    <row r="47" spans="2:11">
      <c r="B47" s="106" t="s">
        <v>54</v>
      </c>
      <c r="C47" s="75"/>
      <c r="D47" s="5"/>
      <c r="E47" s="5"/>
      <c r="F47" s="5"/>
      <c r="G47" s="5"/>
      <c r="H47" s="5"/>
      <c r="I47" s="5"/>
      <c r="J47" s="5"/>
      <c r="K47" s="5"/>
    </row>
    <row r="48" spans="2:11">
      <c r="B48" s="1704"/>
      <c r="C48" s="1705"/>
      <c r="D48" s="1705"/>
      <c r="E48" s="1706"/>
      <c r="F48" s="5"/>
      <c r="G48" s="5"/>
      <c r="H48" s="5"/>
      <c r="I48" s="5"/>
      <c r="J48" s="5"/>
      <c r="K48" s="5"/>
    </row>
    <row r="49" spans="2:11">
      <c r="B49" s="1707"/>
      <c r="C49" s="1708"/>
      <c r="D49" s="1708"/>
      <c r="E49" s="1709"/>
      <c r="F49" s="5"/>
      <c r="G49" s="5"/>
      <c r="H49" s="5"/>
      <c r="I49" s="5"/>
      <c r="J49" s="5"/>
      <c r="K49" s="5"/>
    </row>
    <row r="50" spans="2:11" ht="15" thickBot="1">
      <c r="B50" s="5"/>
      <c r="D50" s="5"/>
      <c r="E50" s="5"/>
      <c r="F50" s="5"/>
      <c r="G50" s="5"/>
      <c r="H50" s="5"/>
      <c r="I50" s="5"/>
      <c r="J50" s="5"/>
      <c r="K50" s="5"/>
    </row>
    <row r="51" spans="2:11" ht="24.6" thickBot="1">
      <c r="B51" s="41" t="s">
        <v>55</v>
      </c>
      <c r="C51" s="76"/>
      <c r="D51" s="5"/>
      <c r="E51" s="5"/>
      <c r="F51" s="5"/>
      <c r="G51" s="5"/>
      <c r="H51" s="5"/>
      <c r="I51" s="5"/>
      <c r="J51" s="5"/>
      <c r="K51" s="5"/>
    </row>
    <row r="52" spans="2:11" ht="15" thickBot="1">
      <c r="B52" s="1"/>
      <c r="C52" s="64"/>
      <c r="D52" s="5"/>
      <c r="E52" s="5"/>
      <c r="F52" s="5"/>
      <c r="G52" s="5"/>
      <c r="H52" s="5"/>
      <c r="I52" s="5"/>
      <c r="J52" s="5"/>
      <c r="K52" s="5"/>
    </row>
    <row r="53" spans="2:11" ht="84.6" thickBot="1">
      <c r="B53" s="42" t="s">
        <v>56</v>
      </c>
      <c r="C53" s="77"/>
      <c r="D53" s="34" t="s">
        <v>940</v>
      </c>
      <c r="E53" s="5"/>
      <c r="F53" s="5"/>
      <c r="G53" s="5"/>
      <c r="H53" s="5"/>
      <c r="I53" s="5"/>
      <c r="J53" s="5"/>
      <c r="K53" s="5"/>
    </row>
    <row r="54" spans="2:11">
      <c r="B54" s="1434" t="s">
        <v>58</v>
      </c>
      <c r="C54" s="73"/>
      <c r="D54" s="43" t="s">
        <v>59</v>
      </c>
      <c r="E54" s="5"/>
      <c r="F54" s="5"/>
      <c r="G54" s="5"/>
      <c r="H54" s="5"/>
      <c r="I54" s="5"/>
      <c r="J54" s="5"/>
      <c r="K54" s="5"/>
    </row>
    <row r="55" spans="2:11" ht="60">
      <c r="B55" s="1435"/>
      <c r="C55" s="73"/>
      <c r="D55" s="43" t="s">
        <v>941</v>
      </c>
      <c r="E55" s="5"/>
      <c r="F55" s="5"/>
      <c r="G55" s="5"/>
      <c r="H55" s="5"/>
      <c r="I55" s="5"/>
      <c r="J55" s="5"/>
      <c r="K55" s="5"/>
    </row>
    <row r="56" spans="2:11">
      <c r="B56" s="1435"/>
      <c r="C56" s="73"/>
      <c r="D56" s="43" t="s">
        <v>133</v>
      </c>
      <c r="E56" s="5"/>
      <c r="F56" s="5"/>
      <c r="G56" s="5"/>
      <c r="H56" s="5"/>
      <c r="I56" s="5"/>
      <c r="J56" s="5"/>
      <c r="K56" s="5"/>
    </row>
    <row r="57" spans="2:11">
      <c r="B57" s="1435"/>
      <c r="C57" s="73"/>
      <c r="D57" s="36" t="s">
        <v>942</v>
      </c>
      <c r="E57" s="5"/>
      <c r="F57" s="5"/>
      <c r="G57" s="5"/>
      <c r="H57" s="5"/>
      <c r="I57" s="5"/>
      <c r="J57" s="5"/>
      <c r="K57" s="5"/>
    </row>
    <row r="58" spans="2:11" ht="24">
      <c r="B58" s="1435"/>
      <c r="C58" s="73"/>
      <c r="D58" s="36" t="s">
        <v>943</v>
      </c>
      <c r="E58" s="5"/>
      <c r="F58" s="5"/>
      <c r="G58" s="5"/>
      <c r="H58" s="5"/>
      <c r="I58" s="5"/>
      <c r="J58" s="5"/>
      <c r="K58" s="5"/>
    </row>
    <row r="59" spans="2:11" ht="15" thickBot="1">
      <c r="B59" s="1436"/>
      <c r="C59" s="2"/>
      <c r="D59" s="32" t="s">
        <v>64</v>
      </c>
      <c r="E59" s="5"/>
      <c r="F59" s="5"/>
      <c r="G59" s="5"/>
      <c r="H59" s="5"/>
      <c r="I59" s="5"/>
      <c r="J59" s="5"/>
      <c r="K59" s="5"/>
    </row>
    <row r="60" spans="2:11" ht="24.6" thickBot="1">
      <c r="B60" s="37" t="s">
        <v>71</v>
      </c>
      <c r="C60" s="2"/>
      <c r="D60" s="32"/>
      <c r="E60" s="5"/>
      <c r="F60" s="5"/>
      <c r="G60" s="5"/>
      <c r="H60" s="5"/>
      <c r="I60" s="5"/>
      <c r="J60" s="5"/>
      <c r="K60" s="5"/>
    </row>
    <row r="61" spans="2:11" ht="108">
      <c r="B61" s="1434" t="s">
        <v>72</v>
      </c>
      <c r="C61" s="73"/>
      <c r="D61" s="36" t="s">
        <v>944</v>
      </c>
      <c r="E61" s="5"/>
      <c r="F61" s="5"/>
      <c r="G61" s="5"/>
      <c r="H61" s="5"/>
      <c r="I61" s="5"/>
      <c r="J61" s="5"/>
      <c r="K61" s="5"/>
    </row>
    <row r="62" spans="2:11" ht="264">
      <c r="B62" s="1435"/>
      <c r="C62" s="73"/>
      <c r="D62" s="36" t="s">
        <v>945</v>
      </c>
      <c r="E62" s="5"/>
      <c r="F62" s="5"/>
      <c r="G62" s="5"/>
      <c r="H62" s="5"/>
      <c r="I62" s="5"/>
      <c r="J62" s="5"/>
      <c r="K62" s="5"/>
    </row>
    <row r="63" spans="2:11" ht="72">
      <c r="B63" s="1435"/>
      <c r="C63" s="73"/>
      <c r="D63" s="36" t="s">
        <v>946</v>
      </c>
      <c r="E63" s="5"/>
      <c r="F63" s="5"/>
      <c r="G63" s="5"/>
      <c r="H63" s="5"/>
      <c r="I63" s="5"/>
      <c r="J63" s="5"/>
      <c r="K63" s="5"/>
    </row>
    <row r="64" spans="2:11" ht="60">
      <c r="B64" s="1435"/>
      <c r="C64" s="73"/>
      <c r="D64" s="36" t="s">
        <v>947</v>
      </c>
      <c r="E64" s="5"/>
      <c r="F64" s="5"/>
      <c r="G64" s="5"/>
      <c r="H64" s="5"/>
      <c r="I64" s="5"/>
      <c r="J64" s="5"/>
      <c r="K64" s="5"/>
    </row>
    <row r="65" spans="2:11" ht="48.6" thickBot="1">
      <c r="B65" s="1436"/>
      <c r="C65" s="2"/>
      <c r="D65" s="32" t="s">
        <v>948</v>
      </c>
      <c r="E65" s="5"/>
      <c r="F65" s="5"/>
      <c r="G65" s="5"/>
      <c r="H65" s="5"/>
      <c r="I65" s="5"/>
      <c r="J65" s="5"/>
      <c r="K65" s="5"/>
    </row>
    <row r="66" spans="2:11">
      <c r="B66" s="1434" t="s">
        <v>89</v>
      </c>
      <c r="C66" s="73"/>
      <c r="D66" s="36"/>
      <c r="E66" s="5"/>
      <c r="F66" s="5"/>
      <c r="G66" s="5"/>
      <c r="H66" s="5"/>
      <c r="I66" s="5"/>
      <c r="J66" s="5"/>
      <c r="K66" s="5"/>
    </row>
    <row r="67" spans="2:11">
      <c r="B67" s="1435"/>
      <c r="C67" s="73"/>
      <c r="D67" s="13"/>
      <c r="E67" s="5"/>
      <c r="F67" s="5"/>
      <c r="G67" s="5"/>
      <c r="H67" s="5"/>
      <c r="I67" s="5"/>
      <c r="J67" s="5"/>
      <c r="K67" s="5"/>
    </row>
    <row r="68" spans="2:11">
      <c r="B68" s="1435"/>
      <c r="C68" s="73"/>
      <c r="D68" s="36" t="s">
        <v>90</v>
      </c>
      <c r="E68" s="5"/>
      <c r="F68" s="5"/>
      <c r="G68" s="5"/>
      <c r="H68" s="5"/>
      <c r="I68" s="5"/>
      <c r="J68" s="5"/>
      <c r="K68" s="5"/>
    </row>
    <row r="69" spans="2:11" ht="26.4">
      <c r="B69" s="1435"/>
      <c r="C69" s="73"/>
      <c r="D69" s="36" t="s">
        <v>949</v>
      </c>
      <c r="E69" s="5"/>
      <c r="F69" s="5"/>
      <c r="G69" s="5"/>
      <c r="H69" s="5"/>
      <c r="I69" s="5"/>
      <c r="J69" s="5"/>
      <c r="K69" s="5"/>
    </row>
    <row r="70" spans="2:11" ht="38.4">
      <c r="B70" s="1435"/>
      <c r="C70" s="73"/>
      <c r="D70" s="36" t="s">
        <v>950</v>
      </c>
      <c r="E70" s="5"/>
      <c r="F70" s="5"/>
      <c r="G70" s="5"/>
      <c r="H70" s="5"/>
      <c r="I70" s="5"/>
      <c r="J70" s="5"/>
      <c r="K70" s="5"/>
    </row>
    <row r="71" spans="2:11" ht="38.4">
      <c r="B71" s="1435"/>
      <c r="C71" s="73"/>
      <c r="D71" s="36" t="s">
        <v>951</v>
      </c>
      <c r="E71" s="5"/>
      <c r="F71" s="5"/>
      <c r="G71" s="5"/>
      <c r="H71" s="5"/>
      <c r="I71" s="5"/>
      <c r="J71" s="5"/>
      <c r="K71" s="5"/>
    </row>
    <row r="72" spans="2:11" ht="36">
      <c r="B72" s="1435"/>
      <c r="C72" s="73"/>
      <c r="D72" s="36" t="s">
        <v>952</v>
      </c>
      <c r="E72" s="5"/>
      <c r="F72" s="5"/>
      <c r="G72" s="5"/>
      <c r="H72" s="5"/>
      <c r="I72" s="5"/>
      <c r="J72" s="5"/>
      <c r="K72" s="5"/>
    </row>
    <row r="73" spans="2:11" ht="120.6" thickBot="1">
      <c r="B73" s="1436"/>
      <c r="C73" s="2"/>
      <c r="D73" s="32" t="s">
        <v>953</v>
      </c>
      <c r="E73" s="5"/>
      <c r="F73" s="5"/>
      <c r="G73" s="5"/>
      <c r="H73" s="5"/>
      <c r="I73" s="5"/>
      <c r="J73" s="5"/>
      <c r="K73" s="5"/>
    </row>
    <row r="74" spans="2:11">
      <c r="B74" s="5"/>
      <c r="D74" s="5"/>
      <c r="E74" s="5"/>
      <c r="F74" s="5"/>
      <c r="G74" s="5"/>
      <c r="H74" s="5"/>
      <c r="I74" s="5"/>
      <c r="J74" s="5"/>
      <c r="K74" s="5"/>
    </row>
    <row r="75" spans="2:11">
      <c r="B75" s="5"/>
      <c r="D75" s="5"/>
      <c r="E75" s="5"/>
      <c r="F75" s="5"/>
      <c r="G75" s="5"/>
      <c r="H75" s="5"/>
      <c r="I75" s="5"/>
      <c r="J75" s="5"/>
      <c r="K75" s="5"/>
    </row>
    <row r="76" spans="2:11">
      <c r="B76" s="5"/>
      <c r="D76" s="5"/>
      <c r="E76" s="5"/>
      <c r="F76" s="5"/>
      <c r="G76" s="5"/>
      <c r="H76" s="5"/>
      <c r="I76" s="5"/>
      <c r="J76" s="5"/>
      <c r="K76" s="5"/>
    </row>
    <row r="77" spans="2:11">
      <c r="B77" s="5"/>
      <c r="D77" s="5"/>
      <c r="E77" s="5"/>
      <c r="F77" s="5"/>
      <c r="G77" s="5"/>
      <c r="H77" s="5"/>
      <c r="I77" s="5"/>
      <c r="J77" s="5"/>
      <c r="K77" s="5"/>
    </row>
    <row r="78" spans="2:11">
      <c r="B78" s="5"/>
      <c r="D78" s="5"/>
      <c r="E78" s="5"/>
      <c r="F78" s="5"/>
      <c r="G78" s="5"/>
      <c r="H78" s="5"/>
      <c r="I78" s="5"/>
      <c r="J78" s="5"/>
      <c r="K78" s="5"/>
    </row>
    <row r="79" spans="2:11">
      <c r="B79" s="5"/>
      <c r="D79" s="5"/>
      <c r="E79" s="5"/>
      <c r="F79" s="5"/>
      <c r="G79" s="5"/>
      <c r="H79" s="5"/>
      <c r="I79" s="5"/>
      <c r="J79" s="5"/>
      <c r="K79" s="5"/>
    </row>
    <row r="80" spans="2:11">
      <c r="B80" s="5"/>
      <c r="D80" s="5"/>
      <c r="E80" s="5"/>
      <c r="F80" s="5"/>
      <c r="G80" s="5"/>
      <c r="H80" s="5"/>
      <c r="I80" s="5"/>
      <c r="J80" s="5"/>
      <c r="K80" s="5"/>
    </row>
    <row r="81" spans="2:11">
      <c r="B81" s="5"/>
      <c r="D81" s="5"/>
      <c r="E81" s="5"/>
      <c r="F81" s="5"/>
      <c r="G81" s="5"/>
      <c r="H81" s="5"/>
      <c r="I81" s="5"/>
      <c r="J81" s="5"/>
      <c r="K81" s="5"/>
    </row>
    <row r="82" spans="2:11">
      <c r="B82" s="5"/>
      <c r="D82" s="5"/>
      <c r="E82" s="5"/>
      <c r="F82" s="5"/>
      <c r="G82" s="5"/>
      <c r="H82" s="5"/>
      <c r="I82" s="5"/>
      <c r="J82" s="5"/>
      <c r="K82" s="5"/>
    </row>
    <row r="83" spans="2:11">
      <c r="B83" s="5"/>
      <c r="D83" s="5"/>
      <c r="E83" s="5"/>
      <c r="F83" s="5"/>
      <c r="G83" s="5"/>
      <c r="H83" s="5"/>
      <c r="I83" s="5"/>
      <c r="J83" s="5"/>
      <c r="K83" s="5"/>
    </row>
    <row r="84" spans="2:11">
      <c r="B84" s="5"/>
      <c r="D84" s="5"/>
      <c r="E84" s="5"/>
      <c r="F84" s="5"/>
      <c r="G84" s="5"/>
      <c r="H84" s="5"/>
      <c r="I84" s="5"/>
      <c r="J84" s="5"/>
      <c r="K84" s="5"/>
    </row>
    <row r="85" spans="2:11">
      <c r="B85" s="5"/>
      <c r="D85" s="5"/>
      <c r="E85" s="5"/>
      <c r="F85" s="5"/>
      <c r="G85" s="5"/>
      <c r="H85" s="5"/>
      <c r="I85" s="5"/>
      <c r="J85" s="5"/>
      <c r="K85" s="5"/>
    </row>
    <row r="86" spans="2:11">
      <c r="B86" s="5"/>
      <c r="D86" s="5"/>
      <c r="E86" s="5"/>
      <c r="F86" s="5"/>
      <c r="G86" s="5"/>
      <c r="H86" s="5"/>
      <c r="I86" s="5"/>
      <c r="J86" s="5"/>
      <c r="K86" s="5"/>
    </row>
    <row r="87" spans="2:11">
      <c r="B87" s="5"/>
      <c r="D87" s="5"/>
      <c r="E87" s="5"/>
      <c r="F87" s="5"/>
      <c r="G87" s="5"/>
      <c r="H87" s="5"/>
      <c r="I87" s="5"/>
      <c r="J87" s="5"/>
      <c r="K87" s="5"/>
    </row>
    <row r="88" spans="2:11">
      <c r="B88" s="5"/>
      <c r="D88" s="5"/>
      <c r="E88" s="5"/>
      <c r="F88" s="5"/>
      <c r="G88" s="5"/>
      <c r="H88" s="5"/>
      <c r="I88" s="5"/>
      <c r="J88" s="5"/>
      <c r="K88" s="5"/>
    </row>
    <row r="89" spans="2:11">
      <c r="B89" s="5"/>
      <c r="D89" s="5"/>
      <c r="E89" s="5"/>
      <c r="F89" s="5"/>
      <c r="G89" s="5"/>
      <c r="H89" s="5"/>
      <c r="I89" s="5"/>
      <c r="J89" s="5"/>
      <c r="K89" s="5"/>
    </row>
    <row r="90" spans="2:11">
      <c r="B90" s="5"/>
      <c r="D90" s="5"/>
      <c r="E90" s="5"/>
      <c r="F90" s="5"/>
      <c r="G90" s="5"/>
      <c r="H90" s="5"/>
      <c r="I90" s="5"/>
      <c r="J90" s="5"/>
      <c r="K90" s="5"/>
    </row>
    <row r="91" spans="2:11">
      <c r="B91" s="5"/>
      <c r="D91" s="5"/>
      <c r="E91" s="5"/>
      <c r="F91" s="5"/>
      <c r="G91" s="5"/>
      <c r="H91" s="5"/>
      <c r="I91" s="5"/>
      <c r="J91" s="5"/>
      <c r="K91" s="5"/>
    </row>
    <row r="92" spans="2:11">
      <c r="B92" s="5"/>
      <c r="D92" s="5"/>
      <c r="E92" s="5"/>
      <c r="F92" s="5"/>
      <c r="G92" s="5"/>
      <c r="H92" s="5"/>
      <c r="I92" s="5"/>
      <c r="J92" s="5"/>
      <c r="K92" s="5"/>
    </row>
    <row r="93" spans="2:11">
      <c r="B93" s="5"/>
      <c r="D93" s="5"/>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sheetData>
  <mergeCells count="23">
    <mergeCell ref="A1:P1"/>
    <mergeCell ref="A2:P2"/>
    <mergeCell ref="A3:P3"/>
    <mergeCell ref="A4:D4"/>
    <mergeCell ref="A5:P5"/>
    <mergeCell ref="B10:D10"/>
    <mergeCell ref="F10:S10"/>
    <mergeCell ref="F11:S11"/>
    <mergeCell ref="E12:R12"/>
    <mergeCell ref="E13:R13"/>
    <mergeCell ref="B54:B59"/>
    <mergeCell ref="B61:B65"/>
    <mergeCell ref="B66:B73"/>
    <mergeCell ref="B15:B21"/>
    <mergeCell ref="D15:I15"/>
    <mergeCell ref="D16:I16"/>
    <mergeCell ref="D22:I22"/>
    <mergeCell ref="D23:I23"/>
    <mergeCell ref="B25:E25"/>
    <mergeCell ref="B26:B32"/>
    <mergeCell ref="B34:E34"/>
    <mergeCell ref="B35:B41"/>
    <mergeCell ref="B48:E49"/>
  </mergeCells>
  <conditionalFormatting sqref="E12:R12">
    <cfRule type="expression" dxfId="28" priority="1">
      <formula>E11="SI SE REPORTA"</formula>
    </cfRule>
  </conditionalFormatting>
  <conditionalFormatting sqref="F10">
    <cfRule type="notContainsBlanks" dxfId="27" priority="4">
      <formula>LEN(TRIM(F10))&gt;0</formula>
    </cfRule>
  </conditionalFormatting>
  <conditionalFormatting sqref="F11:S11">
    <cfRule type="expression" dxfId="26" priority="2">
      <formula>E11="NO SE REPORTA"</formula>
    </cfRule>
    <cfRule type="expression" dxfId="25"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8:H20" xr:uid="{29697C28-F4E7-4181-9066-E7A01F7F0C4D}">
      <formula1>0</formula1>
    </dataValidation>
    <dataValidation type="list" allowBlank="1" showInputMessage="1" showErrorMessage="1" sqref="E11" xr:uid="{69AA062B-BE6E-4269-93FC-A200DA05A5A0}">
      <formula1>REPORTE</formula1>
    </dataValidation>
    <dataValidation type="list" allowBlank="1" showInputMessage="1" showErrorMessage="1" sqref="E10" xr:uid="{ECADD4A1-6BC1-4E18-B0BE-AFB504326EE4}">
      <formula1>SI</formula1>
    </dataValidation>
  </dataValidations>
  <hyperlinks>
    <hyperlink ref="B9" location="'ANEXO 3'!A1" display="VOLVER AL INDICE" xr:uid="{391AFEED-2C18-4A5D-9C4A-52B8128CD190}"/>
    <hyperlink ref="E30" r:id="rId1" display="jrestrepo@crautonoma.gov.co" xr:uid="{4E7735A3-8CD5-4317-BEAF-88075FA45E9E}"/>
  </hyperlinks>
  <pageMargins left="0.25" right="0.25" top="0.75" bottom="0.75" header="0.3" footer="0.3"/>
  <pageSetup paperSize="178" orientation="landscape" horizontalDpi="1200" verticalDpi="120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4">
    <tabColor rgb="FF92D050"/>
  </sheetPr>
  <dimension ref="A1:U84"/>
  <sheetViews>
    <sheetView showGridLines="0" topLeftCell="A20" zoomScale="98" zoomScaleNormal="98" workbookViewId="0">
      <selection activeCell="D7" sqref="D7"/>
    </sheetView>
  </sheetViews>
  <sheetFormatPr baseColWidth="10" defaultRowHeight="14.4"/>
  <cols>
    <col min="1" max="1" width="1.88671875" customWidth="1"/>
    <col min="2" max="2" width="12.88671875" customWidth="1"/>
    <col min="3" max="3" width="5" style="66" bestFit="1" customWidth="1"/>
    <col min="4" max="4" width="41.109375" customWidth="1"/>
    <col min="5" max="5" width="14" customWidth="1"/>
    <col min="6" max="6" width="14.6640625" customWidth="1"/>
    <col min="7" max="7" width="16.109375" customWidth="1"/>
    <col min="8" max="8" width="18.4414062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34.5" customHeight="1" thickBot="1">
      <c r="A5" s="1401" t="s">
        <v>960</v>
      </c>
      <c r="B5" s="1402"/>
      <c r="C5" s="1402"/>
      <c r="D5" s="1402"/>
      <c r="E5" s="1402"/>
      <c r="F5" s="1402"/>
      <c r="G5" s="1402"/>
      <c r="H5" s="1402"/>
      <c r="I5" s="1402"/>
      <c r="J5" s="1402"/>
      <c r="K5" s="1402"/>
      <c r="L5" s="1402"/>
      <c r="M5" s="1402"/>
      <c r="N5" s="1402"/>
      <c r="O5" s="1402"/>
      <c r="P5" s="1403"/>
    </row>
    <row r="6" spans="1:21" ht="15" thickBot="1">
      <c r="B6" s="1" t="s">
        <v>1</v>
      </c>
      <c r="C6" s="64"/>
      <c r="D6" s="5"/>
      <c r="E6" s="62"/>
      <c r="F6" s="5" t="s">
        <v>127</v>
      </c>
      <c r="G6" s="5"/>
      <c r="H6" s="5"/>
      <c r="I6" s="5"/>
      <c r="J6" s="5"/>
      <c r="K6" s="5"/>
    </row>
    <row r="7" spans="1:21" ht="15" thickBot="1">
      <c r="B7" s="144" t="s">
        <v>1178</v>
      </c>
      <c r="C7" s="564">
        <v>2023</v>
      </c>
      <c r="D7" s="168">
        <f>IF(E9="NO APLICA","NO APLICA",IF(E10="NO SE REPORTA","SIN INFORMACION",+H17))</f>
        <v>1</v>
      </c>
      <c r="E7" s="180"/>
      <c r="F7" s="5" t="s">
        <v>128</v>
      </c>
      <c r="G7" s="5"/>
      <c r="H7" s="5"/>
      <c r="I7" s="5"/>
      <c r="J7" s="5"/>
      <c r="K7" s="5"/>
    </row>
    <row r="8" spans="1:21">
      <c r="B8" s="298" t="s">
        <v>1179</v>
      </c>
      <c r="E8" s="167"/>
      <c r="F8" s="5" t="s">
        <v>129</v>
      </c>
      <c r="G8" s="5"/>
      <c r="H8" s="5"/>
      <c r="I8" s="5"/>
      <c r="J8" s="5"/>
      <c r="K8" s="5"/>
    </row>
    <row r="9" spans="1:21">
      <c r="B9" s="1404" t="s">
        <v>1234</v>
      </c>
      <c r="C9" s="1404"/>
      <c r="D9" s="1404"/>
      <c r="E9" s="301" t="s">
        <v>1231</v>
      </c>
      <c r="F9" s="1411"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1412"/>
      <c r="H9" s="1412"/>
      <c r="I9" s="1412"/>
      <c r="J9" s="1412"/>
      <c r="K9" s="1412"/>
      <c r="L9" s="1412"/>
      <c r="M9" s="1412"/>
      <c r="N9" s="1412"/>
      <c r="O9" s="1412"/>
      <c r="P9" s="1412"/>
      <c r="Q9" s="1412"/>
      <c r="R9" s="1412"/>
      <c r="S9" s="1412"/>
      <c r="T9" s="5"/>
      <c r="U9" s="5"/>
    </row>
    <row r="10" spans="1:21" ht="14.4" customHeight="1">
      <c r="B10" s="300"/>
      <c r="C10" s="67"/>
      <c r="D10" s="144" t="str">
        <f>IF(E9="SI APLICA","¿El indicador no se reporta por limitaciones de información disponible? ","")</f>
        <v xml:space="preserve">¿El indicador no se reporta por limitaciones de información disponible? </v>
      </c>
      <c r="E10" s="302" t="s">
        <v>1233</v>
      </c>
      <c r="F10" s="1405"/>
      <c r="G10" s="1406"/>
      <c r="H10" s="1406"/>
      <c r="I10" s="1406"/>
      <c r="J10" s="1406"/>
      <c r="K10" s="1406"/>
      <c r="L10" s="1406"/>
      <c r="M10" s="1406"/>
      <c r="N10" s="1406"/>
      <c r="O10" s="1406"/>
      <c r="P10" s="1406"/>
      <c r="Q10" s="1406"/>
      <c r="R10" s="1406"/>
      <c r="S10" s="1406"/>
    </row>
    <row r="11" spans="1:21" ht="23.4" customHeight="1">
      <c r="B11" s="298"/>
      <c r="C11" s="67"/>
      <c r="D11" s="144" t="str">
        <f>IF(E10="SI SE REPORTA","¿Qué programas o proyectos del Plan de Acción están asociados al indicador? ","")</f>
        <v xml:space="preserve">¿Qué programas o proyectos del Plan de Acción están asociados al indicador? </v>
      </c>
      <c r="E11" s="1535" t="s">
        <v>1878</v>
      </c>
      <c r="F11" s="1535"/>
      <c r="G11" s="1535"/>
      <c r="H11" s="1535"/>
      <c r="I11" s="1535"/>
      <c r="J11" s="1535"/>
      <c r="K11" s="1535"/>
      <c r="L11" s="1535"/>
      <c r="M11" s="1535"/>
      <c r="N11" s="1535"/>
      <c r="O11" s="1535"/>
      <c r="P11" s="1535"/>
      <c r="Q11" s="1535"/>
      <c r="R11" s="1535"/>
    </row>
    <row r="12" spans="1:21" ht="21.9" customHeight="1" thickBot="1">
      <c r="B12" s="298"/>
      <c r="C12" s="67"/>
      <c r="D12" s="144" t="s">
        <v>1236</v>
      </c>
      <c r="E12" s="1408"/>
      <c r="F12" s="1409"/>
      <c r="G12" s="1409"/>
      <c r="H12" s="1409"/>
      <c r="I12" s="1409"/>
      <c r="J12" s="1409"/>
      <c r="K12" s="1409"/>
      <c r="L12" s="1409"/>
      <c r="M12" s="1409"/>
      <c r="N12" s="1409"/>
      <c r="O12" s="1409"/>
      <c r="P12" s="1409"/>
      <c r="Q12" s="1409"/>
      <c r="R12" s="1410"/>
    </row>
    <row r="13" spans="1:21" ht="26.25" customHeight="1" thickBot="1">
      <c r="B13" s="1612" t="s">
        <v>2</v>
      </c>
      <c r="C13" s="81"/>
      <c r="D13" s="1437" t="s">
        <v>3</v>
      </c>
      <c r="E13" s="1438"/>
      <c r="F13" s="1438"/>
      <c r="G13" s="1438"/>
      <c r="H13" s="1438"/>
      <c r="I13" s="1426"/>
      <c r="J13" s="1427"/>
      <c r="K13" s="5"/>
    </row>
    <row r="14" spans="1:21" ht="21.75" customHeight="1" thickBot="1">
      <c r="B14" s="1613"/>
      <c r="C14" s="77" t="s">
        <v>18</v>
      </c>
      <c r="D14" s="572" t="s">
        <v>149</v>
      </c>
      <c r="E14" s="585" t="s">
        <v>19</v>
      </c>
      <c r="F14" s="585" t="s">
        <v>20</v>
      </c>
      <c r="G14" s="585" t="s">
        <v>21</v>
      </c>
      <c r="H14" s="609" t="s">
        <v>22</v>
      </c>
      <c r="I14" s="242"/>
      <c r="J14" s="196"/>
      <c r="K14" s="5"/>
    </row>
    <row r="15" spans="1:21" ht="60.6" thickBot="1">
      <c r="B15" s="1613"/>
      <c r="C15" s="2" t="s">
        <v>151</v>
      </c>
      <c r="D15" s="32" t="s">
        <v>981</v>
      </c>
      <c r="E15" s="509">
        <v>23</v>
      </c>
      <c r="F15" s="509">
        <v>23</v>
      </c>
      <c r="G15" s="509">
        <v>23</v>
      </c>
      <c r="H15" s="548">
        <v>23</v>
      </c>
      <c r="I15" s="276"/>
      <c r="J15" s="17"/>
      <c r="K15" s="5"/>
    </row>
    <row r="16" spans="1:21" ht="60.6" thickBot="1">
      <c r="B16" s="1613"/>
      <c r="C16" s="2" t="s">
        <v>153</v>
      </c>
      <c r="D16" s="32" t="s">
        <v>982</v>
      </c>
      <c r="E16" s="509">
        <v>23</v>
      </c>
      <c r="F16" s="509">
        <v>23</v>
      </c>
      <c r="G16" s="509">
        <v>23</v>
      </c>
      <c r="H16" s="548">
        <v>23</v>
      </c>
      <c r="I16" s="276"/>
      <c r="J16" s="17"/>
      <c r="K16" s="5"/>
    </row>
    <row r="17" spans="2:11" ht="72.599999999999994" customHeight="1" thickBot="1">
      <c r="B17" s="1613"/>
      <c r="C17" s="2" t="s">
        <v>155</v>
      </c>
      <c r="D17" s="32" t="s">
        <v>983</v>
      </c>
      <c r="E17" s="120">
        <f>+E16/E15</f>
        <v>1</v>
      </c>
      <c r="F17" s="120">
        <f>+F16/F15</f>
        <v>1</v>
      </c>
      <c r="G17" s="120">
        <f>+G16/G15</f>
        <v>1</v>
      </c>
      <c r="H17" s="275">
        <f>+H16/H15</f>
        <v>1</v>
      </c>
      <c r="I17" s="277"/>
      <c r="J17" s="19"/>
      <c r="K17" s="5"/>
    </row>
    <row r="18" spans="2:11">
      <c r="B18" s="1613"/>
      <c r="C18" s="82"/>
      <c r="D18" s="1425"/>
      <c r="E18" s="1426"/>
      <c r="F18" s="1426"/>
      <c r="G18" s="1426"/>
      <c r="H18" s="1426"/>
      <c r="I18" s="1417"/>
      <c r="J18" s="1418"/>
      <c r="K18" s="5"/>
    </row>
    <row r="19" spans="2:11" ht="24" customHeight="1" thickBot="1">
      <c r="B19" s="1613"/>
      <c r="C19" s="82"/>
      <c r="D19" s="1416" t="s">
        <v>984</v>
      </c>
      <c r="E19" s="1417"/>
      <c r="F19" s="1417"/>
      <c r="G19" s="1417"/>
      <c r="H19" s="1417"/>
      <c r="I19" s="1417"/>
      <c r="J19" s="1418"/>
      <c r="K19" s="5"/>
    </row>
    <row r="20" spans="2:11" ht="33" customHeight="1" thickBot="1">
      <c r="B20" s="1613"/>
      <c r="C20" s="77" t="s">
        <v>18</v>
      </c>
      <c r="D20" s="30" t="s">
        <v>308</v>
      </c>
      <c r="E20" s="34" t="s">
        <v>985</v>
      </c>
      <c r="F20" s="34" t="s">
        <v>986</v>
      </c>
      <c r="G20" s="1713" t="s">
        <v>54</v>
      </c>
      <c r="H20" s="1714"/>
      <c r="J20" s="17"/>
      <c r="K20" s="5"/>
    </row>
    <row r="21" spans="2:11" ht="111" customHeight="1" thickBot="1">
      <c r="B21" s="1613"/>
      <c r="C21" s="2">
        <v>1</v>
      </c>
      <c r="D21" s="549" t="s">
        <v>1877</v>
      </c>
      <c r="E21" s="509">
        <v>23</v>
      </c>
      <c r="F21" s="505" t="s">
        <v>1876</v>
      </c>
      <c r="G21" s="1715" t="s">
        <v>1986</v>
      </c>
      <c r="H21" s="1716"/>
      <c r="J21" s="17"/>
      <c r="K21" s="5"/>
    </row>
    <row r="22" spans="2:11" ht="15" hidden="1" thickBot="1">
      <c r="B22" s="1613"/>
      <c r="C22" s="2">
        <v>2</v>
      </c>
      <c r="D22" s="549"/>
      <c r="E22" s="509"/>
      <c r="F22" s="505"/>
      <c r="G22" s="1717"/>
      <c r="H22" s="1718"/>
      <c r="J22" s="17"/>
      <c r="K22" s="5"/>
    </row>
    <row r="23" spans="2:11" ht="15" hidden="1" thickBot="1">
      <c r="B23" s="1614"/>
      <c r="C23" s="2">
        <v>3</v>
      </c>
      <c r="D23" s="25"/>
      <c r="E23" s="6"/>
      <c r="F23" s="24"/>
      <c r="G23" s="1717"/>
      <c r="H23" s="1718"/>
      <c r="J23" s="19"/>
      <c r="K23" s="5"/>
    </row>
    <row r="24" spans="2:11" ht="24" customHeight="1" thickBot="1">
      <c r="B24" s="50" t="s">
        <v>33</v>
      </c>
      <c r="C24" s="83"/>
      <c r="D24" s="1437" t="s">
        <v>987</v>
      </c>
      <c r="E24" s="1438"/>
      <c r="F24" s="1438"/>
      <c r="G24" s="1438"/>
      <c r="H24" s="1438"/>
      <c r="I24" s="1438"/>
      <c r="J24" s="1439"/>
      <c r="K24" s="5"/>
    </row>
    <row r="25" spans="2:11" ht="19.8" thickBot="1">
      <c r="B25" s="50" t="s">
        <v>35</v>
      </c>
      <c r="C25" s="83"/>
      <c r="D25" s="1437" t="s">
        <v>277</v>
      </c>
      <c r="E25" s="1438"/>
      <c r="F25" s="1438"/>
      <c r="G25" s="1438"/>
      <c r="H25" s="1438"/>
      <c r="I25" s="1438"/>
      <c r="J25" s="1439"/>
      <c r="K25" s="5"/>
    </row>
    <row r="26" spans="2:11" ht="15" thickBot="1">
      <c r="B26" s="1"/>
      <c r="C26" s="64"/>
      <c r="D26" s="5"/>
      <c r="E26" s="5"/>
      <c r="F26" s="5"/>
      <c r="G26" s="5"/>
      <c r="H26" s="5"/>
      <c r="I26" s="5"/>
      <c r="J26" s="5"/>
      <c r="K26" s="5"/>
    </row>
    <row r="27" spans="2:11" ht="24" customHeight="1" thickBot="1">
      <c r="B27" s="1444" t="s">
        <v>37</v>
      </c>
      <c r="C27" s="1445"/>
      <c r="D27" s="1445"/>
      <c r="E27" s="1446"/>
      <c r="F27" s="5"/>
      <c r="G27" s="5"/>
      <c r="H27" s="5"/>
      <c r="I27" s="5"/>
      <c r="J27" s="5"/>
      <c r="K27" s="5"/>
    </row>
    <row r="28" spans="2:11" ht="15" thickBot="1">
      <c r="B28" s="1434">
        <v>1</v>
      </c>
      <c r="C28" s="73"/>
      <c r="D28" s="38" t="s">
        <v>38</v>
      </c>
      <c r="E28" s="25" t="s">
        <v>1811</v>
      </c>
      <c r="F28" s="5"/>
      <c r="G28" s="5"/>
      <c r="H28" s="5"/>
      <c r="I28" s="5"/>
      <c r="J28" s="5"/>
      <c r="K28" s="5"/>
    </row>
    <row r="29" spans="2:11" ht="24.6" thickBot="1">
      <c r="B29" s="1435"/>
      <c r="C29" s="73"/>
      <c r="D29" s="32" t="s">
        <v>39</v>
      </c>
      <c r="E29" s="24" t="s">
        <v>1987</v>
      </c>
      <c r="F29" s="5"/>
      <c r="G29" s="5"/>
      <c r="H29" s="5"/>
      <c r="I29" s="5"/>
      <c r="J29" s="5"/>
      <c r="K29" s="5"/>
    </row>
    <row r="30" spans="2:11" ht="24.6" thickBot="1">
      <c r="B30" s="1435"/>
      <c r="C30" s="73"/>
      <c r="D30" s="32" t="s">
        <v>40</v>
      </c>
      <c r="E30" s="24" t="s">
        <v>1818</v>
      </c>
      <c r="F30" s="5"/>
      <c r="G30" s="5"/>
      <c r="H30" s="5"/>
      <c r="I30" s="5"/>
      <c r="J30" s="5"/>
      <c r="K30" s="5"/>
    </row>
    <row r="31" spans="2:11" ht="36.6" thickBot="1">
      <c r="B31" s="1435"/>
      <c r="C31" s="73"/>
      <c r="D31" s="32" t="s">
        <v>41</v>
      </c>
      <c r="E31" s="24" t="s">
        <v>1988</v>
      </c>
      <c r="F31" s="5"/>
      <c r="G31" s="5"/>
      <c r="H31" s="5"/>
      <c r="I31" s="5"/>
      <c r="J31" s="5"/>
      <c r="K31" s="5"/>
    </row>
    <row r="32" spans="2:11" ht="29.4" thickBot="1">
      <c r="B32" s="1435"/>
      <c r="C32" s="73"/>
      <c r="D32" s="32" t="s">
        <v>42</v>
      </c>
      <c r="E32" s="504" t="s">
        <v>1813</v>
      </c>
      <c r="F32" s="5"/>
      <c r="G32" s="5"/>
      <c r="H32" s="5"/>
      <c r="I32" s="5"/>
      <c r="J32" s="5"/>
      <c r="K32" s="5"/>
    </row>
    <row r="33" spans="2:11" ht="15" thickBot="1">
      <c r="B33" s="1435"/>
      <c r="C33" s="73"/>
      <c r="D33" s="32" t="s">
        <v>43</v>
      </c>
      <c r="E33" s="281">
        <v>3686626</v>
      </c>
      <c r="F33" s="5"/>
      <c r="G33" s="5"/>
      <c r="H33" s="5"/>
      <c r="I33" s="5"/>
      <c r="J33" s="5"/>
      <c r="K33" s="5"/>
    </row>
    <row r="34" spans="2:11" ht="24.6" thickBot="1">
      <c r="B34" s="1436"/>
      <c r="C34" s="2"/>
      <c r="D34" s="32" t="s">
        <v>44</v>
      </c>
      <c r="E34" s="24" t="s">
        <v>1814</v>
      </c>
      <c r="F34" s="5"/>
      <c r="G34" s="5"/>
      <c r="H34" s="5"/>
      <c r="I34" s="5"/>
      <c r="J34" s="5"/>
      <c r="K34" s="5"/>
    </row>
    <row r="35" spans="2:11" ht="15" thickBot="1">
      <c r="B35" s="1"/>
      <c r="C35" s="64"/>
      <c r="D35" s="5"/>
      <c r="E35" s="5"/>
      <c r="F35" s="5"/>
      <c r="G35" s="5"/>
      <c r="H35" s="5"/>
      <c r="I35" s="5"/>
      <c r="J35" s="5"/>
      <c r="K35" s="5"/>
    </row>
    <row r="36" spans="2:11" ht="15" thickBot="1">
      <c r="B36" s="1444" t="s">
        <v>45</v>
      </c>
      <c r="C36" s="1445"/>
      <c r="D36" s="1445"/>
      <c r="E36" s="1446"/>
      <c r="F36" s="5"/>
      <c r="G36" s="5"/>
      <c r="H36" s="5"/>
      <c r="I36" s="5"/>
      <c r="J36" s="5"/>
      <c r="K36" s="5"/>
    </row>
    <row r="37" spans="2:11" ht="15" thickBot="1">
      <c r="B37" s="1434">
        <v>1</v>
      </c>
      <c r="C37" s="73"/>
      <c r="D37" s="38" t="s">
        <v>38</v>
      </c>
      <c r="E37" s="176" t="s">
        <v>46</v>
      </c>
      <c r="F37" s="5"/>
      <c r="G37" s="5"/>
      <c r="H37" s="5"/>
      <c r="I37" s="5"/>
      <c r="J37" s="5"/>
      <c r="K37" s="5"/>
    </row>
    <row r="38" spans="2:11" ht="15" thickBot="1">
      <c r="B38" s="1435"/>
      <c r="C38" s="73"/>
      <c r="D38" s="32" t="s">
        <v>39</v>
      </c>
      <c r="E38" s="176" t="s">
        <v>47</v>
      </c>
      <c r="F38" s="5"/>
      <c r="G38" s="5"/>
      <c r="H38" s="5"/>
      <c r="I38" s="5"/>
      <c r="J38" s="5"/>
      <c r="K38" s="5"/>
    </row>
    <row r="39" spans="2:11" ht="15" thickBot="1">
      <c r="B39" s="1435"/>
      <c r="C39" s="73"/>
      <c r="D39" s="32" t="s">
        <v>40</v>
      </c>
      <c r="E39" s="278"/>
      <c r="F39" s="5"/>
      <c r="G39" s="5"/>
      <c r="H39" s="5"/>
      <c r="I39" s="5"/>
      <c r="J39" s="5"/>
      <c r="K39" s="5"/>
    </row>
    <row r="40" spans="2:11" ht="15" thickBot="1">
      <c r="B40" s="1435"/>
      <c r="C40" s="73"/>
      <c r="D40" s="32" t="s">
        <v>41</v>
      </c>
      <c r="E40" s="278"/>
      <c r="F40" s="5"/>
      <c r="G40" s="5"/>
      <c r="H40" s="5"/>
      <c r="I40" s="5"/>
      <c r="J40" s="5"/>
      <c r="K40" s="5"/>
    </row>
    <row r="41" spans="2:11" ht="15" thickBot="1">
      <c r="B41" s="1435"/>
      <c r="C41" s="73"/>
      <c r="D41" s="32" t="s">
        <v>42</v>
      </c>
      <c r="E41" s="278"/>
      <c r="F41" s="5"/>
      <c r="G41" s="5"/>
      <c r="H41" s="5"/>
      <c r="I41" s="5"/>
      <c r="J41" s="5"/>
      <c r="K41" s="5"/>
    </row>
    <row r="42" spans="2:11" ht="15" thickBot="1">
      <c r="B42" s="1435"/>
      <c r="C42" s="73"/>
      <c r="D42" s="32" t="s">
        <v>43</v>
      </c>
      <c r="E42" s="278"/>
      <c r="F42" s="5"/>
      <c r="G42" s="5"/>
      <c r="H42" s="5"/>
      <c r="I42" s="5"/>
      <c r="J42" s="5"/>
      <c r="K42" s="5"/>
    </row>
    <row r="43" spans="2:11" ht="15" thickBot="1">
      <c r="B43" s="1436"/>
      <c r="C43" s="2"/>
      <c r="D43" s="32" t="s">
        <v>44</v>
      </c>
      <c r="E43" s="278"/>
      <c r="F43" s="5"/>
      <c r="G43" s="5"/>
      <c r="H43" s="5"/>
      <c r="I43" s="5"/>
      <c r="J43" s="5"/>
      <c r="K43" s="5"/>
    </row>
    <row r="44" spans="2:11">
      <c r="B44" s="1"/>
      <c r="C44" s="64"/>
      <c r="D44" s="5"/>
      <c r="E44" s="5"/>
      <c r="F44" s="5"/>
      <c r="G44" s="5"/>
      <c r="H44" s="5"/>
      <c r="I44" s="5"/>
      <c r="J44" s="5"/>
      <c r="K44" s="5"/>
    </row>
    <row r="45" spans="2:11" ht="15" thickBot="1">
      <c r="B45" s="1"/>
      <c r="C45" s="64"/>
      <c r="D45" s="5"/>
      <c r="E45" s="5"/>
      <c r="F45" s="5"/>
      <c r="G45" s="5"/>
      <c r="H45" s="5"/>
      <c r="I45" s="5"/>
      <c r="J45" s="5"/>
      <c r="K45" s="5"/>
    </row>
    <row r="46" spans="2:11" ht="15" customHeight="1" thickBot="1">
      <c r="B46" s="97" t="s">
        <v>48</v>
      </c>
      <c r="C46" s="98"/>
      <c r="D46" s="98"/>
      <c r="E46" s="99"/>
      <c r="G46" s="5"/>
      <c r="H46" s="5"/>
      <c r="I46" s="5"/>
      <c r="J46" s="5"/>
      <c r="K46" s="5"/>
    </row>
    <row r="47" spans="2:11" ht="24.6" thickBot="1">
      <c r="B47" s="37" t="s">
        <v>49</v>
      </c>
      <c r="C47" s="32" t="s">
        <v>50</v>
      </c>
      <c r="D47" s="32" t="s">
        <v>51</v>
      </c>
      <c r="E47" s="32" t="s">
        <v>52</v>
      </c>
      <c r="F47" s="5"/>
      <c r="G47" s="5"/>
      <c r="H47" s="5"/>
      <c r="I47" s="5"/>
      <c r="J47" s="5"/>
    </row>
    <row r="48" spans="2:11" ht="96.6" thickBot="1">
      <c r="B48" s="39">
        <v>42401</v>
      </c>
      <c r="C48" s="32">
        <v>0.01</v>
      </c>
      <c r="D48" s="40" t="s">
        <v>988</v>
      </c>
      <c r="E48" s="32"/>
      <c r="F48" s="5"/>
      <c r="G48" s="5"/>
      <c r="H48" s="5"/>
      <c r="I48" s="5"/>
      <c r="J48" s="5"/>
    </row>
    <row r="49" spans="2:11" ht="15" thickBot="1">
      <c r="B49" s="3"/>
      <c r="C49" s="74"/>
      <c r="D49" s="5"/>
      <c r="E49" s="5"/>
      <c r="F49" s="5"/>
      <c r="G49" s="5"/>
      <c r="H49" s="5"/>
      <c r="I49" s="5"/>
      <c r="J49" s="5"/>
      <c r="K49" s="5"/>
    </row>
    <row r="50" spans="2:11">
      <c r="B50" s="106" t="s">
        <v>54</v>
      </c>
      <c r="C50" s="75"/>
      <c r="D50" s="5"/>
      <c r="E50" s="5"/>
      <c r="F50" s="5"/>
      <c r="G50" s="5"/>
      <c r="H50" s="5"/>
      <c r="I50" s="5"/>
      <c r="J50" s="5"/>
      <c r="K50" s="5"/>
    </row>
    <row r="51" spans="2:11">
      <c r="B51" s="1704"/>
      <c r="C51" s="1705"/>
      <c r="D51" s="1705"/>
      <c r="E51" s="1706"/>
      <c r="F51" s="5"/>
      <c r="G51" s="5"/>
      <c r="H51" s="5"/>
      <c r="I51" s="5"/>
      <c r="J51" s="5"/>
      <c r="K51" s="5"/>
    </row>
    <row r="52" spans="2:11">
      <c r="B52" s="1707"/>
      <c r="C52" s="1708"/>
      <c r="D52" s="1708"/>
      <c r="E52" s="1709"/>
      <c r="F52" s="5"/>
      <c r="G52" s="5"/>
      <c r="H52" s="5"/>
      <c r="I52" s="5"/>
      <c r="J52" s="5"/>
      <c r="K52" s="5"/>
    </row>
    <row r="53" spans="2:11">
      <c r="B53" s="1"/>
      <c r="C53" s="64"/>
      <c r="D53" s="5"/>
      <c r="E53" s="5"/>
      <c r="F53" s="5"/>
      <c r="G53" s="5"/>
      <c r="H53" s="5"/>
      <c r="I53" s="5"/>
      <c r="J53" s="5"/>
      <c r="K53" s="5"/>
    </row>
    <row r="54" spans="2:11" ht="15" thickBot="1">
      <c r="B54" s="5"/>
      <c r="D54" s="5"/>
      <c r="E54" s="5"/>
      <c r="F54" s="5"/>
      <c r="G54" s="5"/>
      <c r="H54" s="5"/>
      <c r="I54" s="5"/>
      <c r="J54" s="5"/>
      <c r="K54" s="5"/>
    </row>
    <row r="55" spans="2:11" ht="15" thickBot="1">
      <c r="B55" s="1444" t="s">
        <v>55</v>
      </c>
      <c r="C55" s="1445"/>
      <c r="D55" s="1446"/>
      <c r="E55" s="5"/>
      <c r="F55" s="5"/>
      <c r="G55" s="5"/>
      <c r="H55" s="5"/>
      <c r="I55" s="5"/>
      <c r="J55" s="5"/>
      <c r="K55" s="5"/>
    </row>
    <row r="56" spans="2:11" ht="84">
      <c r="B56" s="1434" t="s">
        <v>56</v>
      </c>
      <c r="C56" s="73"/>
      <c r="D56" s="36" t="s">
        <v>961</v>
      </c>
      <c r="E56" s="5"/>
      <c r="F56" s="5"/>
      <c r="G56" s="5"/>
      <c r="H56" s="5"/>
      <c r="I56" s="5"/>
      <c r="J56" s="5"/>
      <c r="K56" s="5"/>
    </row>
    <row r="57" spans="2:11">
      <c r="B57" s="1435"/>
      <c r="C57" s="73"/>
      <c r="D57" s="43" t="s">
        <v>59</v>
      </c>
      <c r="E57" s="5"/>
      <c r="F57" s="5"/>
      <c r="G57" s="5"/>
      <c r="H57" s="5"/>
      <c r="I57" s="5"/>
      <c r="J57" s="5"/>
      <c r="K57" s="5"/>
    </row>
    <row r="58" spans="2:11" ht="96">
      <c r="B58" s="1435"/>
      <c r="C58" s="73"/>
      <c r="D58" s="36" t="s">
        <v>962</v>
      </c>
      <c r="E58" s="5"/>
      <c r="F58" s="5"/>
      <c r="G58" s="5"/>
      <c r="H58" s="5"/>
      <c r="I58" s="5"/>
      <c r="J58" s="5"/>
      <c r="K58" s="5"/>
    </row>
    <row r="59" spans="2:11">
      <c r="B59" s="1435"/>
      <c r="C59" s="73"/>
      <c r="D59" s="43" t="s">
        <v>62</v>
      </c>
      <c r="E59" s="5"/>
      <c r="F59" s="5"/>
      <c r="G59" s="5"/>
      <c r="H59" s="5"/>
      <c r="I59" s="5"/>
      <c r="J59" s="5"/>
      <c r="K59" s="5"/>
    </row>
    <row r="60" spans="2:11" ht="264.60000000000002" thickBot="1">
      <c r="B60" s="1436"/>
      <c r="C60" s="2"/>
      <c r="D60" s="32" t="s">
        <v>963</v>
      </c>
      <c r="E60" s="5"/>
      <c r="F60" s="5"/>
      <c r="G60" s="5"/>
      <c r="H60" s="5"/>
      <c r="I60" s="5"/>
      <c r="J60" s="5"/>
      <c r="K60" s="5"/>
    </row>
    <row r="61" spans="2:11" ht="252">
      <c r="B61" s="1434" t="s">
        <v>58</v>
      </c>
      <c r="C61" s="73"/>
      <c r="D61" s="21" t="s">
        <v>964</v>
      </c>
      <c r="E61" s="5"/>
      <c r="F61" s="5"/>
      <c r="G61" s="5"/>
      <c r="H61" s="5"/>
      <c r="I61" s="5"/>
      <c r="J61" s="5"/>
      <c r="K61" s="5"/>
    </row>
    <row r="62" spans="2:11" ht="180">
      <c r="B62" s="1435"/>
      <c r="C62" s="73"/>
      <c r="D62" s="21" t="s">
        <v>965</v>
      </c>
      <c r="E62" s="5"/>
      <c r="F62" s="5"/>
      <c r="G62" s="5"/>
      <c r="H62" s="5"/>
      <c r="I62" s="5"/>
      <c r="J62" s="5"/>
      <c r="K62" s="5"/>
    </row>
    <row r="63" spans="2:11" ht="24">
      <c r="B63" s="1435"/>
      <c r="C63" s="73"/>
      <c r="D63" s="21" t="s">
        <v>966</v>
      </c>
      <c r="E63" s="5"/>
      <c r="F63" s="5"/>
      <c r="G63" s="5"/>
      <c r="H63" s="5"/>
      <c r="I63" s="5"/>
      <c r="J63" s="5"/>
      <c r="K63" s="5"/>
    </row>
    <row r="64" spans="2:11" ht="24">
      <c r="B64" s="1435"/>
      <c r="C64" s="73"/>
      <c r="D64" s="21" t="s">
        <v>967</v>
      </c>
      <c r="E64" s="5"/>
      <c r="F64" s="5"/>
      <c r="G64" s="5"/>
      <c r="H64" s="5"/>
      <c r="I64" s="5"/>
      <c r="J64" s="5"/>
      <c r="K64" s="5"/>
    </row>
    <row r="65" spans="2:11">
      <c r="B65" s="1435"/>
      <c r="C65" s="73"/>
      <c r="D65" s="43" t="s">
        <v>287</v>
      </c>
      <c r="E65" s="5"/>
      <c r="F65" s="5"/>
      <c r="G65" s="5"/>
      <c r="H65" s="5"/>
      <c r="I65" s="5"/>
      <c r="J65" s="5"/>
      <c r="K65" s="5"/>
    </row>
    <row r="66" spans="2:11" ht="15" thickBot="1">
      <c r="B66" s="1436"/>
      <c r="C66" s="2"/>
      <c r="D66" s="32" t="s">
        <v>288</v>
      </c>
      <c r="E66" s="5"/>
      <c r="F66" s="5"/>
      <c r="G66" s="5"/>
      <c r="H66" s="5"/>
      <c r="I66" s="5"/>
      <c r="J66" s="5"/>
      <c r="K66" s="5"/>
    </row>
    <row r="67" spans="2:11" ht="24.6" thickBot="1">
      <c r="B67" s="37" t="s">
        <v>71</v>
      </c>
      <c r="C67" s="2"/>
      <c r="D67" s="32"/>
      <c r="E67" s="5"/>
      <c r="F67" s="5"/>
      <c r="G67" s="5"/>
      <c r="H67" s="5"/>
      <c r="I67" s="5"/>
      <c r="J67" s="5"/>
      <c r="K67" s="5"/>
    </row>
    <row r="68" spans="2:11" ht="264">
      <c r="B68" s="1434" t="s">
        <v>72</v>
      </c>
      <c r="C68" s="73"/>
      <c r="D68" s="36" t="s">
        <v>968</v>
      </c>
      <c r="E68" s="5"/>
      <c r="F68" s="5"/>
      <c r="G68" s="5"/>
      <c r="H68" s="5"/>
      <c r="I68" s="5"/>
      <c r="J68" s="5"/>
      <c r="K68" s="5"/>
    </row>
    <row r="69" spans="2:11" ht="156">
      <c r="B69" s="1435"/>
      <c r="C69" s="73"/>
      <c r="D69" s="36" t="s">
        <v>969</v>
      </c>
      <c r="E69" s="5"/>
      <c r="F69" s="5"/>
      <c r="G69" s="5"/>
      <c r="H69" s="5"/>
      <c r="I69" s="5"/>
      <c r="J69" s="5"/>
      <c r="K69" s="5"/>
    </row>
    <row r="70" spans="2:11" ht="84">
      <c r="B70" s="1435"/>
      <c r="C70" s="73"/>
      <c r="D70" s="36" t="s">
        <v>970</v>
      </c>
      <c r="E70" s="5"/>
      <c r="F70" s="5"/>
      <c r="G70" s="5"/>
      <c r="H70" s="5"/>
      <c r="I70" s="5"/>
      <c r="J70" s="5"/>
      <c r="K70" s="5"/>
    </row>
    <row r="71" spans="2:11" ht="72">
      <c r="B71" s="1435"/>
      <c r="C71" s="73"/>
      <c r="D71" s="36" t="s">
        <v>971</v>
      </c>
      <c r="E71" s="5"/>
      <c r="F71" s="5"/>
      <c r="G71" s="5"/>
      <c r="H71" s="5"/>
      <c r="I71" s="5"/>
      <c r="J71" s="5"/>
      <c r="K71" s="5"/>
    </row>
    <row r="72" spans="2:11" ht="180">
      <c r="B72" s="1435"/>
      <c r="C72" s="73"/>
      <c r="D72" s="36" t="s">
        <v>972</v>
      </c>
      <c r="E72" s="5"/>
      <c r="F72" s="5"/>
      <c r="G72" s="5"/>
      <c r="H72" s="5"/>
      <c r="I72" s="5"/>
      <c r="J72" s="5"/>
      <c r="K72" s="5"/>
    </row>
    <row r="73" spans="2:11" ht="36">
      <c r="B73" s="1435"/>
      <c r="C73" s="73"/>
      <c r="D73" s="36" t="s">
        <v>973</v>
      </c>
      <c r="E73" s="5"/>
      <c r="F73" s="5"/>
      <c r="G73" s="5"/>
      <c r="H73" s="5"/>
      <c r="I73" s="5"/>
      <c r="J73" s="5"/>
      <c r="K73" s="5"/>
    </row>
    <row r="74" spans="2:11" ht="72">
      <c r="B74" s="1435"/>
      <c r="C74" s="73"/>
      <c r="D74" s="51" t="s">
        <v>974</v>
      </c>
      <c r="E74" s="5"/>
      <c r="F74" s="5"/>
      <c r="G74" s="5"/>
      <c r="H74" s="5"/>
      <c r="I74" s="5"/>
      <c r="J74" s="5"/>
      <c r="K74" s="5"/>
    </row>
    <row r="75" spans="2:11" ht="48">
      <c r="B75" s="1435"/>
      <c r="C75" s="73"/>
      <c r="D75" s="51" t="s">
        <v>975</v>
      </c>
      <c r="E75" s="5"/>
      <c r="F75" s="5"/>
      <c r="G75" s="5"/>
      <c r="H75" s="5"/>
      <c r="I75" s="5"/>
      <c r="J75" s="5"/>
      <c r="K75" s="5"/>
    </row>
    <row r="76" spans="2:11" ht="40.200000000000003" thickBot="1">
      <c r="B76" s="1436"/>
      <c r="C76" s="2"/>
      <c r="D76" s="52" t="s">
        <v>976</v>
      </c>
      <c r="E76" s="5"/>
      <c r="F76" s="5"/>
      <c r="G76" s="5"/>
      <c r="H76" s="5"/>
      <c r="I76" s="5"/>
      <c r="J76" s="5"/>
      <c r="K76" s="5"/>
    </row>
    <row r="77" spans="2:11" ht="15" thickBot="1">
      <c r="B77" s="1"/>
      <c r="C77" s="64"/>
      <c r="D77" s="5"/>
      <c r="E77" s="5"/>
      <c r="F77" s="5"/>
      <c r="G77" s="5"/>
      <c r="H77" s="5"/>
      <c r="I77" s="5"/>
      <c r="J77" s="5"/>
      <c r="K77" s="5"/>
    </row>
    <row r="78" spans="2:11" ht="36">
      <c r="B78" s="1434" t="s">
        <v>89</v>
      </c>
      <c r="C78" s="84"/>
      <c r="D78" s="54" t="s">
        <v>977</v>
      </c>
      <c r="E78" s="5"/>
      <c r="F78" s="5"/>
      <c r="G78" s="5"/>
      <c r="H78" s="5"/>
      <c r="I78" s="5"/>
      <c r="J78" s="5"/>
      <c r="K78" s="5"/>
    </row>
    <row r="79" spans="2:11">
      <c r="B79" s="1435"/>
      <c r="C79" s="73"/>
      <c r="D79" s="13"/>
      <c r="E79" s="5"/>
      <c r="F79" s="5"/>
      <c r="G79" s="5"/>
      <c r="H79" s="5"/>
      <c r="I79" s="5"/>
      <c r="J79" s="5"/>
      <c r="K79" s="5"/>
    </row>
    <row r="80" spans="2:11">
      <c r="B80" s="1435"/>
      <c r="C80" s="73"/>
      <c r="D80" s="36" t="s">
        <v>90</v>
      </c>
      <c r="E80" s="5"/>
      <c r="F80" s="5"/>
      <c r="G80" s="5"/>
      <c r="H80" s="5"/>
      <c r="I80" s="5"/>
      <c r="J80" s="5"/>
      <c r="K80" s="5"/>
    </row>
    <row r="81" spans="2:11" ht="74.400000000000006">
      <c r="B81" s="1435"/>
      <c r="C81" s="73"/>
      <c r="D81" s="36" t="s">
        <v>978</v>
      </c>
      <c r="E81" s="5"/>
      <c r="F81" s="5"/>
      <c r="G81" s="5"/>
      <c r="H81" s="5"/>
      <c r="I81" s="5"/>
      <c r="J81" s="5"/>
      <c r="K81" s="5"/>
    </row>
    <row r="82" spans="2:11" ht="62.4">
      <c r="B82" s="1435"/>
      <c r="C82" s="73"/>
      <c r="D82" s="36" t="s">
        <v>979</v>
      </c>
      <c r="E82" s="5"/>
      <c r="F82" s="5"/>
      <c r="G82" s="5"/>
      <c r="H82" s="5"/>
      <c r="I82" s="5"/>
      <c r="J82" s="5"/>
      <c r="K82" s="5"/>
    </row>
    <row r="83" spans="2:11" ht="63" thickBot="1">
      <c r="B83" s="1436"/>
      <c r="C83" s="2"/>
      <c r="D83" s="32" t="s">
        <v>980</v>
      </c>
      <c r="E83" s="5"/>
      <c r="F83" s="5"/>
      <c r="G83" s="5"/>
      <c r="H83" s="5"/>
      <c r="I83" s="5"/>
      <c r="J83" s="5"/>
      <c r="K83" s="5"/>
    </row>
    <row r="84" spans="2:11">
      <c r="B84" s="5"/>
      <c r="D84" s="5"/>
      <c r="E84" s="5"/>
      <c r="F84" s="5"/>
      <c r="G84" s="5"/>
      <c r="H84" s="5"/>
      <c r="I84" s="5"/>
      <c r="J84" s="5"/>
      <c r="K84" s="5"/>
    </row>
  </sheetData>
  <sheetProtection insertRows="0"/>
  <mergeCells count="30">
    <mergeCell ref="G23:H23"/>
    <mergeCell ref="D13:J13"/>
    <mergeCell ref="D18:J18"/>
    <mergeCell ref="D19:J19"/>
    <mergeCell ref="A1:P1"/>
    <mergeCell ref="A2:P2"/>
    <mergeCell ref="A3:P3"/>
    <mergeCell ref="A4:D4"/>
    <mergeCell ref="A5:P5"/>
    <mergeCell ref="B9:D9"/>
    <mergeCell ref="F9:S9"/>
    <mergeCell ref="F10:S10"/>
    <mergeCell ref="E11:R11"/>
    <mergeCell ref="E12:R12"/>
    <mergeCell ref="B56:B60"/>
    <mergeCell ref="B61:B66"/>
    <mergeCell ref="B68:B76"/>
    <mergeCell ref="B78:B83"/>
    <mergeCell ref="B13:B23"/>
    <mergeCell ref="B55:D55"/>
    <mergeCell ref="D24:J24"/>
    <mergeCell ref="D25:J25"/>
    <mergeCell ref="B27:E27"/>
    <mergeCell ref="B28:B34"/>
    <mergeCell ref="B36:E36"/>
    <mergeCell ref="B37:B43"/>
    <mergeCell ref="B51:E52"/>
    <mergeCell ref="G20:H20"/>
    <mergeCell ref="G21:H21"/>
    <mergeCell ref="G22:H22"/>
  </mergeCells>
  <conditionalFormatting sqref="E11:R11">
    <cfRule type="expression" dxfId="24" priority="1">
      <formula>E10="SI SE REPORTA"</formula>
    </cfRule>
  </conditionalFormatting>
  <conditionalFormatting sqref="F9">
    <cfRule type="notContainsBlanks" dxfId="23" priority="4">
      <formula>LEN(TRIM(F9))&gt;0</formula>
    </cfRule>
  </conditionalFormatting>
  <conditionalFormatting sqref="F10:S10">
    <cfRule type="expression" dxfId="22" priority="2">
      <formula>E10="NO SE REPORTA"</formula>
    </cfRule>
    <cfRule type="expression" dxfId="21" priority="3">
      <formula>E9="NO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23" xr:uid="{00000000-0002-0000-1C00-000000000000}">
      <formula1>0</formula1>
    </dataValidation>
    <dataValidation type="list" allowBlank="1" showInputMessage="1" showErrorMessage="1" sqref="E10" xr:uid="{00000000-0002-0000-1C00-000001000000}">
      <formula1>REPORTE</formula1>
    </dataValidation>
    <dataValidation type="list" allowBlank="1" showInputMessage="1" showErrorMessage="1" sqref="E9" xr:uid="{00000000-0002-0000-1C00-000002000000}">
      <formula1>SI</formula1>
    </dataValidation>
  </dataValidations>
  <hyperlinks>
    <hyperlink ref="B8" location="'ANEXO 3'!A1" display="VOLVER AL INDICE" xr:uid="{00000000-0004-0000-1C00-000000000000}"/>
    <hyperlink ref="E32" r:id="rId1" xr:uid="{00000000-0004-0000-1C00-000001000000}"/>
  </hyperlinks>
  <pageMargins left="0.25" right="0.25" top="0.75" bottom="0.75" header="0.3" footer="0.3"/>
  <pageSetup paperSize="178" orientation="landscape" horizontalDpi="1200" verticalDpi="1200" r:id="rId2"/>
  <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5">
    <tabColor rgb="FF92D050"/>
  </sheetPr>
  <dimension ref="A1:U139"/>
  <sheetViews>
    <sheetView showGridLines="0" topLeftCell="C95" zoomScale="98" zoomScaleNormal="98" workbookViewId="0">
      <selection activeCell="E13" sqref="E13:R13"/>
    </sheetView>
  </sheetViews>
  <sheetFormatPr baseColWidth="10" defaultRowHeight="14.4"/>
  <cols>
    <col min="1" max="1" width="1.88671875" customWidth="1"/>
    <col min="2" max="2" width="10.5546875" customWidth="1"/>
    <col min="3" max="3" width="5" style="66" bestFit="1" customWidth="1"/>
    <col min="4" max="4" width="34.88671875" customWidth="1"/>
    <col min="5" max="5" width="21.44140625" customWidth="1"/>
    <col min="6" max="6" width="13.8867187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+'[8]Datos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+'[8]Datos Generales'!C6</f>
        <v>2023-II</v>
      </c>
      <c r="F4" s="320"/>
      <c r="G4" s="320"/>
      <c r="H4" s="320"/>
      <c r="I4" s="320"/>
      <c r="J4" s="320"/>
      <c r="K4" s="320"/>
      <c r="L4" s="321"/>
      <c r="M4" s="321"/>
      <c r="N4" s="321"/>
      <c r="O4" s="321"/>
      <c r="P4" s="322"/>
      <c r="Q4"/>
      <c r="R4"/>
    </row>
    <row r="5" spans="1:21" ht="16.5" customHeight="1" thickBot="1">
      <c r="A5" s="1401" t="s">
        <v>989</v>
      </c>
      <c r="B5" s="1402"/>
      <c r="C5" s="1402"/>
      <c r="D5" s="1402"/>
      <c r="E5" s="1402"/>
      <c r="F5" s="1402"/>
      <c r="G5" s="1402"/>
      <c r="H5" s="1402"/>
      <c r="I5" s="1402"/>
      <c r="J5" s="1402"/>
      <c r="K5" s="1402"/>
      <c r="L5" s="1402"/>
      <c r="M5" s="1402"/>
      <c r="N5" s="1402"/>
      <c r="O5" s="1402"/>
      <c r="P5" s="1403"/>
    </row>
    <row r="6" spans="1:21">
      <c r="B6" s="1" t="s">
        <v>1</v>
      </c>
      <c r="C6" s="64"/>
      <c r="D6" s="5"/>
      <c r="E6" s="165"/>
      <c r="F6" s="5" t="s">
        <v>127</v>
      </c>
      <c r="G6" s="5"/>
      <c r="H6" s="5"/>
      <c r="I6" s="5"/>
      <c r="J6" s="5"/>
      <c r="K6" s="5"/>
    </row>
    <row r="7" spans="1:21" ht="15" thickBot="1">
      <c r="B7" s="63"/>
      <c r="C7" s="65"/>
      <c r="D7" s="5"/>
      <c r="E7" s="14"/>
      <c r="F7" s="5" t="s">
        <v>128</v>
      </c>
      <c r="G7" s="5"/>
      <c r="H7" s="5"/>
      <c r="I7" s="5"/>
      <c r="J7" s="5"/>
      <c r="K7" s="5"/>
    </row>
    <row r="8" spans="1:21" ht="15" thickBot="1">
      <c r="B8" s="144" t="s">
        <v>1178</v>
      </c>
      <c r="C8" s="564">
        <v>2023</v>
      </c>
      <c r="D8" s="170" t="str">
        <f>IF(E10="NO APLICA","NO APLICA",IF(E11="NO SE REPORTA","SIN INFORMACION",+F81))</f>
        <v>SIN INFORMACION</v>
      </c>
      <c r="E8" s="167"/>
      <c r="F8" s="5" t="s">
        <v>129</v>
      </c>
      <c r="G8" s="5"/>
      <c r="H8" s="5"/>
      <c r="I8" s="5"/>
      <c r="J8" s="5"/>
      <c r="K8" s="5"/>
    </row>
    <row r="9" spans="1:21">
      <c r="B9" s="298" t="s">
        <v>1179</v>
      </c>
      <c r="C9" s="67"/>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1232</v>
      </c>
      <c r="F11" s="1405"/>
      <c r="G11" s="1406"/>
      <c r="H11" s="1406"/>
      <c r="I11" s="1406"/>
      <c r="J11" s="1406"/>
      <c r="K11" s="1406"/>
      <c r="L11" s="1406"/>
      <c r="M11" s="1406"/>
      <c r="N11" s="1406"/>
      <c r="O11" s="1406"/>
      <c r="P11" s="1406"/>
      <c r="Q11" s="1406"/>
      <c r="R11" s="1406"/>
      <c r="S11" s="1406"/>
    </row>
    <row r="12" spans="1:21" ht="23.4" customHeight="1">
      <c r="B12" s="298"/>
      <c r="C12" s="67"/>
      <c r="D12" s="144" t="str">
        <f>IF(E11="SI SE REPORTA","¿Qué programas o proyectos del Plan de Acción están asociados al indicador? ","")</f>
        <v/>
      </c>
      <c r="E12" s="1535" t="s">
        <v>1879</v>
      </c>
      <c r="F12" s="1535"/>
      <c r="G12" s="1535"/>
      <c r="H12" s="1535"/>
      <c r="I12" s="1535"/>
      <c r="J12" s="1535"/>
      <c r="K12" s="1535"/>
      <c r="L12" s="1535"/>
      <c r="M12" s="1535"/>
      <c r="N12" s="1535"/>
      <c r="O12" s="1535"/>
      <c r="P12" s="1535"/>
      <c r="Q12" s="1535"/>
      <c r="R12" s="1535"/>
    </row>
    <row r="13" spans="1:21" ht="39" customHeight="1">
      <c r="B13" s="298"/>
      <c r="C13" s="67"/>
      <c r="D13" s="144" t="s">
        <v>1236</v>
      </c>
      <c r="E13" s="1568" t="s">
        <v>2676</v>
      </c>
      <c r="F13" s="1569"/>
      <c r="G13" s="1569"/>
      <c r="H13" s="1569"/>
      <c r="I13" s="1569"/>
      <c r="J13" s="1569"/>
      <c r="K13" s="1569"/>
      <c r="L13" s="1569"/>
      <c r="M13" s="1569"/>
      <c r="N13" s="1569"/>
      <c r="O13" s="1569"/>
      <c r="P13" s="1569"/>
      <c r="Q13" s="1569"/>
      <c r="R13" s="1570"/>
    </row>
    <row r="14" spans="1:21" ht="48.75" customHeight="1" thickBot="1">
      <c r="B14" s="298"/>
      <c r="C14" s="67"/>
      <c r="D14" s="5"/>
      <c r="E14" s="5"/>
      <c r="F14" s="5"/>
      <c r="G14" s="5"/>
      <c r="H14" s="5"/>
      <c r="I14" s="5"/>
      <c r="J14" s="5"/>
      <c r="K14" s="5"/>
    </row>
    <row r="15" spans="1:21" ht="15" customHeight="1" thickTop="1">
      <c r="B15" s="1536" t="s">
        <v>2</v>
      </c>
      <c r="C15" s="68"/>
      <c r="D15" s="1425" t="s">
        <v>3</v>
      </c>
      <c r="E15" s="1426"/>
      <c r="F15" s="1426"/>
      <c r="G15" s="1426"/>
      <c r="H15" s="1426"/>
      <c r="I15" s="1426"/>
      <c r="J15" s="1426"/>
      <c r="K15" s="1426"/>
      <c r="L15" s="1615"/>
      <c r="M15" s="1596"/>
    </row>
    <row r="16" spans="1:21">
      <c r="B16" s="1459"/>
      <c r="C16" s="71"/>
      <c r="D16" s="1639" t="s">
        <v>1008</v>
      </c>
      <c r="E16" s="1640"/>
      <c r="F16" s="1640"/>
      <c r="G16" s="1640"/>
      <c r="H16" s="1640"/>
      <c r="I16" s="1640"/>
      <c r="J16" s="1640"/>
      <c r="K16" s="1640"/>
      <c r="L16" s="1719"/>
      <c r="M16" s="1670"/>
    </row>
    <row r="17" spans="2:13" ht="15" thickBot="1">
      <c r="B17" s="1459"/>
      <c r="C17" s="71"/>
      <c r="D17" s="1416" t="s">
        <v>1009</v>
      </c>
      <c r="E17" s="1417"/>
      <c r="F17" s="1417"/>
      <c r="G17" s="1417"/>
      <c r="H17" s="1417"/>
      <c r="I17" s="1417"/>
      <c r="J17" s="1417"/>
      <c r="K17" s="1417"/>
      <c r="L17" s="1608"/>
      <c r="M17" s="1579"/>
    </row>
    <row r="18" spans="2:13" ht="15" thickBot="1">
      <c r="B18" s="1459"/>
      <c r="C18" s="73"/>
      <c r="D18" s="1721" t="s">
        <v>1010</v>
      </c>
      <c r="E18" s="1602" t="s">
        <v>1011</v>
      </c>
      <c r="F18" s="1611"/>
      <c r="G18" s="1602" t="s">
        <v>1012</v>
      </c>
      <c r="H18" s="1611"/>
      <c r="I18" s="1602" t="s">
        <v>150</v>
      </c>
      <c r="J18" s="1611"/>
      <c r="K18" s="49"/>
      <c r="M18" s="10"/>
    </row>
    <row r="19" spans="2:13" ht="15" thickBot="1">
      <c r="B19" s="1459"/>
      <c r="C19" s="73"/>
      <c r="D19" s="1722"/>
      <c r="E19" s="31" t="s">
        <v>1013</v>
      </c>
      <c r="F19" s="31" t="s">
        <v>1014</v>
      </c>
      <c r="G19" s="31" t="s">
        <v>1013</v>
      </c>
      <c r="H19" s="31" t="s">
        <v>1014</v>
      </c>
      <c r="I19" s="31" t="s">
        <v>1013</v>
      </c>
      <c r="J19" s="31" t="s">
        <v>1014</v>
      </c>
      <c r="M19" s="10"/>
    </row>
    <row r="20" spans="2:13" ht="15" thickBot="1">
      <c r="B20" s="174"/>
      <c r="C20" s="73"/>
      <c r="D20" s="31" t="s">
        <v>1015</v>
      </c>
      <c r="E20" s="6">
        <v>0</v>
      </c>
      <c r="F20" s="6">
        <v>0</v>
      </c>
      <c r="G20" s="6">
        <v>0</v>
      </c>
      <c r="H20" s="6">
        <v>0</v>
      </c>
      <c r="I20" s="1291">
        <f>+E20+G20</f>
        <v>0</v>
      </c>
      <c r="J20" s="1291">
        <f>+F20+H20</f>
        <v>0</v>
      </c>
      <c r="M20" s="10"/>
    </row>
    <row r="21" spans="2:13">
      <c r="B21" s="174"/>
      <c r="C21" s="80"/>
      <c r="D21" s="1416"/>
      <c r="E21" s="1417"/>
      <c r="F21" s="1417"/>
      <c r="G21" s="1417"/>
      <c r="H21" s="1417"/>
      <c r="I21" s="1417"/>
      <c r="J21" s="1417"/>
      <c r="K21" s="1417"/>
      <c r="L21" s="1608"/>
      <c r="M21" s="1579"/>
    </row>
    <row r="22" spans="2:13" ht="15" thickBot="1">
      <c r="B22" s="174"/>
      <c r="C22" s="71"/>
      <c r="D22" s="107"/>
      <c r="E22" s="107"/>
      <c r="F22" s="288" t="s">
        <v>54</v>
      </c>
      <c r="G22" s="107"/>
      <c r="H22" s="107"/>
      <c r="I22" s="107"/>
      <c r="J22" s="107"/>
      <c r="K22" s="107"/>
      <c r="L22" s="285"/>
      <c r="M22" s="286"/>
    </row>
    <row r="23" spans="2:13" ht="24.6" thickBot="1">
      <c r="B23" s="174"/>
      <c r="C23" s="73"/>
      <c r="D23" s="34" t="s">
        <v>1016</v>
      </c>
      <c r="E23" s="1292">
        <v>0</v>
      </c>
      <c r="F23" s="287" t="s">
        <v>2669</v>
      </c>
      <c r="G23" s="5"/>
      <c r="H23" s="5"/>
      <c r="I23" s="5"/>
      <c r="J23" s="5"/>
      <c r="K23" s="5"/>
      <c r="M23" s="10"/>
    </row>
    <row r="24" spans="2:13" ht="24.6" thickBot="1">
      <c r="B24" s="174"/>
      <c r="C24" s="73"/>
      <c r="D24" s="32" t="s">
        <v>1017</v>
      </c>
      <c r="E24" s="1292">
        <v>0</v>
      </c>
      <c r="F24" s="150"/>
      <c r="G24" s="5"/>
      <c r="H24" s="5"/>
      <c r="I24" s="5"/>
      <c r="J24" s="5"/>
      <c r="K24" s="5"/>
      <c r="M24" s="10"/>
    </row>
    <row r="25" spans="2:13" ht="24.6" thickBot="1">
      <c r="B25" s="174"/>
      <c r="C25" s="73"/>
      <c r="D25" s="32" t="s">
        <v>1018</v>
      </c>
      <c r="E25" s="275" t="str">
        <f>+IFERROR(E24/E23," ")</f>
        <v xml:space="preserve"> </v>
      </c>
      <c r="F25" s="150"/>
      <c r="G25" s="5"/>
      <c r="H25" s="5"/>
      <c r="I25" s="5"/>
      <c r="J25" s="5"/>
      <c r="K25" s="5"/>
      <c r="M25" s="10"/>
    </row>
    <row r="26" spans="2:13">
      <c r="B26" s="174"/>
      <c r="C26" s="71"/>
      <c r="D26" s="1639" t="s">
        <v>1019</v>
      </c>
      <c r="E26" s="1640"/>
      <c r="F26" s="1640"/>
      <c r="G26" s="1640"/>
      <c r="H26" s="1640"/>
      <c r="I26" s="1640"/>
      <c r="J26" s="1640"/>
      <c r="K26" s="1640"/>
      <c r="L26" s="1719"/>
      <c r="M26" s="1670"/>
    </row>
    <row r="27" spans="2:13" ht="15" thickBot="1">
      <c r="B27" s="174"/>
      <c r="C27" s="71"/>
      <c r="D27" s="1428" t="s">
        <v>1020</v>
      </c>
      <c r="E27" s="1429"/>
      <c r="F27" s="1429"/>
      <c r="G27" s="1429"/>
      <c r="H27" s="1429"/>
      <c r="I27" s="1429"/>
      <c r="J27" s="1429"/>
      <c r="K27" s="1429"/>
      <c r="L27" s="1607"/>
      <c r="M27" s="1580"/>
    </row>
    <row r="28" spans="2:13" ht="24.6" thickBot="1">
      <c r="B28" s="174"/>
      <c r="C28" s="73"/>
      <c r="D28" s="34" t="s">
        <v>1021</v>
      </c>
      <c r="E28" s="274">
        <v>1</v>
      </c>
      <c r="F28" s="5"/>
      <c r="G28" s="5"/>
      <c r="H28" s="5"/>
      <c r="I28" s="5"/>
      <c r="J28" s="5"/>
      <c r="K28" s="5"/>
      <c r="M28" s="10"/>
    </row>
    <row r="29" spans="2:13" ht="24.6" thickBot="1">
      <c r="B29" s="174"/>
      <c r="C29" s="73"/>
      <c r="D29" s="32" t="s">
        <v>1022</v>
      </c>
      <c r="E29" s="274">
        <v>2</v>
      </c>
      <c r="F29" s="5"/>
      <c r="G29" s="5"/>
      <c r="H29" s="5"/>
      <c r="I29" s="5"/>
      <c r="J29" s="5"/>
      <c r="K29" s="5"/>
      <c r="M29" s="10"/>
    </row>
    <row r="30" spans="2:13" ht="24.6" thickBot="1">
      <c r="B30" s="174"/>
      <c r="C30" s="73"/>
      <c r="D30" s="32" t="s">
        <v>1023</v>
      </c>
      <c r="E30" s="274">
        <v>0</v>
      </c>
      <c r="F30" s="5"/>
      <c r="G30" s="5"/>
      <c r="H30" s="5"/>
      <c r="I30" s="5"/>
      <c r="J30" s="5"/>
      <c r="K30" s="5"/>
      <c r="M30" s="10"/>
    </row>
    <row r="31" spans="2:13" ht="15" thickBot="1">
      <c r="B31" s="174"/>
      <c r="C31" s="71"/>
      <c r="D31" s="1447" t="s">
        <v>1024</v>
      </c>
      <c r="E31" s="1448"/>
      <c r="F31" s="1448"/>
      <c r="G31" s="1448"/>
      <c r="H31" s="1448"/>
      <c r="I31" s="1448"/>
      <c r="J31" s="1448"/>
      <c r="K31" s="1448"/>
      <c r="L31" s="1720"/>
      <c r="M31" s="1581"/>
    </row>
    <row r="32" spans="2:13" ht="15" thickBot="1">
      <c r="B32" s="174"/>
      <c r="C32" s="77" t="s">
        <v>18</v>
      </c>
      <c r="D32" s="34" t="s">
        <v>1025</v>
      </c>
      <c r="E32" s="6"/>
      <c r="F32" s="205"/>
      <c r="G32" s="205"/>
      <c r="H32" s="205"/>
      <c r="I32" s="205"/>
      <c r="J32" s="205"/>
      <c r="K32" s="205"/>
      <c r="L32" s="272"/>
      <c r="M32" s="95"/>
    </row>
    <row r="33" spans="2:13" ht="15" thickBot="1">
      <c r="B33" s="174"/>
      <c r="C33" s="2" t="s">
        <v>151</v>
      </c>
      <c r="D33" s="32" t="s">
        <v>1026</v>
      </c>
      <c r="E33" s="6"/>
      <c r="F33" s="205"/>
      <c r="G33" s="289"/>
      <c r="H33" s="289"/>
      <c r="I33" s="289"/>
      <c r="J33" s="289"/>
      <c r="K33" s="289"/>
      <c r="L33" s="290"/>
      <c r="M33" s="8"/>
    </row>
    <row r="34" spans="2:13" ht="15" thickBot="1">
      <c r="B34" s="174"/>
      <c r="C34" s="2" t="s">
        <v>153</v>
      </c>
      <c r="D34" s="103" t="s">
        <v>1027</v>
      </c>
      <c r="E34" s="613"/>
      <c r="F34" s="610"/>
      <c r="G34" s="292"/>
      <c r="H34" s="292"/>
      <c r="I34" s="292"/>
      <c r="J34" s="292"/>
      <c r="K34" s="292"/>
      <c r="L34" s="293"/>
      <c r="M34" s="10"/>
    </row>
    <row r="35" spans="2:13" ht="15" thickBot="1">
      <c r="B35" s="174"/>
      <c r="C35" s="2" t="s">
        <v>155</v>
      </c>
      <c r="D35" s="103" t="s">
        <v>1028</v>
      </c>
      <c r="E35" s="613"/>
      <c r="F35" s="611"/>
      <c r="G35" s="274"/>
      <c r="H35" s="274"/>
      <c r="I35" s="274"/>
      <c r="J35" s="274"/>
      <c r="K35" s="274"/>
      <c r="L35" s="294"/>
      <c r="M35" s="10"/>
    </row>
    <row r="36" spans="2:13" ht="15" thickBot="1">
      <c r="B36" s="174"/>
      <c r="C36" s="2" t="s">
        <v>257</v>
      </c>
      <c r="D36" s="103" t="s">
        <v>1029</v>
      </c>
      <c r="E36" s="614"/>
      <c r="F36" s="612"/>
      <c r="G36" s="295"/>
      <c r="H36" s="295"/>
      <c r="I36" s="295"/>
      <c r="J36" s="295"/>
      <c r="K36" s="295"/>
      <c r="L36" s="296"/>
      <c r="M36" s="10"/>
    </row>
    <row r="37" spans="2:13" ht="24.6" thickBot="1">
      <c r="B37" s="174"/>
      <c r="C37" s="1537" t="s">
        <v>259</v>
      </c>
      <c r="D37" s="36" t="s">
        <v>1030</v>
      </c>
      <c r="E37" s="291" t="str">
        <f>IFERROR(E36/E35,"N.A.")</f>
        <v>N.A.</v>
      </c>
      <c r="F37" s="291" t="str">
        <f t="shared" ref="F37:L37" si="0">IFERROR(F36/F35,"N.A.")</f>
        <v>N.A.</v>
      </c>
      <c r="G37" s="291" t="str">
        <f t="shared" si="0"/>
        <v>N.A.</v>
      </c>
      <c r="H37" s="291" t="str">
        <f t="shared" si="0"/>
        <v>N.A.</v>
      </c>
      <c r="I37" s="291" t="str">
        <f t="shared" si="0"/>
        <v>N.A.</v>
      </c>
      <c r="J37" s="291" t="str">
        <f t="shared" si="0"/>
        <v>N.A.</v>
      </c>
      <c r="K37" s="291" t="str">
        <f t="shared" si="0"/>
        <v>N.A.</v>
      </c>
      <c r="L37" s="291" t="str">
        <f t="shared" si="0"/>
        <v>N.A.</v>
      </c>
      <c r="M37" s="8"/>
    </row>
    <row r="38" spans="2:13" ht="15" thickBot="1">
      <c r="B38" s="174"/>
      <c r="C38" s="1538"/>
      <c r="D38" s="32" t="s">
        <v>1031</v>
      </c>
      <c r="E38" s="122" t="str">
        <f>+IF(E37="N.A.","N.A.",IF(E37&gt;=75%,1,0))</f>
        <v>N.A.</v>
      </c>
      <c r="F38" s="122" t="str">
        <f t="shared" ref="F38:L38" si="1">+IF(F37="N.A.","N.A.",IF(F37&gt;=75%,1,0))</f>
        <v>N.A.</v>
      </c>
      <c r="G38" s="122" t="str">
        <f t="shared" si="1"/>
        <v>N.A.</v>
      </c>
      <c r="H38" s="122" t="str">
        <f t="shared" si="1"/>
        <v>N.A.</v>
      </c>
      <c r="I38" s="122" t="str">
        <f t="shared" si="1"/>
        <v>N.A.</v>
      </c>
      <c r="J38" s="122" t="str">
        <f t="shared" si="1"/>
        <v>N.A.</v>
      </c>
      <c r="K38" s="122" t="str">
        <f t="shared" si="1"/>
        <v>N.A.</v>
      </c>
      <c r="L38" s="122" t="str">
        <f t="shared" si="1"/>
        <v>N.A.</v>
      </c>
      <c r="M38" s="8"/>
    </row>
    <row r="39" spans="2:13" ht="15" thickBot="1">
      <c r="B39" s="174"/>
      <c r="C39" s="2" t="s">
        <v>261</v>
      </c>
      <c r="D39" s="32" t="s">
        <v>1032</v>
      </c>
      <c r="E39" s="25"/>
      <c r="F39" s="25"/>
      <c r="G39" s="25"/>
      <c r="H39" s="25"/>
      <c r="I39" s="25"/>
      <c r="J39" s="25"/>
      <c r="K39" s="25"/>
      <c r="L39" s="25"/>
      <c r="M39" s="9"/>
    </row>
    <row r="40" spans="2:13">
      <c r="B40" s="174"/>
      <c r="C40" s="71"/>
      <c r="D40" s="1425"/>
      <c r="E40" s="1426"/>
      <c r="F40" s="1426"/>
      <c r="G40" s="1426"/>
      <c r="H40" s="1426"/>
      <c r="I40" s="1426"/>
      <c r="J40" s="1426"/>
      <c r="K40" s="1426"/>
      <c r="L40" s="1615"/>
      <c r="M40" s="1596"/>
    </row>
    <row r="41" spans="2:13" ht="15" thickBot="1">
      <c r="B41" s="174"/>
      <c r="C41" s="71"/>
      <c r="D41" s="1416" t="s">
        <v>1033</v>
      </c>
      <c r="E41" s="1417"/>
      <c r="F41" s="1417"/>
      <c r="G41" s="1417"/>
      <c r="H41" s="1417"/>
      <c r="I41" s="1417"/>
      <c r="J41" s="1417"/>
      <c r="K41" s="1417"/>
      <c r="L41" s="1608"/>
      <c r="M41" s="1579"/>
    </row>
    <row r="42" spans="2:13" ht="15" thickBot="1">
      <c r="B42" s="174"/>
      <c r="C42" s="77" t="s">
        <v>18</v>
      </c>
      <c r="D42" s="34" t="s">
        <v>1034</v>
      </c>
      <c r="E42" s="509">
        <v>1</v>
      </c>
      <c r="F42" s="6"/>
      <c r="G42" s="6"/>
      <c r="H42" s="34" t="s">
        <v>150</v>
      </c>
      <c r="I42" s="5"/>
      <c r="J42" s="129" t="s">
        <v>1172</v>
      </c>
      <c r="K42" s="5"/>
      <c r="M42" s="10"/>
    </row>
    <row r="43" spans="2:13" ht="15" thickBot="1">
      <c r="B43" s="174"/>
      <c r="C43" s="2" t="s">
        <v>263</v>
      </c>
      <c r="D43" s="32" t="s">
        <v>1035</v>
      </c>
      <c r="E43" s="536">
        <v>1</v>
      </c>
      <c r="F43" s="25"/>
      <c r="G43" s="25"/>
      <c r="H43" s="123">
        <f>MAX(E42:G42)</f>
        <v>1</v>
      </c>
      <c r="I43" s="5"/>
      <c r="K43" s="5"/>
      <c r="M43" s="10"/>
    </row>
    <row r="44" spans="2:13" ht="15" thickBot="1">
      <c r="B44" s="174"/>
      <c r="C44" s="2" t="s">
        <v>265</v>
      </c>
      <c r="D44" s="32" t="s">
        <v>1037</v>
      </c>
      <c r="E44" s="509">
        <v>0</v>
      </c>
      <c r="F44" s="6"/>
      <c r="G44" s="6"/>
      <c r="H44" s="124">
        <f>SUM(E44:G44)</f>
        <v>0</v>
      </c>
      <c r="I44" s="5"/>
      <c r="J44" s="5"/>
      <c r="K44" s="5"/>
      <c r="M44" s="10"/>
    </row>
    <row r="45" spans="2:13" ht="24.6" thickBot="1">
      <c r="B45" s="174"/>
      <c r="C45" s="2" t="s">
        <v>267</v>
      </c>
      <c r="D45" s="32" t="s">
        <v>1038</v>
      </c>
      <c r="E45" s="509">
        <v>0</v>
      </c>
      <c r="F45" s="6"/>
      <c r="G45" s="6"/>
      <c r="H45" s="124">
        <f>SUM(E45:G45)</f>
        <v>0</v>
      </c>
      <c r="I45" s="5"/>
      <c r="J45" s="5"/>
      <c r="K45" s="5"/>
      <c r="M45" s="10"/>
    </row>
    <row r="46" spans="2:13" ht="15" thickBot="1">
      <c r="B46" s="174"/>
      <c r="C46" s="1537" t="s">
        <v>1039</v>
      </c>
      <c r="D46" s="36" t="s">
        <v>1040</v>
      </c>
      <c r="E46" s="121" t="str">
        <f>IFERROR(E45/E44,"N.A.")</f>
        <v>N.A.</v>
      </c>
      <c r="F46" s="121" t="str">
        <f>IFERROR(F45/F44,"N.A.")</f>
        <v>N.A.</v>
      </c>
      <c r="G46" s="121" t="str">
        <f>IFERROR(G45/G44,"N.A.")</f>
        <v>N.A.</v>
      </c>
      <c r="H46" s="125"/>
      <c r="I46" s="5"/>
      <c r="J46" s="5"/>
      <c r="K46" s="5"/>
      <c r="M46" s="10"/>
    </row>
    <row r="47" spans="2:13" ht="15" thickBot="1">
      <c r="B47" s="174"/>
      <c r="C47" s="1538"/>
      <c r="D47" s="32" t="s">
        <v>1041</v>
      </c>
      <c r="E47" s="122" t="str">
        <f>+IF(E46="N.A.","N.A.",IF(E46&gt;=75%,1,0))</f>
        <v>N.A.</v>
      </c>
      <c r="F47" s="122" t="str">
        <f>+IF(F46="N.A.","N.A.",IF(F46&gt;=75%,1,0))</f>
        <v>N.A.</v>
      </c>
      <c r="G47" s="122" t="str">
        <f>+IF(G46="N.A.","N.A.",IF(G46&gt;=75%,1,0))</f>
        <v>N.A.</v>
      </c>
      <c r="H47" s="124">
        <f>SUM(E47:G47)</f>
        <v>0</v>
      </c>
      <c r="I47" s="5"/>
      <c r="J47" s="5"/>
      <c r="K47" s="5"/>
      <c r="M47" s="10"/>
    </row>
    <row r="48" spans="2:13" ht="15" thickBot="1">
      <c r="B48" s="174"/>
      <c r="C48" s="2" t="s">
        <v>1042</v>
      </c>
      <c r="D48" s="1437" t="s">
        <v>1043</v>
      </c>
      <c r="E48" s="1438"/>
      <c r="F48" s="1438"/>
      <c r="G48" s="1439"/>
      <c r="H48" s="164">
        <f>IFERROR(H47/H43,"N.A.")</f>
        <v>0</v>
      </c>
      <c r="I48" s="5"/>
      <c r="J48" s="5"/>
      <c r="K48" s="5"/>
      <c r="M48" s="10"/>
    </row>
    <row r="49" spans="2:13" ht="15" thickBot="1">
      <c r="B49" s="174"/>
      <c r="C49" s="71"/>
      <c r="D49" s="1639" t="s">
        <v>1044</v>
      </c>
      <c r="E49" s="1640"/>
      <c r="F49" s="1640"/>
      <c r="G49" s="1640"/>
      <c r="H49" s="1640"/>
      <c r="I49" s="1640"/>
      <c r="J49" s="1640"/>
      <c r="K49" s="1640"/>
      <c r="L49" s="1719"/>
      <c r="M49" s="1670"/>
    </row>
    <row r="50" spans="2:13" ht="24.6" thickBot="1">
      <c r="B50" s="174"/>
      <c r="C50" s="73"/>
      <c r="D50" s="34" t="s">
        <v>1021</v>
      </c>
      <c r="E50" s="509">
        <v>0</v>
      </c>
      <c r="F50" s="5"/>
      <c r="G50" s="5"/>
      <c r="H50" s="5"/>
      <c r="I50" s="5"/>
      <c r="J50" s="5"/>
      <c r="K50" s="5"/>
      <c r="M50" s="10"/>
    </row>
    <row r="51" spans="2:13" ht="24.6" thickBot="1">
      <c r="B51" s="174"/>
      <c r="C51" s="73"/>
      <c r="D51" s="32" t="s">
        <v>1022</v>
      </c>
      <c r="E51" s="509">
        <v>0</v>
      </c>
      <c r="F51" s="5"/>
      <c r="G51" s="5"/>
      <c r="H51" s="5"/>
      <c r="I51" s="5"/>
      <c r="J51" s="5"/>
      <c r="K51" s="5"/>
      <c r="M51" s="10"/>
    </row>
    <row r="52" spans="2:13" ht="24.6" thickBot="1">
      <c r="B52" s="174"/>
      <c r="C52" s="73"/>
      <c r="D52" s="32" t="s">
        <v>1023</v>
      </c>
      <c r="E52" s="509">
        <v>0</v>
      </c>
      <c r="F52" s="5"/>
      <c r="G52" s="5"/>
      <c r="H52" s="5"/>
      <c r="I52" s="5"/>
      <c r="J52" s="5"/>
      <c r="K52" s="5"/>
      <c r="M52" s="10"/>
    </row>
    <row r="53" spans="2:13" ht="15" thickBot="1">
      <c r="B53" s="174"/>
      <c r="C53" s="71"/>
      <c r="D53" s="1447" t="s">
        <v>1024</v>
      </c>
      <c r="E53" s="1448"/>
      <c r="F53" s="1448"/>
      <c r="G53" s="1448"/>
      <c r="H53" s="1448"/>
      <c r="I53" s="1448"/>
      <c r="J53" s="1448"/>
      <c r="K53" s="1448"/>
      <c r="L53" s="1720"/>
      <c r="M53" s="1581"/>
    </row>
    <row r="54" spans="2:13" ht="15" thickBot="1">
      <c r="B54" s="174"/>
      <c r="C54" s="77" t="s">
        <v>18</v>
      </c>
      <c r="D54" s="34" t="s">
        <v>1025</v>
      </c>
      <c r="E54" s="205"/>
      <c r="F54" s="205"/>
      <c r="G54" s="205"/>
      <c r="H54" s="205"/>
      <c r="I54" s="205"/>
      <c r="J54" s="205"/>
      <c r="K54" s="205"/>
      <c r="L54" s="272"/>
      <c r="M54" s="95"/>
    </row>
    <row r="55" spans="2:13" ht="15" thickBot="1">
      <c r="B55" s="174"/>
      <c r="C55" s="2" t="s">
        <v>151</v>
      </c>
      <c r="D55" s="32" t="s">
        <v>1026</v>
      </c>
      <c r="E55" s="25"/>
      <c r="F55" s="25"/>
      <c r="G55" s="25"/>
      <c r="H55" s="25"/>
      <c r="I55" s="25"/>
      <c r="J55" s="25"/>
      <c r="K55" s="25"/>
      <c r="L55" s="273"/>
      <c r="M55" s="8"/>
    </row>
    <row r="56" spans="2:13" ht="15" thickBot="1">
      <c r="B56" s="174"/>
      <c r="C56" s="2" t="s">
        <v>153</v>
      </c>
      <c r="D56" s="32" t="s">
        <v>1027</v>
      </c>
      <c r="E56" s="25"/>
      <c r="F56" s="25"/>
      <c r="G56" s="25"/>
      <c r="H56" s="25"/>
      <c r="I56" s="25"/>
      <c r="J56" s="25"/>
      <c r="K56" s="25"/>
      <c r="L56" s="273"/>
      <c r="M56" s="8"/>
    </row>
    <row r="57" spans="2:13" ht="15" thickBot="1">
      <c r="B57" s="174"/>
      <c r="C57" s="2" t="s">
        <v>155</v>
      </c>
      <c r="D57" s="32" t="s">
        <v>1028</v>
      </c>
      <c r="E57" s="274"/>
      <c r="F57" s="274"/>
      <c r="G57" s="274"/>
      <c r="H57" s="274"/>
      <c r="I57" s="274"/>
      <c r="J57" s="274"/>
      <c r="K57" s="274"/>
      <c r="L57" s="274"/>
      <c r="M57" s="8"/>
    </row>
    <row r="58" spans="2:13" ht="15" thickBot="1">
      <c r="B58" s="174"/>
      <c r="C58" s="2" t="s">
        <v>257</v>
      </c>
      <c r="D58" s="32" t="s">
        <v>1029</v>
      </c>
      <c r="E58" s="274"/>
      <c r="F58" s="274"/>
      <c r="G58" s="274"/>
      <c r="H58" s="274"/>
      <c r="I58" s="274"/>
      <c r="J58" s="274"/>
      <c r="K58" s="274"/>
      <c r="L58" s="274"/>
      <c r="M58" s="8"/>
    </row>
    <row r="59" spans="2:13" ht="24.6" thickBot="1">
      <c r="B59" s="174"/>
      <c r="C59" s="1537" t="s">
        <v>259</v>
      </c>
      <c r="D59" s="36" t="s">
        <v>1030</v>
      </c>
      <c r="E59" s="121" t="str">
        <f t="shared" ref="E59:L59" si="2">IFERROR(E58/E57,"N.A.")</f>
        <v>N.A.</v>
      </c>
      <c r="F59" s="121" t="str">
        <f t="shared" si="2"/>
        <v>N.A.</v>
      </c>
      <c r="G59" s="121" t="str">
        <f t="shared" si="2"/>
        <v>N.A.</v>
      </c>
      <c r="H59" s="121" t="str">
        <f t="shared" si="2"/>
        <v>N.A.</v>
      </c>
      <c r="I59" s="121" t="str">
        <f t="shared" si="2"/>
        <v>N.A.</v>
      </c>
      <c r="J59" s="121" t="str">
        <f t="shared" si="2"/>
        <v>N.A.</v>
      </c>
      <c r="K59" s="121" t="str">
        <f t="shared" si="2"/>
        <v>N.A.</v>
      </c>
      <c r="L59" s="121" t="str">
        <f t="shared" si="2"/>
        <v>N.A.</v>
      </c>
      <c r="M59" s="8"/>
    </row>
    <row r="60" spans="2:13" ht="15" thickBot="1">
      <c r="B60" s="174"/>
      <c r="C60" s="1538"/>
      <c r="D60" s="32" t="s">
        <v>1045</v>
      </c>
      <c r="E60" s="122" t="str">
        <f>+IF(E59="N.A.","N.A.",IF(E59&gt;=75%,1,0))</f>
        <v>N.A.</v>
      </c>
      <c r="F60" s="122" t="str">
        <f t="shared" ref="F60:L60" si="3">+IF(F59="N.A.","N.A.",IF(F59&gt;=75%,1,0))</f>
        <v>N.A.</v>
      </c>
      <c r="G60" s="122" t="str">
        <f t="shared" si="3"/>
        <v>N.A.</v>
      </c>
      <c r="H60" s="122" t="str">
        <f t="shared" si="3"/>
        <v>N.A.</v>
      </c>
      <c r="I60" s="122" t="str">
        <f t="shared" si="3"/>
        <v>N.A.</v>
      </c>
      <c r="J60" s="122" t="str">
        <f t="shared" si="3"/>
        <v>N.A.</v>
      </c>
      <c r="K60" s="122" t="str">
        <f t="shared" si="3"/>
        <v>N.A.</v>
      </c>
      <c r="L60" s="122" t="str">
        <f t="shared" si="3"/>
        <v>N.A.</v>
      </c>
      <c r="M60" s="8"/>
    </row>
    <row r="61" spans="2:13" ht="15" thickBot="1">
      <c r="B61" s="174"/>
      <c r="C61" s="2" t="s">
        <v>261</v>
      </c>
      <c r="D61" s="32" t="s">
        <v>1032</v>
      </c>
      <c r="E61" s="1546" t="s">
        <v>2656</v>
      </c>
      <c r="F61" s="1723"/>
      <c r="G61" s="1723"/>
      <c r="H61" s="1723"/>
      <c r="I61" s="1723"/>
      <c r="J61" s="1723"/>
      <c r="K61" s="1723"/>
      <c r="L61" s="1547"/>
      <c r="M61" s="9"/>
    </row>
    <row r="62" spans="2:13">
      <c r="B62" s="174"/>
      <c r="C62" s="71"/>
      <c r="D62" s="1425"/>
      <c r="E62" s="1426"/>
      <c r="F62" s="1426"/>
      <c r="G62" s="1426"/>
      <c r="H62" s="1426"/>
      <c r="I62" s="1426"/>
      <c r="J62" s="1426"/>
      <c r="K62" s="1426"/>
      <c r="L62" s="1615"/>
      <c r="M62" s="1596"/>
    </row>
    <row r="63" spans="2:13" ht="15" thickBot="1">
      <c r="B63" s="174"/>
      <c r="C63" s="71"/>
      <c r="D63" s="1724" t="s">
        <v>1033</v>
      </c>
      <c r="E63" s="1725"/>
      <c r="F63" s="1725"/>
      <c r="G63" s="1725"/>
      <c r="H63" s="1725"/>
      <c r="I63" s="1725"/>
      <c r="J63" s="1725"/>
      <c r="K63" s="1725"/>
      <c r="L63" s="1726"/>
      <c r="M63" s="1727"/>
    </row>
    <row r="64" spans="2:13" ht="15" thickBot="1">
      <c r="B64" s="174"/>
      <c r="C64" s="77" t="s">
        <v>18</v>
      </c>
      <c r="D64" s="34" t="s">
        <v>1034</v>
      </c>
      <c r="E64" s="439">
        <v>1</v>
      </c>
      <c r="F64" s="439"/>
      <c r="G64" s="439"/>
      <c r="H64" s="439" t="s">
        <v>150</v>
      </c>
      <c r="I64" s="5"/>
      <c r="J64" s="5"/>
      <c r="K64" s="5"/>
      <c r="M64" s="10"/>
    </row>
    <row r="65" spans="2:13" ht="15" thickBot="1">
      <c r="B65" s="174"/>
      <c r="C65" s="2" t="s">
        <v>263</v>
      </c>
      <c r="D65" s="32" t="s">
        <v>1035</v>
      </c>
      <c r="E65" s="551" t="s">
        <v>1036</v>
      </c>
      <c r="F65" s="551"/>
      <c r="G65" s="551"/>
      <c r="H65" s="550">
        <f>MAX(E64:G64)</f>
        <v>1</v>
      </c>
      <c r="I65" s="5"/>
      <c r="J65" s="5"/>
      <c r="K65" s="5"/>
      <c r="M65" s="10"/>
    </row>
    <row r="66" spans="2:13" ht="15" thickBot="1">
      <c r="B66" s="174"/>
      <c r="C66" s="2" t="s">
        <v>265</v>
      </c>
      <c r="D66" s="32" t="s">
        <v>1037</v>
      </c>
      <c r="E66" s="509">
        <v>0</v>
      </c>
      <c r="F66" s="6"/>
      <c r="G66" s="6"/>
      <c r="H66" s="124">
        <f>SUM(E66:G66)</f>
        <v>0</v>
      </c>
      <c r="I66" s="5"/>
      <c r="J66" s="5"/>
      <c r="K66" s="5"/>
      <c r="M66" s="10"/>
    </row>
    <row r="67" spans="2:13" ht="24.6" thickBot="1">
      <c r="B67" s="174"/>
      <c r="C67" s="2" t="s">
        <v>267</v>
      </c>
      <c r="D67" s="32" t="s">
        <v>1046</v>
      </c>
      <c r="E67" s="509">
        <v>0</v>
      </c>
      <c r="F67" s="6"/>
      <c r="G67" s="6"/>
      <c r="H67" s="124">
        <f>SUM(E67:G67)</f>
        <v>0</v>
      </c>
      <c r="I67" s="5"/>
      <c r="J67" s="5"/>
      <c r="K67" s="5"/>
      <c r="M67" s="10"/>
    </row>
    <row r="68" spans="2:13" ht="15" thickBot="1">
      <c r="B68" s="174"/>
      <c r="C68" s="1537" t="s">
        <v>1039</v>
      </c>
      <c r="D68" s="36" t="s">
        <v>1040</v>
      </c>
      <c r="E68" s="121" t="e">
        <f>+E67/E66</f>
        <v>#DIV/0!</v>
      </c>
      <c r="F68" s="121" t="e">
        <f>+F67/F66</f>
        <v>#DIV/0!</v>
      </c>
      <c r="G68" s="121" t="e">
        <f>+G67/G66</f>
        <v>#DIV/0!</v>
      </c>
      <c r="H68" s="125">
        <v>1</v>
      </c>
      <c r="I68" s="5"/>
      <c r="J68" s="5"/>
      <c r="K68" s="5"/>
      <c r="M68" s="10"/>
    </row>
    <row r="69" spans="2:13" ht="15" thickBot="1">
      <c r="B69" s="174"/>
      <c r="C69" s="1538"/>
      <c r="D69" s="32" t="s">
        <v>1041</v>
      </c>
      <c r="E69" s="122" t="e">
        <f>+IF(E68&gt;=75%,1,0)</f>
        <v>#DIV/0!</v>
      </c>
      <c r="F69" s="122" t="e">
        <f>+IF(F68&gt;=75%,1,0)</f>
        <v>#DIV/0!</v>
      </c>
      <c r="G69" s="122" t="e">
        <f>+IF(G68&gt;=75%,1,0)</f>
        <v>#DIV/0!</v>
      </c>
      <c r="H69" s="124">
        <v>1</v>
      </c>
      <c r="I69" s="5"/>
      <c r="J69" s="5"/>
      <c r="K69" s="5"/>
      <c r="M69" s="10"/>
    </row>
    <row r="70" spans="2:13" ht="15" thickBot="1">
      <c r="B70" s="174"/>
      <c r="C70" s="2" t="s">
        <v>1042</v>
      </c>
      <c r="D70" s="1437" t="s">
        <v>1043</v>
      </c>
      <c r="E70" s="1438"/>
      <c r="F70" s="1438"/>
      <c r="G70" s="1439"/>
      <c r="H70" s="126">
        <f>IFERROR(H69/H65,"N.A.")</f>
        <v>1</v>
      </c>
      <c r="I70" s="5"/>
      <c r="J70" s="5"/>
      <c r="K70" s="5"/>
      <c r="M70" s="10"/>
    </row>
    <row r="71" spans="2:13">
      <c r="B71" s="174"/>
      <c r="C71" s="71"/>
      <c r="D71" s="1416"/>
      <c r="E71" s="1417"/>
      <c r="F71" s="1417"/>
      <c r="G71" s="1417"/>
      <c r="H71" s="1417"/>
      <c r="I71" s="1417"/>
      <c r="J71" s="1417"/>
      <c r="K71" s="1417"/>
      <c r="L71" s="1608"/>
      <c r="M71" s="1579"/>
    </row>
    <row r="72" spans="2:13" ht="15" thickBot="1">
      <c r="B72" s="174"/>
      <c r="C72" s="71"/>
      <c r="D72" s="1428" t="s">
        <v>1047</v>
      </c>
      <c r="E72" s="1429"/>
      <c r="F72" s="1429"/>
      <c r="G72" s="1429"/>
      <c r="H72" s="1429"/>
      <c r="I72" s="1429"/>
      <c r="J72" s="1429"/>
      <c r="K72" s="1429"/>
      <c r="L72" s="1607"/>
      <c r="M72" s="1580"/>
    </row>
    <row r="73" spans="2:13" ht="15" thickBot="1">
      <c r="B73" s="174"/>
      <c r="C73" s="77" t="s">
        <v>1048</v>
      </c>
      <c r="D73" s="30" t="s">
        <v>1049</v>
      </c>
      <c r="E73" s="127">
        <f>+H48</f>
        <v>0</v>
      </c>
      <c r="F73" s="5"/>
      <c r="G73" s="5"/>
      <c r="H73" s="5"/>
      <c r="I73" s="5"/>
      <c r="J73" s="5"/>
      <c r="K73" s="5"/>
      <c r="M73" s="10"/>
    </row>
    <row r="74" spans="2:13" ht="15" thickBot="1">
      <c r="B74" s="174"/>
      <c r="C74" s="2" t="s">
        <v>1050</v>
      </c>
      <c r="D74" s="31" t="s">
        <v>1051</v>
      </c>
      <c r="E74" s="128">
        <f>+H70</f>
        <v>1</v>
      </c>
      <c r="F74" s="5"/>
      <c r="G74" s="5"/>
      <c r="H74" s="5"/>
      <c r="I74" s="5"/>
      <c r="J74" s="5"/>
      <c r="K74" s="5"/>
      <c r="M74" s="10"/>
    </row>
    <row r="75" spans="2:13" ht="36.6" thickBot="1">
      <c r="B75" s="174"/>
      <c r="C75" s="2" t="s">
        <v>18</v>
      </c>
      <c r="D75" s="32" t="s">
        <v>1052</v>
      </c>
      <c r="E75" s="128">
        <f>AVERAGE(E73:E74)</f>
        <v>0.5</v>
      </c>
      <c r="F75" s="5"/>
      <c r="G75" s="5"/>
      <c r="H75" s="5"/>
      <c r="I75" s="5"/>
      <c r="J75" s="5"/>
      <c r="K75" s="5"/>
      <c r="M75" s="10"/>
    </row>
    <row r="76" spans="2:13">
      <c r="B76" s="174"/>
      <c r="C76" s="71"/>
      <c r="D76" s="1416"/>
      <c r="E76" s="1417"/>
      <c r="F76" s="1417"/>
      <c r="G76" s="1417"/>
      <c r="H76" s="1417"/>
      <c r="I76" s="1417"/>
      <c r="J76" s="1417"/>
      <c r="K76" s="1417"/>
      <c r="L76" s="1608"/>
      <c r="M76" s="1579"/>
    </row>
    <row r="77" spans="2:13" ht="15" thickBot="1">
      <c r="B77" s="174"/>
      <c r="C77" s="71"/>
      <c r="D77" s="1428" t="s">
        <v>1053</v>
      </c>
      <c r="E77" s="1429"/>
      <c r="F77" s="1429"/>
      <c r="G77" s="1429"/>
      <c r="H77" s="1429"/>
      <c r="I77" s="1429"/>
      <c r="J77" s="1429"/>
      <c r="K77" s="1429"/>
      <c r="L77" s="1607"/>
      <c r="M77" s="1580"/>
    </row>
    <row r="78" spans="2:13" ht="15" thickBot="1">
      <c r="B78" s="174"/>
      <c r="C78" s="73"/>
      <c r="D78" s="20"/>
      <c r="E78" s="30" t="s">
        <v>1054</v>
      </c>
      <c r="F78" s="30" t="s">
        <v>1055</v>
      </c>
      <c r="H78" s="5"/>
      <c r="I78" s="5"/>
      <c r="J78" s="5"/>
      <c r="K78" s="5"/>
      <c r="M78" s="10"/>
    </row>
    <row r="79" spans="2:13" ht="24.6" thickBot="1">
      <c r="B79" s="174"/>
      <c r="C79" s="73"/>
      <c r="D79" s="32" t="s">
        <v>1056</v>
      </c>
      <c r="E79" s="552" t="str">
        <f>+E25</f>
        <v xml:space="preserve"> </v>
      </c>
      <c r="F79" s="460">
        <v>0</v>
      </c>
      <c r="G79" s="5"/>
      <c r="H79" s="5"/>
      <c r="I79" s="5"/>
      <c r="J79" s="5"/>
      <c r="K79" s="5"/>
      <c r="M79" s="10"/>
    </row>
    <row r="80" spans="2:13" ht="24.6" thickBot="1">
      <c r="B80" s="174"/>
      <c r="C80" s="73"/>
      <c r="D80" s="32" t="s">
        <v>1057</v>
      </c>
      <c r="E80" s="552">
        <f>+E75</f>
        <v>0.5</v>
      </c>
      <c r="F80" s="460">
        <v>1</v>
      </c>
      <c r="G80" s="5"/>
      <c r="H80" s="5"/>
      <c r="I80" s="5"/>
      <c r="J80" s="5"/>
      <c r="K80" s="5"/>
      <c r="M80" s="10"/>
    </row>
    <row r="81" spans="2:13" ht="24.6" thickBot="1">
      <c r="B81" s="37"/>
      <c r="C81" s="2"/>
      <c r="D81" s="32" t="s">
        <v>989</v>
      </c>
      <c r="E81" s="161" t="str">
        <f>Formulas!$D$29</f>
        <v/>
      </c>
      <c r="F81" s="154">
        <f>+IFERROR(Formulas!$E$29,0)</f>
        <v>0</v>
      </c>
      <c r="G81" s="18"/>
      <c r="H81" s="18"/>
      <c r="I81" s="18"/>
      <c r="J81" s="18"/>
      <c r="K81" s="18"/>
      <c r="L81" s="11"/>
      <c r="M81" s="7"/>
    </row>
    <row r="82" spans="2:13" ht="24" customHeight="1" thickBot="1">
      <c r="B82" s="37" t="s">
        <v>33</v>
      </c>
      <c r="C82" s="72"/>
      <c r="D82" s="1437" t="s">
        <v>1058</v>
      </c>
      <c r="E82" s="1438"/>
      <c r="F82" s="1438"/>
      <c r="G82" s="1438"/>
      <c r="H82" s="1438"/>
      <c r="I82" s="1438"/>
      <c r="J82" s="1438"/>
      <c r="K82" s="1438"/>
      <c r="L82" s="1606"/>
      <c r="M82" s="1578"/>
    </row>
    <row r="83" spans="2:13" ht="36.6" thickBot="1">
      <c r="B83" s="37" t="s">
        <v>35</v>
      </c>
      <c r="C83" s="72"/>
      <c r="D83" s="1437" t="s">
        <v>158</v>
      </c>
      <c r="E83" s="1438"/>
      <c r="F83" s="1438"/>
      <c r="G83" s="1438"/>
      <c r="H83" s="1438"/>
      <c r="I83" s="1438"/>
      <c r="J83" s="1438"/>
      <c r="K83" s="1438"/>
      <c r="L83" s="1606"/>
      <c r="M83" s="1578"/>
    </row>
    <row r="84" spans="2:13" ht="15" thickBot="1">
      <c r="B84" s="1"/>
      <c r="C84" s="64"/>
      <c r="D84" s="5"/>
      <c r="E84" s="5"/>
      <c r="F84" s="5"/>
      <c r="G84" s="5"/>
      <c r="H84" s="5"/>
      <c r="I84" s="5"/>
      <c r="J84" s="5"/>
      <c r="K84" s="5"/>
    </row>
    <row r="85" spans="2:13" ht="24" customHeight="1" thickBot="1">
      <c r="B85" s="1444" t="s">
        <v>37</v>
      </c>
      <c r="C85" s="1445"/>
      <c r="D85" s="1445"/>
      <c r="E85" s="1446"/>
      <c r="F85" s="5"/>
      <c r="G85" s="5"/>
      <c r="H85" s="5"/>
      <c r="I85" s="5"/>
      <c r="J85" s="5"/>
      <c r="K85" s="5"/>
    </row>
    <row r="86" spans="2:13" ht="15" thickBot="1">
      <c r="B86" s="1434">
        <v>1</v>
      </c>
      <c r="C86" s="73"/>
      <c r="D86" s="38" t="s">
        <v>38</v>
      </c>
      <c r="E86" s="189" t="s">
        <v>1811</v>
      </c>
      <c r="F86" s="5"/>
      <c r="G86" s="5"/>
      <c r="H86" s="5"/>
      <c r="I86" s="5"/>
      <c r="J86" s="5"/>
      <c r="K86" s="5"/>
    </row>
    <row r="87" spans="2:13" ht="24.6" thickBot="1">
      <c r="B87" s="1435"/>
      <c r="C87" s="73"/>
      <c r="D87" s="32" t="s">
        <v>39</v>
      </c>
      <c r="E87" s="562" t="s">
        <v>1875</v>
      </c>
      <c r="F87" s="5"/>
      <c r="G87" s="5"/>
      <c r="H87" s="5"/>
      <c r="I87" s="5"/>
      <c r="J87" s="5"/>
      <c r="K87" s="5"/>
    </row>
    <row r="88" spans="2:13" ht="15" thickBot="1">
      <c r="B88" s="1435"/>
      <c r="C88" s="73"/>
      <c r="D88" s="32" t="s">
        <v>40</v>
      </c>
      <c r="E88" s="562" t="s">
        <v>2015</v>
      </c>
      <c r="F88" s="5"/>
      <c r="G88" s="5"/>
      <c r="H88" s="5"/>
      <c r="I88" s="5"/>
      <c r="J88" s="5"/>
      <c r="K88" s="5"/>
    </row>
    <row r="89" spans="2:13" ht="15" thickBot="1">
      <c r="B89" s="1435"/>
      <c r="C89" s="73"/>
      <c r="D89" s="32" t="s">
        <v>41</v>
      </c>
      <c r="E89" s="189" t="s">
        <v>2028</v>
      </c>
      <c r="F89" s="5"/>
      <c r="G89" s="5"/>
      <c r="H89" s="5"/>
      <c r="I89" s="5"/>
      <c r="J89" s="5"/>
      <c r="K89" s="5"/>
    </row>
    <row r="90" spans="2:13" ht="58.2" thickBot="1">
      <c r="B90" s="1435"/>
      <c r="C90" s="73"/>
      <c r="D90" s="32" t="s">
        <v>42</v>
      </c>
      <c r="E90" s="859" t="s">
        <v>2016</v>
      </c>
      <c r="F90" s="5"/>
      <c r="G90" s="5"/>
      <c r="H90" s="5"/>
      <c r="I90" s="5"/>
      <c r="J90" s="5"/>
      <c r="K90" s="5"/>
    </row>
    <row r="91" spans="2:13" ht="15" thickBot="1">
      <c r="B91" s="1435"/>
      <c r="C91" s="73"/>
      <c r="D91" s="32" t="s">
        <v>43</v>
      </c>
      <c r="E91" s="562" t="s">
        <v>2018</v>
      </c>
      <c r="F91" s="5"/>
      <c r="G91" s="5"/>
      <c r="H91" s="5"/>
      <c r="I91" s="5"/>
      <c r="J91" s="5"/>
      <c r="K91" s="5"/>
    </row>
    <row r="92" spans="2:13" ht="15" thickBot="1">
      <c r="B92" s="1436"/>
      <c r="C92" s="2"/>
      <c r="D92" s="32" t="s">
        <v>44</v>
      </c>
      <c r="E92" s="562" t="s">
        <v>1814</v>
      </c>
      <c r="F92" s="5"/>
      <c r="G92" s="5"/>
      <c r="H92" s="5"/>
      <c r="I92" s="5"/>
      <c r="J92" s="5"/>
      <c r="K92" s="5"/>
    </row>
    <row r="93" spans="2:13" ht="15" thickBot="1">
      <c r="B93" s="1"/>
      <c r="C93" s="64"/>
      <c r="D93" s="5"/>
      <c r="E93" s="5"/>
      <c r="F93" s="5"/>
      <c r="G93" s="5"/>
      <c r="H93" s="5"/>
      <c r="I93" s="5"/>
      <c r="J93" s="5"/>
      <c r="K93" s="5"/>
    </row>
    <row r="94" spans="2:13" ht="15" thickBot="1">
      <c r="B94" s="1444" t="s">
        <v>45</v>
      </c>
      <c r="C94" s="1445"/>
      <c r="D94" s="1445"/>
      <c r="E94" s="1446"/>
      <c r="F94" s="5"/>
      <c r="G94" s="5"/>
      <c r="H94" s="5"/>
      <c r="I94" s="5"/>
      <c r="J94" s="5"/>
      <c r="K94" s="5"/>
    </row>
    <row r="95" spans="2:13" ht="15" thickBot="1">
      <c r="B95" s="1434">
        <v>1</v>
      </c>
      <c r="C95" s="73"/>
      <c r="D95" s="38" t="s">
        <v>38</v>
      </c>
      <c r="E95" s="176" t="s">
        <v>46</v>
      </c>
      <c r="F95" s="5"/>
      <c r="G95" s="5"/>
      <c r="H95" s="5"/>
      <c r="I95" s="5"/>
      <c r="J95" s="5"/>
      <c r="K95" s="5"/>
    </row>
    <row r="96" spans="2:13" ht="15" thickBot="1">
      <c r="B96" s="1435"/>
      <c r="C96" s="73"/>
      <c r="D96" s="32" t="s">
        <v>39</v>
      </c>
      <c r="E96" s="176" t="s">
        <v>159</v>
      </c>
      <c r="F96" s="5"/>
      <c r="G96" s="5"/>
      <c r="H96" s="5"/>
      <c r="I96" s="5"/>
      <c r="J96" s="5"/>
      <c r="K96" s="5"/>
    </row>
    <row r="97" spans="2:11" ht="15" thickBot="1">
      <c r="B97" s="1435"/>
      <c r="C97" s="73"/>
      <c r="D97" s="32" t="s">
        <v>40</v>
      </c>
      <c r="E97" s="138"/>
      <c r="F97" s="5"/>
      <c r="G97" s="5"/>
      <c r="H97" s="5"/>
      <c r="I97" s="5"/>
      <c r="J97" s="5"/>
      <c r="K97" s="5"/>
    </row>
    <row r="98" spans="2:11" ht="15" thickBot="1">
      <c r="B98" s="1435"/>
      <c r="C98" s="73"/>
      <c r="D98" s="32" t="s">
        <v>41</v>
      </c>
      <c r="E98" s="138"/>
      <c r="F98" s="5"/>
      <c r="G98" s="5"/>
      <c r="H98" s="5"/>
      <c r="I98" s="5"/>
      <c r="J98" s="5"/>
      <c r="K98" s="5"/>
    </row>
    <row r="99" spans="2:11" ht="15" thickBot="1">
      <c r="B99" s="1435"/>
      <c r="C99" s="73"/>
      <c r="D99" s="32" t="s">
        <v>42</v>
      </c>
      <c r="E99" s="138"/>
      <c r="F99" s="5"/>
      <c r="G99" s="5"/>
      <c r="H99" s="5"/>
      <c r="I99" s="5"/>
      <c r="J99" s="5"/>
      <c r="K99" s="5"/>
    </row>
    <row r="100" spans="2:11" ht="15" thickBot="1">
      <c r="B100" s="1435"/>
      <c r="C100" s="73"/>
      <c r="D100" s="32" t="s">
        <v>43</v>
      </c>
      <c r="E100" s="138"/>
      <c r="F100" s="5"/>
      <c r="G100" s="5"/>
      <c r="H100" s="5"/>
      <c r="I100" s="5"/>
      <c r="J100" s="5"/>
      <c r="K100" s="5"/>
    </row>
    <row r="101" spans="2:11" ht="15" thickBot="1">
      <c r="B101" s="1436"/>
      <c r="C101" s="2"/>
      <c r="D101" s="32" t="s">
        <v>44</v>
      </c>
      <c r="E101" s="138"/>
      <c r="F101" s="5"/>
      <c r="G101" s="5"/>
      <c r="H101" s="5"/>
      <c r="I101" s="5"/>
      <c r="J101" s="5"/>
      <c r="K101" s="5"/>
    </row>
    <row r="102" spans="2:11" ht="15" thickBot="1">
      <c r="B102" s="1"/>
      <c r="C102" s="64"/>
      <c r="D102" s="5"/>
      <c r="E102" s="5"/>
      <c r="F102" s="5"/>
      <c r="G102" s="5"/>
      <c r="H102" s="5"/>
      <c r="I102" s="5"/>
      <c r="J102" s="5"/>
      <c r="K102" s="5"/>
    </row>
    <row r="103" spans="2:11" ht="15" customHeight="1" thickBot="1">
      <c r="B103" s="100" t="s">
        <v>48</v>
      </c>
      <c r="C103" s="101"/>
      <c r="D103" s="101"/>
      <c r="E103" s="102"/>
      <c r="G103" s="5"/>
      <c r="H103" s="5"/>
      <c r="I103" s="5"/>
      <c r="J103" s="5"/>
      <c r="K103" s="5"/>
    </row>
    <row r="104" spans="2:11" ht="24.6" thickBot="1">
      <c r="B104" s="37" t="s">
        <v>49</v>
      </c>
      <c r="C104" s="32" t="s">
        <v>50</v>
      </c>
      <c r="D104" s="32" t="s">
        <v>51</v>
      </c>
      <c r="E104" s="32" t="s">
        <v>52</v>
      </c>
      <c r="F104" s="5"/>
      <c r="G104" s="5"/>
      <c r="H104" s="5"/>
      <c r="I104" s="5"/>
      <c r="J104" s="5"/>
    </row>
    <row r="105" spans="2:11" ht="60.6" thickBot="1">
      <c r="B105" s="39">
        <v>42401</v>
      </c>
      <c r="C105" s="32">
        <v>1</v>
      </c>
      <c r="D105" s="40" t="s">
        <v>1059</v>
      </c>
      <c r="E105" s="32"/>
      <c r="F105" s="5"/>
      <c r="G105" s="5"/>
      <c r="H105" s="5"/>
      <c r="I105" s="5"/>
      <c r="J105" s="5"/>
    </row>
    <row r="106" spans="2:11" ht="15" thickBot="1">
      <c r="B106" s="3"/>
      <c r="C106" s="74"/>
      <c r="D106" s="5"/>
      <c r="E106" s="5"/>
      <c r="F106" s="5"/>
      <c r="G106" s="5"/>
      <c r="H106" s="5"/>
      <c r="I106" s="5"/>
      <c r="J106" s="5"/>
      <c r="K106" s="5"/>
    </row>
    <row r="107" spans="2:11" ht="24.6" thickBot="1">
      <c r="B107" s="106" t="s">
        <v>54</v>
      </c>
      <c r="C107" s="75"/>
      <c r="D107" s="5"/>
      <c r="E107" s="5"/>
      <c r="F107" s="5"/>
      <c r="G107" s="5"/>
      <c r="H107" s="5"/>
      <c r="I107" s="5"/>
      <c r="J107" s="5"/>
      <c r="K107" s="5"/>
    </row>
    <row r="108" spans="2:11">
      <c r="B108" s="1689"/>
      <c r="C108" s="1690"/>
      <c r="D108" s="1690"/>
      <c r="E108" s="1690"/>
      <c r="F108" s="1690"/>
      <c r="G108" s="1690"/>
      <c r="H108" s="1690"/>
      <c r="I108" s="1691"/>
      <c r="J108" s="5"/>
      <c r="K108" s="5"/>
    </row>
    <row r="109" spans="2:11" ht="15" thickBot="1">
      <c r="B109" s="1692"/>
      <c r="C109" s="1693"/>
      <c r="D109" s="1693"/>
      <c r="E109" s="1693"/>
      <c r="F109" s="1693"/>
      <c r="G109" s="1693"/>
      <c r="H109" s="1693"/>
      <c r="I109" s="1694"/>
      <c r="J109" s="5"/>
      <c r="K109" s="5"/>
    </row>
    <row r="110" spans="2:11" ht="15" thickBot="1">
      <c r="B110" s="5"/>
      <c r="D110" s="5"/>
      <c r="E110" s="5"/>
      <c r="F110" s="5"/>
      <c r="G110" s="5"/>
      <c r="H110" s="5"/>
      <c r="I110" s="5"/>
      <c r="J110" s="5"/>
      <c r="K110" s="5"/>
    </row>
    <row r="111" spans="2:11" ht="24.6" thickBot="1">
      <c r="B111" s="41" t="s">
        <v>55</v>
      </c>
      <c r="C111" s="76"/>
      <c r="D111" s="5"/>
      <c r="E111" s="5"/>
      <c r="F111" s="5"/>
      <c r="G111" s="5"/>
      <c r="H111" s="5"/>
      <c r="I111" s="5"/>
      <c r="J111" s="5"/>
      <c r="K111" s="5"/>
    </row>
    <row r="112" spans="2:11" ht="15" thickBot="1">
      <c r="B112" s="1"/>
      <c r="C112" s="64"/>
      <c r="D112" s="5"/>
      <c r="E112" s="5"/>
      <c r="F112" s="5"/>
      <c r="G112" s="5"/>
      <c r="H112" s="5"/>
      <c r="I112" s="5"/>
      <c r="J112" s="5"/>
      <c r="K112" s="5"/>
    </row>
    <row r="113" spans="2:11" ht="60.6" thickBot="1">
      <c r="B113" s="42" t="s">
        <v>56</v>
      </c>
      <c r="C113" s="77"/>
      <c r="D113" s="34" t="s">
        <v>990</v>
      </c>
      <c r="E113" s="5"/>
      <c r="F113" s="5"/>
      <c r="G113" s="5"/>
      <c r="H113" s="5"/>
      <c r="I113" s="5"/>
      <c r="J113" s="5"/>
      <c r="K113" s="5"/>
    </row>
    <row r="114" spans="2:11">
      <c r="B114" s="1434" t="s">
        <v>58</v>
      </c>
      <c r="C114" s="73"/>
      <c r="D114" s="43" t="s">
        <v>59</v>
      </c>
      <c r="E114" s="5"/>
      <c r="F114" s="5"/>
      <c r="G114" s="5"/>
      <c r="H114" s="5"/>
      <c r="I114" s="5"/>
      <c r="J114" s="5"/>
      <c r="K114" s="5"/>
    </row>
    <row r="115" spans="2:11" ht="96">
      <c r="B115" s="1435"/>
      <c r="C115" s="73"/>
      <c r="D115" s="36" t="s">
        <v>991</v>
      </c>
      <c r="E115" s="5"/>
      <c r="F115" s="5"/>
      <c r="G115" s="5"/>
      <c r="H115" s="5"/>
      <c r="I115" s="5"/>
      <c r="J115" s="5"/>
      <c r="K115" s="5"/>
    </row>
    <row r="116" spans="2:11">
      <c r="B116" s="1435"/>
      <c r="C116" s="73"/>
      <c r="D116" s="43" t="s">
        <v>133</v>
      </c>
      <c r="E116" s="5"/>
      <c r="F116" s="5"/>
      <c r="G116" s="5"/>
      <c r="H116" s="5"/>
      <c r="I116" s="5"/>
      <c r="J116" s="5"/>
      <c r="K116" s="5"/>
    </row>
    <row r="117" spans="2:11">
      <c r="B117" s="1435"/>
      <c r="C117" s="73"/>
      <c r="D117" s="36" t="s">
        <v>992</v>
      </c>
      <c r="E117" s="5"/>
      <c r="F117" s="5"/>
      <c r="G117" s="5"/>
      <c r="H117" s="5"/>
      <c r="I117" s="5"/>
      <c r="J117" s="5"/>
      <c r="K117" s="5"/>
    </row>
    <row r="118" spans="2:11" ht="48">
      <c r="B118" s="1435"/>
      <c r="C118" s="73"/>
      <c r="D118" s="36" t="s">
        <v>993</v>
      </c>
      <c r="E118" s="5"/>
      <c r="F118" s="5"/>
      <c r="G118" s="5"/>
      <c r="H118" s="5"/>
      <c r="I118" s="5"/>
      <c r="J118" s="5"/>
      <c r="K118" s="5"/>
    </row>
    <row r="119" spans="2:11">
      <c r="B119" s="1435"/>
      <c r="C119" s="73"/>
      <c r="D119" s="45" t="s">
        <v>994</v>
      </c>
      <c r="E119" s="5"/>
      <c r="F119" s="5"/>
      <c r="G119" s="5"/>
      <c r="H119" s="5"/>
      <c r="I119" s="5"/>
      <c r="J119" s="5"/>
      <c r="K119" s="5"/>
    </row>
    <row r="120" spans="2:11" ht="15" thickBot="1">
      <c r="B120" s="1436"/>
      <c r="C120" s="2"/>
      <c r="D120" s="46" t="s">
        <v>995</v>
      </c>
      <c r="E120" s="5"/>
      <c r="F120" s="5"/>
      <c r="G120" s="5"/>
      <c r="H120" s="5"/>
      <c r="I120" s="5"/>
      <c r="J120" s="5"/>
      <c r="K120" s="5"/>
    </row>
    <row r="121" spans="2:11" ht="24.6" thickBot="1">
      <c r="B121" s="37" t="s">
        <v>71</v>
      </c>
      <c r="C121" s="2"/>
      <c r="D121" s="32"/>
      <c r="E121" s="5"/>
      <c r="F121" s="5"/>
      <c r="G121" s="5"/>
      <c r="H121" s="5"/>
      <c r="I121" s="5"/>
      <c r="J121" s="5"/>
      <c r="K121" s="5"/>
    </row>
    <row r="122" spans="2:11" ht="60">
      <c r="B122" s="1434" t="s">
        <v>72</v>
      </c>
      <c r="C122" s="73"/>
      <c r="D122" s="36" t="s">
        <v>996</v>
      </c>
      <c r="E122" s="5"/>
      <c r="F122" s="5"/>
      <c r="G122" s="5"/>
      <c r="H122" s="5"/>
      <c r="I122" s="5"/>
      <c r="J122" s="5"/>
      <c r="K122" s="5"/>
    </row>
    <row r="123" spans="2:11" ht="192">
      <c r="B123" s="1435"/>
      <c r="C123" s="73"/>
      <c r="D123" s="36" t="s">
        <v>997</v>
      </c>
      <c r="E123" s="5"/>
      <c r="F123" s="5"/>
      <c r="G123" s="5"/>
      <c r="H123" s="5"/>
      <c r="I123" s="5"/>
      <c r="J123" s="5"/>
      <c r="K123" s="5"/>
    </row>
    <row r="124" spans="2:11" ht="72">
      <c r="B124" s="1435"/>
      <c r="C124" s="73"/>
      <c r="D124" s="36" t="s">
        <v>998</v>
      </c>
      <c r="E124" s="5"/>
      <c r="F124" s="5"/>
      <c r="G124" s="5"/>
      <c r="H124" s="5"/>
      <c r="I124" s="5"/>
      <c r="J124" s="5"/>
      <c r="K124" s="5"/>
    </row>
    <row r="125" spans="2:11" ht="180.6" thickBot="1">
      <c r="B125" s="1436"/>
      <c r="C125" s="2"/>
      <c r="D125" s="32" t="s">
        <v>999</v>
      </c>
      <c r="E125" s="5"/>
      <c r="F125" s="5"/>
      <c r="G125" s="5"/>
      <c r="H125" s="5"/>
      <c r="I125" s="5"/>
      <c r="J125" s="5"/>
      <c r="K125" s="5"/>
    </row>
    <row r="126" spans="2:11">
      <c r="B126" s="1434" t="s">
        <v>89</v>
      </c>
      <c r="C126" s="73"/>
      <c r="D126" s="36"/>
      <c r="E126" s="5"/>
      <c r="F126" s="5"/>
      <c r="G126" s="5"/>
      <c r="H126" s="5"/>
      <c r="I126" s="5"/>
      <c r="J126" s="5"/>
      <c r="K126" s="5"/>
    </row>
    <row r="127" spans="2:11">
      <c r="B127" s="1435"/>
      <c r="C127" s="73"/>
      <c r="D127" s="13"/>
      <c r="E127" s="5"/>
      <c r="F127" s="5"/>
      <c r="G127" s="5"/>
      <c r="H127" s="5"/>
      <c r="I127" s="5"/>
      <c r="J127" s="5"/>
      <c r="K127" s="5"/>
    </row>
    <row r="128" spans="2:11">
      <c r="B128" s="1435"/>
      <c r="C128" s="73"/>
      <c r="D128" s="36" t="s">
        <v>90</v>
      </c>
      <c r="E128" s="5"/>
      <c r="F128" s="5"/>
      <c r="G128" s="5"/>
      <c r="H128" s="5"/>
      <c r="I128" s="5"/>
      <c r="J128" s="5"/>
      <c r="K128" s="5"/>
    </row>
    <row r="129" spans="2:11" ht="26.4">
      <c r="B129" s="1435"/>
      <c r="C129" s="73"/>
      <c r="D129" s="36" t="s">
        <v>1000</v>
      </c>
      <c r="E129" s="5"/>
      <c r="F129" s="5"/>
      <c r="G129" s="5"/>
      <c r="H129" s="5"/>
      <c r="I129" s="5"/>
      <c r="J129" s="5"/>
      <c r="K129" s="5"/>
    </row>
    <row r="130" spans="2:11" ht="38.4">
      <c r="B130" s="1435"/>
      <c r="C130" s="73"/>
      <c r="D130" s="36" t="s">
        <v>1001</v>
      </c>
      <c r="E130" s="5"/>
      <c r="F130" s="5"/>
      <c r="G130" s="5"/>
      <c r="H130" s="5"/>
      <c r="I130" s="5"/>
      <c r="J130" s="5"/>
      <c r="K130" s="5"/>
    </row>
    <row r="131" spans="2:11" ht="38.4">
      <c r="B131" s="1435"/>
      <c r="C131" s="73"/>
      <c r="D131" s="36" t="s">
        <v>1002</v>
      </c>
      <c r="E131" s="5"/>
      <c r="F131" s="5"/>
      <c r="G131" s="5"/>
      <c r="H131" s="5"/>
      <c r="I131" s="5"/>
      <c r="J131" s="5"/>
      <c r="K131" s="5"/>
    </row>
    <row r="132" spans="2:11" ht="38.4">
      <c r="B132" s="1435"/>
      <c r="C132" s="73"/>
      <c r="D132" s="36" t="s">
        <v>1003</v>
      </c>
      <c r="E132" s="5"/>
      <c r="F132" s="5"/>
      <c r="G132" s="5"/>
      <c r="H132" s="5"/>
      <c r="I132" s="5"/>
      <c r="J132" s="5"/>
      <c r="K132" s="5"/>
    </row>
    <row r="133" spans="2:11">
      <c r="B133" s="1435"/>
      <c r="C133" s="73"/>
      <c r="D133" s="36" t="s">
        <v>1004</v>
      </c>
      <c r="E133" s="5"/>
      <c r="F133" s="5"/>
      <c r="G133" s="5"/>
      <c r="H133" s="5"/>
      <c r="I133" s="5"/>
      <c r="J133" s="5"/>
      <c r="K133" s="5"/>
    </row>
    <row r="134" spans="2:11">
      <c r="B134" s="1435"/>
      <c r="C134" s="73"/>
      <c r="D134" s="36" t="s">
        <v>1005</v>
      </c>
      <c r="E134" s="5"/>
      <c r="F134" s="5"/>
      <c r="G134" s="5"/>
      <c r="H134" s="5"/>
      <c r="I134" s="5"/>
      <c r="J134" s="5"/>
      <c r="K134" s="5"/>
    </row>
    <row r="135" spans="2:11">
      <c r="B135" s="1435"/>
      <c r="C135" s="73"/>
      <c r="D135" s="36" t="s">
        <v>1006</v>
      </c>
      <c r="E135" s="5"/>
      <c r="F135" s="5"/>
      <c r="G135" s="5"/>
      <c r="H135" s="5"/>
      <c r="I135" s="5"/>
      <c r="J135" s="5"/>
      <c r="K135" s="5"/>
    </row>
    <row r="136" spans="2:11">
      <c r="B136" s="1435"/>
      <c r="C136" s="73"/>
      <c r="D136" s="36" t="s">
        <v>98</v>
      </c>
      <c r="E136" s="5"/>
      <c r="F136" s="5"/>
      <c r="G136" s="5"/>
      <c r="H136" s="5"/>
      <c r="I136" s="5"/>
      <c r="J136" s="5"/>
      <c r="K136" s="5"/>
    </row>
    <row r="137" spans="2:11" ht="48.6" thickBot="1">
      <c r="B137" s="1436"/>
      <c r="C137" s="2"/>
      <c r="D137" s="32" t="s">
        <v>1007</v>
      </c>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sheetData>
  <sheetProtection insertColumns="0" insertRows="0"/>
  <mergeCells count="49">
    <mergeCell ref="A1:P1"/>
    <mergeCell ref="A2:P2"/>
    <mergeCell ref="A3:P3"/>
    <mergeCell ref="A4:D4"/>
    <mergeCell ref="A5:P5"/>
    <mergeCell ref="B10:D10"/>
    <mergeCell ref="F10:S10"/>
    <mergeCell ref="F11:S11"/>
    <mergeCell ref="E12:R12"/>
    <mergeCell ref="E13:R13"/>
    <mergeCell ref="D76:M76"/>
    <mergeCell ref="D70:G70"/>
    <mergeCell ref="C68:C69"/>
    <mergeCell ref="D63:M63"/>
    <mergeCell ref="D71:M71"/>
    <mergeCell ref="D72:M72"/>
    <mergeCell ref="D77:M77"/>
    <mergeCell ref="B114:B120"/>
    <mergeCell ref="B122:B125"/>
    <mergeCell ref="B126:B137"/>
    <mergeCell ref="D82:M82"/>
    <mergeCell ref="E18:F18"/>
    <mergeCell ref="D62:M62"/>
    <mergeCell ref="D48:G48"/>
    <mergeCell ref="C59:C60"/>
    <mergeCell ref="D49:M49"/>
    <mergeCell ref="D53:M53"/>
    <mergeCell ref="I18:J18"/>
    <mergeCell ref="C37:C38"/>
    <mergeCell ref="G18:H18"/>
    <mergeCell ref="D21:M21"/>
    <mergeCell ref="C46:C47"/>
    <mergeCell ref="E61:L61"/>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s>
  <conditionalFormatting sqref="E81">
    <cfRule type="containsText" dxfId="20" priority="5" operator="containsText" text="ERROR">
      <formula>NOT(ISERROR(SEARCH("ERROR",E81)))</formula>
    </cfRule>
  </conditionalFormatting>
  <conditionalFormatting sqref="E12:R12">
    <cfRule type="expression" dxfId="19" priority="1">
      <formula>E11="SI SE REPORTA"</formula>
    </cfRule>
  </conditionalFormatting>
  <conditionalFormatting sqref="F10">
    <cfRule type="notContainsBlanks" dxfId="18" priority="4">
      <formula>LEN(TRIM(F10))&gt;0</formula>
    </cfRule>
  </conditionalFormatting>
  <conditionalFormatting sqref="F11:S11">
    <cfRule type="expression" dxfId="17" priority="2">
      <formula>E11="NO SE REPORTA"</formula>
    </cfRule>
    <cfRule type="expression" dxfId="16"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34:E36 E57:L58 E28:E30 E20:J20 E50:E52 E44:G45 F35:L36 E66:G67" xr:uid="{94F7FDB9-842D-4FC3-AE69-80A0C14FEA90}">
      <formula1>0</formula1>
    </dataValidation>
    <dataValidation type="decimal" allowBlank="1" showInputMessage="1" showErrorMessage="1" errorTitle="ERROR" error="Escriba un valor entre 0% y 100%" sqref="F79:F80" xr:uid="{82B11DBF-8C99-49FD-9F4D-B05D7CDE5743}">
      <formula1>0</formula1>
      <formula2>1</formula2>
    </dataValidation>
    <dataValidation type="list" allowBlank="1" showInputMessage="1" showErrorMessage="1" sqref="E11" xr:uid="{CF56BF5A-F710-4F1C-903F-3E663BD0E452}">
      <formula1>REPORTE</formula1>
    </dataValidation>
    <dataValidation type="list" allowBlank="1" showInputMessage="1" showErrorMessage="1" sqref="E10" xr:uid="{57A67A4F-DC83-4232-9BB3-38F81951C686}">
      <formula1>SI</formula1>
    </dataValidation>
  </dataValidations>
  <hyperlinks>
    <hyperlink ref="D119" r:id="rId1" display="http://www.sisaire.gov.co/" xr:uid="{DE893641-8995-424C-B917-A1F0A73BD8FB}"/>
    <hyperlink ref="D120" r:id="rId2" display="http://www.sirh.ideam.gov.co/" xr:uid="{BB60EF03-02BF-4426-9E4E-AD3FB026DE1B}"/>
    <hyperlink ref="B9" location="'ANEXO 3'!A1" display="VOLVER AL INDICE" xr:uid="{6AD2AF76-F4EA-48B0-AD05-1A1C750EE346}"/>
    <hyperlink ref="E90" r:id="rId3" display="jrestrepo@crautonoma.gov.co" xr:uid="{FB2FA366-B66D-434F-9364-1E4A099E609C}"/>
  </hyperlinks>
  <pageMargins left="0.25" right="0.25" top="0.75" bottom="0.75" header="0.3" footer="0.3"/>
  <pageSetup paperSize="178" orientation="landscape" horizontalDpi="1200" verticalDpi="1200" r:id="rId4"/>
  <drawing r:id="rId5"/>
  <legacyDrawing r:id="rId6"/>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6">
    <tabColor rgb="FF92D050"/>
  </sheetPr>
  <dimension ref="A1:U183"/>
  <sheetViews>
    <sheetView showGridLines="0" topLeftCell="A32" zoomScale="75" zoomScaleNormal="75" workbookViewId="0">
      <selection activeCell="G20" sqref="G20"/>
    </sheetView>
  </sheetViews>
  <sheetFormatPr baseColWidth="10" defaultRowHeight="14.4"/>
  <cols>
    <col min="1" max="1" width="1.88671875" customWidth="1"/>
    <col min="2" max="2" width="12.6640625" customWidth="1"/>
    <col min="3" max="3" width="7.33203125" style="66" customWidth="1"/>
    <col min="4" max="4" width="34.88671875" customWidth="1"/>
    <col min="5" max="5" width="12.109375" customWidth="1"/>
    <col min="11" max="11" width="22"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'[10]Datos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+'[8]Datos Generales'!C6</f>
        <v>2023-II</v>
      </c>
      <c r="F4" s="320"/>
      <c r="G4" s="320"/>
      <c r="H4" s="320"/>
      <c r="I4" s="320"/>
      <c r="J4" s="320"/>
      <c r="K4" s="320"/>
      <c r="L4" s="321"/>
      <c r="M4" s="321"/>
      <c r="N4" s="321"/>
      <c r="O4" s="321"/>
      <c r="P4" s="322"/>
      <c r="Q4"/>
      <c r="R4"/>
    </row>
    <row r="5" spans="1:21" ht="22.5" customHeight="1" thickBot="1">
      <c r="A5" s="1401" t="s">
        <v>1060</v>
      </c>
      <c r="B5" s="1402"/>
      <c r="C5" s="1402"/>
      <c r="D5" s="1402"/>
      <c r="E5" s="1402"/>
      <c r="F5" s="1402"/>
      <c r="G5" s="1402"/>
      <c r="H5" s="1402"/>
      <c r="I5" s="1402"/>
      <c r="J5" s="1402"/>
      <c r="K5" s="1402"/>
      <c r="L5" s="1402"/>
      <c r="M5" s="1402"/>
      <c r="N5" s="1402"/>
      <c r="O5" s="1402"/>
      <c r="P5" s="1403"/>
    </row>
    <row r="6" spans="1:21">
      <c r="B6" s="1" t="s">
        <v>1</v>
      </c>
      <c r="C6" s="64"/>
      <c r="D6" s="5"/>
      <c r="E6" s="62"/>
      <c r="F6" s="5" t="s">
        <v>127</v>
      </c>
      <c r="G6" s="5"/>
      <c r="H6" s="5"/>
      <c r="I6" s="5"/>
      <c r="J6" s="5"/>
      <c r="K6" s="5"/>
    </row>
    <row r="7" spans="1:21" ht="15" thickBot="1">
      <c r="B7" s="63"/>
      <c r="C7" s="65"/>
      <c r="D7" s="5"/>
      <c r="E7" s="14"/>
      <c r="F7" s="5" t="s">
        <v>128</v>
      </c>
      <c r="G7" s="5"/>
      <c r="H7" s="5"/>
      <c r="I7" s="5"/>
      <c r="J7" s="5"/>
      <c r="K7" s="5"/>
    </row>
    <row r="8" spans="1:21" ht="15" thickBot="1">
      <c r="B8" s="144" t="s">
        <v>1178</v>
      </c>
      <c r="C8" s="564">
        <v>2023</v>
      </c>
      <c r="D8" s="170">
        <f>IF(E10="NO APLICA","NO APLICA",IF(E11="NO SE REPORTA","SIN INFORMACION",+E30))</f>
        <v>1</v>
      </c>
      <c r="E8" s="167"/>
      <c r="F8" s="5" t="s">
        <v>129</v>
      </c>
      <c r="G8" s="5"/>
      <c r="H8" s="5"/>
      <c r="I8" s="5"/>
      <c r="J8" s="5"/>
      <c r="K8" s="5"/>
    </row>
    <row r="9" spans="1:21">
      <c r="B9" s="298" t="s">
        <v>1179</v>
      </c>
      <c r="D9" s="5"/>
      <c r="E9" s="5"/>
      <c r="F9" s="5"/>
      <c r="G9" s="5"/>
      <c r="H9" s="5"/>
      <c r="I9" s="5"/>
      <c r="J9" s="5"/>
      <c r="K9" s="5"/>
    </row>
    <row r="10" spans="1:21">
      <c r="B10" s="1404" t="s">
        <v>1234</v>
      </c>
      <c r="C10" s="1404"/>
      <c r="D10" s="1404"/>
      <c r="E10" s="301" t="s">
        <v>1231</v>
      </c>
      <c r="F10" s="141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114" customHeight="1">
      <c r="B12" s="298"/>
      <c r="C12" s="67"/>
      <c r="D12" s="144" t="str">
        <f>IF(E11="SI SE REPORTA","¿Qué programas o proyectos del Plan de Acción están asociados al indicador? ","")</f>
        <v xml:space="preserve">¿Qué programas o proyectos del Plan de Acción están asociados al indicador? </v>
      </c>
      <c r="E12" s="1535" t="s">
        <v>1880</v>
      </c>
      <c r="F12" s="1535"/>
      <c r="G12" s="1535"/>
      <c r="H12" s="1535"/>
      <c r="I12" s="1535"/>
      <c r="J12" s="1535"/>
      <c r="K12" s="1535"/>
      <c r="L12" s="1535"/>
      <c r="M12" s="1535"/>
      <c r="N12" s="1535"/>
      <c r="O12" s="1535"/>
      <c r="P12" s="1535"/>
      <c r="Q12" s="1535"/>
      <c r="R12" s="1535"/>
    </row>
    <row r="13" spans="1:21" ht="35.25" customHeight="1">
      <c r="B13" s="298"/>
      <c r="C13" s="67"/>
      <c r="D13" s="144" t="s">
        <v>1236</v>
      </c>
      <c r="E13" s="1568" t="s">
        <v>1881</v>
      </c>
      <c r="F13" s="1569"/>
      <c r="G13" s="1569"/>
      <c r="H13" s="1569"/>
      <c r="I13" s="1569"/>
      <c r="J13" s="1569"/>
      <c r="K13" s="1569"/>
      <c r="L13" s="1569"/>
      <c r="M13" s="1569"/>
      <c r="N13" s="1569"/>
      <c r="O13" s="1569"/>
      <c r="P13" s="1569"/>
      <c r="Q13" s="1569"/>
      <c r="R13" s="1570"/>
    </row>
    <row r="14" spans="1:21" ht="6.9" customHeight="1" thickBot="1">
      <c r="B14" s="298"/>
      <c r="D14" s="5"/>
      <c r="E14" s="5"/>
      <c r="F14" s="5"/>
      <c r="G14" s="5"/>
      <c r="H14" s="5"/>
      <c r="I14" s="5"/>
      <c r="J14" s="5"/>
      <c r="K14" s="5"/>
    </row>
    <row r="15" spans="1:21">
      <c r="B15" s="1434" t="s">
        <v>2</v>
      </c>
      <c r="C15" s="68"/>
      <c r="D15" s="1422" t="s">
        <v>1074</v>
      </c>
      <c r="E15" s="1423"/>
      <c r="F15" s="1423"/>
      <c r="G15" s="1423"/>
      <c r="H15" s="1424"/>
      <c r="I15" s="5"/>
      <c r="J15" s="5"/>
      <c r="K15" s="5"/>
      <c r="L15" s="5"/>
      <c r="M15" s="5"/>
      <c r="N15" s="5"/>
      <c r="O15" s="5"/>
    </row>
    <row r="16" spans="1:21">
      <c r="B16" s="1435"/>
      <c r="C16" s="71"/>
      <c r="D16" s="1428" t="s">
        <v>1092</v>
      </c>
      <c r="E16" s="1429"/>
      <c r="F16" s="1429"/>
      <c r="G16" s="1429"/>
      <c r="H16" s="1430"/>
      <c r="I16" s="5"/>
      <c r="J16" s="5"/>
      <c r="K16" s="5"/>
      <c r="L16" s="5"/>
      <c r="M16" s="5"/>
      <c r="N16" s="5"/>
      <c r="O16" s="5"/>
    </row>
    <row r="17" spans="1:15" ht="15" thickBot="1">
      <c r="B17" s="1435"/>
      <c r="C17" s="71"/>
      <c r="D17" s="1447" t="s">
        <v>3</v>
      </c>
      <c r="E17" s="1448"/>
      <c r="F17" s="1448"/>
      <c r="G17" s="1448"/>
      <c r="H17" s="1449"/>
      <c r="I17" s="5"/>
      <c r="J17" s="5"/>
      <c r="K17" s="5"/>
      <c r="L17" s="5"/>
      <c r="M17" s="5"/>
      <c r="N17" s="5"/>
      <c r="O17" s="5"/>
    </row>
    <row r="18" spans="1:15" ht="15" thickBot="1">
      <c r="B18" s="1435"/>
      <c r="C18" s="77" t="s">
        <v>18</v>
      </c>
      <c r="D18" s="30" t="s">
        <v>1093</v>
      </c>
      <c r="E18" s="30" t="s">
        <v>1094</v>
      </c>
      <c r="F18" s="30" t="s">
        <v>1095</v>
      </c>
      <c r="G18" s="30" t="s">
        <v>1096</v>
      </c>
      <c r="H18" s="92"/>
      <c r="I18" s="5"/>
      <c r="J18" s="5"/>
      <c r="K18" s="5"/>
      <c r="L18" s="5"/>
      <c r="M18" s="5"/>
      <c r="N18" s="5"/>
      <c r="O18" s="5"/>
    </row>
    <row r="19" spans="1:15" ht="15" thickBot="1">
      <c r="B19" s="1435"/>
      <c r="C19" s="2" t="s">
        <v>151</v>
      </c>
      <c r="D19" s="32" t="s">
        <v>1097</v>
      </c>
      <c r="E19" s="1275">
        <v>68</v>
      </c>
      <c r="F19" s="541">
        <v>0</v>
      </c>
      <c r="G19" s="541">
        <v>25</v>
      </c>
      <c r="H19" s="93"/>
      <c r="I19" s="5"/>
      <c r="J19" s="5"/>
      <c r="K19" s="5"/>
      <c r="L19" s="5"/>
      <c r="M19" s="5"/>
      <c r="N19" s="5"/>
      <c r="O19" s="5"/>
    </row>
    <row r="20" spans="1:15" ht="24.6" thickBot="1">
      <c r="B20" s="1435"/>
      <c r="C20" s="2" t="s">
        <v>153</v>
      </c>
      <c r="D20" s="32" t="s">
        <v>1098</v>
      </c>
      <c r="E20" s="1275">
        <v>68</v>
      </c>
      <c r="F20" s="541">
        <v>0</v>
      </c>
      <c r="G20" s="541">
        <v>25</v>
      </c>
      <c r="H20" s="93"/>
      <c r="I20" s="5"/>
      <c r="J20" s="5"/>
      <c r="K20" s="5"/>
      <c r="L20" s="5"/>
      <c r="M20" s="5"/>
      <c r="N20" s="5"/>
      <c r="O20" s="5"/>
    </row>
    <row r="21" spans="1:15" ht="24.6" thickBot="1">
      <c r="B21" s="1435"/>
      <c r="C21" s="2" t="s">
        <v>155</v>
      </c>
      <c r="D21" s="32" t="s">
        <v>1099</v>
      </c>
      <c r="E21" s="120">
        <f>IFERROR(E19/E20,"N.A")</f>
        <v>1</v>
      </c>
      <c r="F21" s="120" t="str">
        <f>IFERROR(F19/F20,"N.A")</f>
        <v>N.A</v>
      </c>
      <c r="G21" s="120">
        <f>IFERROR(G19/G20,"N.A")</f>
        <v>1</v>
      </c>
      <c r="H21" s="94"/>
      <c r="I21" s="5"/>
      <c r="J21" s="5"/>
      <c r="K21" s="5"/>
      <c r="L21" s="5"/>
      <c r="M21" s="5"/>
      <c r="N21" s="5"/>
      <c r="O21" s="5"/>
    </row>
    <row r="22" spans="1:15">
      <c r="B22" s="1435"/>
      <c r="C22" s="71"/>
      <c r="D22" s="1425"/>
      <c r="E22" s="1426"/>
      <c r="F22" s="1426"/>
      <c r="G22" s="1426"/>
      <c r="H22" s="1427"/>
      <c r="I22" s="5"/>
      <c r="J22" s="5"/>
      <c r="K22" s="5"/>
      <c r="L22" s="5"/>
      <c r="M22" s="5"/>
      <c r="N22" s="5"/>
      <c r="O22" s="5"/>
    </row>
    <row r="23" spans="1:15" ht="24" customHeight="1" thickBot="1">
      <c r="B23" s="1435"/>
      <c r="C23" s="71"/>
      <c r="D23" s="1428" t="s">
        <v>1087</v>
      </c>
      <c r="E23" s="1429"/>
      <c r="F23" s="1429"/>
      <c r="G23" s="1429"/>
      <c r="H23" s="1430"/>
      <c r="I23" s="5"/>
      <c r="J23" s="5"/>
      <c r="K23" s="5"/>
      <c r="L23" s="5"/>
      <c r="M23" s="5"/>
      <c r="N23" s="5"/>
      <c r="O23" s="5"/>
    </row>
    <row r="24" spans="1:15" ht="15" thickBot="1">
      <c r="B24" s="1435"/>
      <c r="C24" s="77" t="s">
        <v>18</v>
      </c>
      <c r="D24" s="30" t="s">
        <v>1093</v>
      </c>
      <c r="E24" s="30" t="s">
        <v>1100</v>
      </c>
      <c r="F24" s="30" t="s">
        <v>1101</v>
      </c>
      <c r="H24" s="17"/>
      <c r="I24" s="5"/>
      <c r="J24" s="5"/>
      <c r="K24" s="5"/>
      <c r="L24" s="5"/>
      <c r="M24" s="5" t="s">
        <v>876</v>
      </c>
      <c r="N24" s="5"/>
      <c r="O24" s="5"/>
    </row>
    <row r="25" spans="1:15" ht="15" thickBot="1">
      <c r="B25" s="1435"/>
      <c r="C25" s="2" t="s">
        <v>151</v>
      </c>
      <c r="D25" s="32" t="s">
        <v>1102</v>
      </c>
      <c r="E25" s="1275">
        <v>373</v>
      </c>
      <c r="F25" s="541">
        <v>119</v>
      </c>
      <c r="G25" s="1728"/>
      <c r="H25" s="1729"/>
      <c r="I25" s="5"/>
      <c r="J25" s="5"/>
      <c r="K25" s="5"/>
      <c r="L25" s="5"/>
      <c r="M25" s="5"/>
      <c r="N25" s="5"/>
      <c r="O25" s="5"/>
    </row>
    <row r="26" spans="1:15" ht="24.6" thickBot="1">
      <c r="B26" s="1435"/>
      <c r="C26" s="2" t="s">
        <v>153</v>
      </c>
      <c r="D26" s="32" t="s">
        <v>1103</v>
      </c>
      <c r="E26" s="1275">
        <v>373</v>
      </c>
      <c r="F26" s="541">
        <v>119</v>
      </c>
      <c r="G26" s="1728"/>
      <c r="H26" s="1729"/>
      <c r="I26" s="5"/>
      <c r="J26" s="5"/>
      <c r="K26" s="5"/>
      <c r="L26" s="5"/>
      <c r="M26" s="5"/>
      <c r="N26" s="5"/>
      <c r="O26" s="5"/>
    </row>
    <row r="27" spans="1:15" ht="24.6" thickBot="1">
      <c r="B27" s="1435"/>
      <c r="C27" s="2" t="s">
        <v>155</v>
      </c>
      <c r="D27" s="32" t="s">
        <v>1173</v>
      </c>
      <c r="E27" s="120">
        <f>IFERROR(E25/E26,"N.A.")</f>
        <v>1</v>
      </c>
      <c r="F27" s="120">
        <f>IFERROR(F25/F26,"N.A.")</f>
        <v>1</v>
      </c>
      <c r="H27" s="17"/>
      <c r="I27" s="5"/>
      <c r="J27" s="5"/>
      <c r="K27" s="5"/>
    </row>
    <row r="28" spans="1:15" ht="15" thickBot="1">
      <c r="B28" s="1436"/>
      <c r="C28" s="2"/>
      <c r="D28" s="103"/>
      <c r="E28" s="103"/>
      <c r="F28" s="103"/>
      <c r="G28" s="103"/>
      <c r="H28" s="19"/>
      <c r="I28" s="5"/>
      <c r="J28" s="5"/>
      <c r="K28" s="5"/>
    </row>
    <row r="29" spans="1:15" ht="15" thickBot="1">
      <c r="A29" s="5"/>
      <c r="B29" s="5"/>
      <c r="C29" s="5"/>
      <c r="D29" s="5"/>
      <c r="E29" s="5"/>
      <c r="F29" s="5"/>
      <c r="G29" s="5"/>
      <c r="H29" s="5"/>
      <c r="I29" s="5"/>
      <c r="J29" s="5"/>
      <c r="K29" s="5"/>
    </row>
    <row r="30" spans="1:15" ht="25.65" customHeight="1" thickBot="1">
      <c r="A30" s="5"/>
      <c r="B30" s="5"/>
      <c r="C30" s="5"/>
      <c r="D30" s="42" t="s">
        <v>1229</v>
      </c>
      <c r="E30" s="120">
        <f>AVERAGE(E21:G21,E27:F27)</f>
        <v>1</v>
      </c>
      <c r="F30" s="256"/>
      <c r="G30" s="256"/>
      <c r="H30" s="54"/>
      <c r="I30" s="5"/>
      <c r="J30" s="5"/>
      <c r="K30" s="5"/>
    </row>
    <row r="31" spans="1:15">
      <c r="A31" s="5"/>
      <c r="B31" s="5"/>
      <c r="C31" s="5"/>
      <c r="D31" s="5"/>
      <c r="E31" s="5"/>
      <c r="F31" s="5"/>
      <c r="G31" s="5"/>
      <c r="H31" s="5"/>
      <c r="I31" s="5"/>
      <c r="J31" s="5"/>
      <c r="K31" s="5"/>
    </row>
    <row r="32" spans="1:15" ht="15" thickBot="1">
      <c r="A32" s="5"/>
      <c r="B32" s="5"/>
      <c r="C32" s="5"/>
      <c r="D32" s="5"/>
      <c r="E32" s="5"/>
      <c r="F32" s="5"/>
      <c r="G32" s="5"/>
      <c r="H32" s="5"/>
      <c r="I32" s="5"/>
      <c r="J32" s="5"/>
      <c r="K32" s="5"/>
    </row>
    <row r="33" spans="2:11" ht="36" customHeight="1" thickBot="1">
      <c r="B33" s="42" t="s">
        <v>33</v>
      </c>
      <c r="C33" s="187"/>
      <c r="D33" s="1437" t="s">
        <v>1104</v>
      </c>
      <c r="E33" s="1438"/>
      <c r="F33" s="1438"/>
      <c r="G33" s="1438"/>
      <c r="H33" s="1439"/>
      <c r="I33" s="5"/>
      <c r="J33" s="5"/>
      <c r="K33" s="5"/>
    </row>
    <row r="34" spans="2:11" ht="48" customHeight="1" thickBot="1">
      <c r="B34" s="37" t="s">
        <v>35</v>
      </c>
      <c r="C34" s="72"/>
      <c r="D34" s="1437" t="s">
        <v>1105</v>
      </c>
      <c r="E34" s="1438"/>
      <c r="F34" s="1438"/>
      <c r="G34" s="1438"/>
      <c r="H34" s="1439"/>
      <c r="I34" s="5"/>
      <c r="J34" s="5"/>
      <c r="K34" s="5"/>
    </row>
    <row r="35" spans="2:11" ht="15" thickBot="1">
      <c r="B35" s="1"/>
      <c r="C35" s="64"/>
      <c r="D35" s="5"/>
      <c r="E35" s="5"/>
      <c r="F35" s="5"/>
      <c r="G35" s="5"/>
      <c r="H35" s="5"/>
      <c r="I35" s="5"/>
      <c r="J35" s="5"/>
      <c r="K35" s="5"/>
    </row>
    <row r="36" spans="2:11" ht="24" customHeight="1" thickBot="1">
      <c r="B36" s="1444" t="s">
        <v>37</v>
      </c>
      <c r="C36" s="1445"/>
      <c r="D36" s="1445"/>
      <c r="E36" s="1446"/>
      <c r="F36" s="5"/>
      <c r="G36" s="5"/>
      <c r="H36" s="5"/>
      <c r="I36" s="5"/>
      <c r="J36" s="5"/>
      <c r="K36" s="5"/>
    </row>
    <row r="37" spans="2:11" ht="21.6" thickBot="1">
      <c r="B37" s="1434">
        <v>1</v>
      </c>
      <c r="C37" s="73"/>
      <c r="D37" s="38" t="s">
        <v>38</v>
      </c>
      <c r="E37" s="615" t="s">
        <v>1811</v>
      </c>
      <c r="F37" s="5"/>
      <c r="G37" s="5"/>
      <c r="H37" s="5"/>
      <c r="I37" s="5"/>
      <c r="J37" s="5"/>
      <c r="K37" s="5"/>
    </row>
    <row r="38" spans="2:11" ht="36.6" thickBot="1">
      <c r="B38" s="1435"/>
      <c r="C38" s="73"/>
      <c r="D38" s="32" t="s">
        <v>39</v>
      </c>
      <c r="E38" s="281" t="s">
        <v>1875</v>
      </c>
      <c r="F38" s="5"/>
      <c r="G38" s="5"/>
      <c r="H38" s="5"/>
      <c r="I38" s="5"/>
      <c r="J38" s="5"/>
      <c r="K38" s="5"/>
    </row>
    <row r="39" spans="2:11" ht="15" thickBot="1">
      <c r="B39" s="1435"/>
      <c r="C39" s="73"/>
      <c r="D39" s="32" t="s">
        <v>40</v>
      </c>
      <c r="E39" s="281" t="s">
        <v>2027</v>
      </c>
      <c r="F39" s="5"/>
      <c r="G39" s="5"/>
      <c r="H39" s="5"/>
      <c r="I39" s="5"/>
      <c r="J39" s="5"/>
      <c r="K39" s="5"/>
    </row>
    <row r="40" spans="2:11" ht="15" thickBot="1">
      <c r="B40" s="1435"/>
      <c r="C40" s="73"/>
      <c r="D40" s="32" t="s">
        <v>41</v>
      </c>
      <c r="E40" s="133" t="s">
        <v>2028</v>
      </c>
      <c r="F40" s="5"/>
      <c r="G40" s="5"/>
      <c r="H40" s="5"/>
      <c r="I40" s="5"/>
      <c r="J40" s="5"/>
      <c r="K40" s="5"/>
    </row>
    <row r="41" spans="2:11" ht="43.8" thickBot="1">
      <c r="B41" s="1435"/>
      <c r="C41" s="73"/>
      <c r="D41" s="32" t="s">
        <v>42</v>
      </c>
      <c r="E41" s="445" t="s">
        <v>1821</v>
      </c>
      <c r="F41" s="5"/>
      <c r="G41" s="5"/>
      <c r="H41" s="5"/>
      <c r="I41" s="5"/>
      <c r="J41" s="5"/>
      <c r="K41" s="5"/>
    </row>
    <row r="42" spans="2:11" ht="15" thickBot="1">
      <c r="B42" s="1435"/>
      <c r="C42" s="73"/>
      <c r="D42" s="32" t="s">
        <v>43</v>
      </c>
      <c r="E42" s="281" t="s">
        <v>1822</v>
      </c>
      <c r="F42" s="5"/>
      <c r="G42" s="5"/>
      <c r="H42" s="5"/>
      <c r="I42" s="5"/>
      <c r="J42" s="5"/>
      <c r="K42" s="5"/>
    </row>
    <row r="43" spans="2:11" ht="24.6" thickBot="1">
      <c r="B43" s="1436"/>
      <c r="C43" s="2"/>
      <c r="D43" s="32" t="s">
        <v>44</v>
      </c>
      <c r="E43" s="281" t="s">
        <v>1814</v>
      </c>
      <c r="F43" s="5"/>
      <c r="G43" s="5"/>
      <c r="H43" s="5"/>
      <c r="I43" s="5"/>
      <c r="J43" s="5"/>
      <c r="K43" s="5"/>
    </row>
    <row r="44" spans="2:11" ht="15" thickBot="1">
      <c r="B44" s="1"/>
      <c r="C44" s="64"/>
      <c r="D44" s="5"/>
      <c r="E44" s="5"/>
      <c r="F44" s="5"/>
      <c r="G44" s="5"/>
      <c r="H44" s="5"/>
      <c r="I44" s="5"/>
      <c r="J44" s="5"/>
      <c r="K44" s="5"/>
    </row>
    <row r="45" spans="2:11" ht="15" thickBot="1">
      <c r="B45" s="1444" t="s">
        <v>45</v>
      </c>
      <c r="C45" s="1445"/>
      <c r="D45" s="1445"/>
      <c r="E45" s="1446"/>
      <c r="F45" s="5"/>
      <c r="G45" s="5"/>
      <c r="H45" s="5"/>
      <c r="I45" s="5"/>
      <c r="J45" s="5"/>
      <c r="K45" s="5"/>
    </row>
    <row r="46" spans="2:11" ht="15" thickBot="1">
      <c r="B46" s="1434">
        <v>1</v>
      </c>
      <c r="C46" s="73"/>
      <c r="D46" s="38" t="s">
        <v>38</v>
      </c>
      <c r="E46" s="15" t="s">
        <v>46</v>
      </c>
      <c r="F46" s="5"/>
      <c r="G46" s="5"/>
      <c r="H46" s="5"/>
      <c r="I46" s="5"/>
      <c r="J46" s="5"/>
      <c r="K46" s="5"/>
    </row>
    <row r="47" spans="2:11" ht="15" thickBot="1">
      <c r="B47" s="1435"/>
      <c r="C47" s="73"/>
      <c r="D47" s="32" t="s">
        <v>39</v>
      </c>
      <c r="E47" s="15" t="s">
        <v>159</v>
      </c>
      <c r="F47" s="5"/>
      <c r="G47" s="5"/>
      <c r="H47" s="5"/>
      <c r="I47" s="5"/>
      <c r="J47" s="5"/>
      <c r="K47" s="5"/>
    </row>
    <row r="48" spans="2:11" ht="15" thickBot="1">
      <c r="B48" s="1435"/>
      <c r="C48" s="73"/>
      <c r="D48" s="32" t="s">
        <v>40</v>
      </c>
      <c r="E48" s="138"/>
      <c r="F48" s="5"/>
      <c r="G48" s="5"/>
      <c r="H48" s="5"/>
      <c r="I48" s="5"/>
      <c r="J48" s="5"/>
      <c r="K48" s="5"/>
    </row>
    <row r="49" spans="2:11" ht="15" thickBot="1">
      <c r="B49" s="1435"/>
      <c r="C49" s="73"/>
      <c r="D49" s="32" t="s">
        <v>41</v>
      </c>
      <c r="E49" s="138"/>
      <c r="F49" s="5"/>
      <c r="G49" s="5"/>
      <c r="H49" s="5"/>
      <c r="I49" s="5"/>
      <c r="J49" s="5"/>
      <c r="K49" s="5"/>
    </row>
    <row r="50" spans="2:11" ht="15" thickBot="1">
      <c r="B50" s="1435"/>
      <c r="C50" s="73"/>
      <c r="D50" s="32" t="s">
        <v>42</v>
      </c>
      <c r="E50" s="138"/>
      <c r="F50" s="5"/>
      <c r="G50" s="5"/>
      <c r="H50" s="5"/>
      <c r="I50" s="5"/>
      <c r="J50" s="5"/>
      <c r="K50" s="5"/>
    </row>
    <row r="51" spans="2:11" ht="15" thickBot="1">
      <c r="B51" s="1435"/>
      <c r="C51" s="73"/>
      <c r="D51" s="32" t="s">
        <v>43</v>
      </c>
      <c r="E51" s="138"/>
      <c r="F51" s="5"/>
      <c r="G51" s="5"/>
      <c r="H51" s="5"/>
      <c r="I51" s="5"/>
      <c r="J51" s="5"/>
      <c r="K51" s="5"/>
    </row>
    <row r="52" spans="2:11" ht="15" thickBot="1">
      <c r="B52" s="1436"/>
      <c r="C52" s="2"/>
      <c r="D52" s="32" t="s">
        <v>44</v>
      </c>
      <c r="E52" s="138"/>
      <c r="F52" s="5"/>
      <c r="G52" s="5"/>
      <c r="H52" s="5"/>
      <c r="I52" s="5"/>
      <c r="J52" s="5"/>
      <c r="K52" s="5"/>
    </row>
    <row r="53" spans="2:11" ht="15" thickBot="1">
      <c r="B53" s="1"/>
      <c r="C53" s="64"/>
      <c r="D53" s="5"/>
      <c r="E53" s="5"/>
      <c r="F53" s="5"/>
      <c r="G53" s="5"/>
      <c r="H53" s="5"/>
      <c r="I53" s="5"/>
      <c r="J53" s="5"/>
      <c r="K53" s="5"/>
    </row>
    <row r="54" spans="2:11" ht="15" customHeight="1" thickBot="1">
      <c r="B54" s="100" t="s">
        <v>48</v>
      </c>
      <c r="C54" s="101"/>
      <c r="D54" s="101"/>
      <c r="E54" s="102"/>
      <c r="G54" s="5"/>
      <c r="H54" s="5"/>
      <c r="I54" s="5"/>
      <c r="J54" s="5"/>
      <c r="K54" s="5"/>
    </row>
    <row r="55" spans="2:11" ht="24.6" thickBot="1">
      <c r="B55" s="37" t="s">
        <v>49</v>
      </c>
      <c r="C55" s="32" t="s">
        <v>50</v>
      </c>
      <c r="D55" s="32" t="s">
        <v>51</v>
      </c>
      <c r="E55" s="32" t="s">
        <v>52</v>
      </c>
      <c r="F55" s="5"/>
      <c r="G55" s="5"/>
      <c r="H55" s="5"/>
      <c r="I55" s="5"/>
      <c r="J55" s="5"/>
    </row>
    <row r="56" spans="2:11" ht="60.6" thickBot="1">
      <c r="B56" s="39">
        <v>42401</v>
      </c>
      <c r="C56" s="32">
        <v>0.01</v>
      </c>
      <c r="D56" s="40" t="s">
        <v>1106</v>
      </c>
      <c r="E56" s="32"/>
      <c r="F56" s="5"/>
      <c r="G56" s="5"/>
      <c r="H56" s="5"/>
      <c r="I56" s="5"/>
      <c r="J56" s="5"/>
    </row>
    <row r="57" spans="2:11" ht="15" thickBot="1">
      <c r="B57" s="3"/>
      <c r="C57" s="74"/>
      <c r="D57" s="5"/>
      <c r="E57" s="5"/>
      <c r="F57" s="5"/>
      <c r="G57" s="5"/>
      <c r="H57" s="5"/>
      <c r="I57" s="5"/>
      <c r="J57" s="5"/>
      <c r="K57" s="5"/>
    </row>
    <row r="58" spans="2:11" ht="15" thickBot="1">
      <c r="B58" s="106" t="s">
        <v>54</v>
      </c>
      <c r="C58" s="75"/>
      <c r="D58" s="5"/>
      <c r="E58" s="5"/>
      <c r="F58" s="5"/>
      <c r="G58" s="5"/>
      <c r="H58" s="5"/>
      <c r="I58" s="5"/>
      <c r="J58" s="5"/>
      <c r="K58" s="5"/>
    </row>
    <row r="59" spans="2:11">
      <c r="B59" s="1507"/>
      <c r="C59" s="1508"/>
      <c r="D59" s="1508"/>
      <c r="E59" s="1509"/>
      <c r="F59" s="5"/>
      <c r="G59" s="5"/>
      <c r="H59" s="5"/>
      <c r="I59" s="5"/>
      <c r="J59" s="5"/>
      <c r="K59" s="5"/>
    </row>
    <row r="60" spans="2:11" ht="15" thickBot="1">
      <c r="B60" s="1510"/>
      <c r="C60" s="1511"/>
      <c r="D60" s="1511"/>
      <c r="E60" s="1512"/>
      <c r="F60" s="5"/>
      <c r="G60" s="5"/>
      <c r="H60" s="5"/>
      <c r="I60" s="5"/>
      <c r="J60" s="5"/>
      <c r="K60" s="5"/>
    </row>
    <row r="61" spans="2:11" ht="15" thickBot="1">
      <c r="B61" s="5"/>
      <c r="D61" s="5"/>
      <c r="E61" s="5"/>
      <c r="F61" s="5"/>
      <c r="G61" s="5"/>
      <c r="H61" s="5"/>
      <c r="I61" s="5"/>
      <c r="J61" s="5"/>
      <c r="K61" s="5"/>
    </row>
    <row r="62" spans="2:11" ht="24.6" thickBot="1">
      <c r="B62" s="41" t="s">
        <v>55</v>
      </c>
      <c r="C62" s="76"/>
      <c r="D62" s="5"/>
      <c r="E62" s="5"/>
      <c r="F62" s="5"/>
      <c r="G62" s="5"/>
      <c r="H62" s="5"/>
      <c r="I62" s="5"/>
      <c r="J62" s="5"/>
      <c r="K62" s="5"/>
    </row>
    <row r="63" spans="2:11" ht="15" thickBot="1">
      <c r="B63" s="1"/>
      <c r="C63" s="64"/>
      <c r="D63" s="5"/>
      <c r="E63" s="5"/>
      <c r="F63" s="5"/>
      <c r="G63" s="5"/>
      <c r="H63" s="5"/>
      <c r="I63" s="5"/>
      <c r="J63" s="5"/>
      <c r="K63" s="5"/>
    </row>
    <row r="64" spans="2:11" ht="48.6" thickBot="1">
      <c r="B64" s="42" t="s">
        <v>56</v>
      </c>
      <c r="C64" s="77"/>
      <c r="D64" s="34" t="s">
        <v>1061</v>
      </c>
      <c r="E64" s="5"/>
      <c r="F64" s="5"/>
      <c r="G64" s="5"/>
      <c r="H64" s="5"/>
      <c r="I64" s="5"/>
      <c r="J64" s="5"/>
      <c r="K64" s="5"/>
    </row>
    <row r="65" spans="2:11">
      <c r="B65" s="1434" t="s">
        <v>58</v>
      </c>
      <c r="C65" s="73"/>
      <c r="D65" s="43" t="s">
        <v>59</v>
      </c>
      <c r="E65" s="5"/>
      <c r="F65" s="5"/>
      <c r="G65" s="5"/>
      <c r="H65" s="5"/>
      <c r="I65" s="5"/>
      <c r="J65" s="5"/>
      <c r="K65" s="5"/>
    </row>
    <row r="66" spans="2:11" ht="48">
      <c r="B66" s="1435"/>
      <c r="C66" s="73"/>
      <c r="D66" s="36" t="s">
        <v>1062</v>
      </c>
      <c r="E66" s="5"/>
      <c r="F66" s="5"/>
      <c r="G66" s="5"/>
      <c r="H66" s="5"/>
      <c r="I66" s="5"/>
      <c r="J66" s="5"/>
      <c r="K66" s="5"/>
    </row>
    <row r="67" spans="2:11">
      <c r="B67" s="1435"/>
      <c r="C67" s="73"/>
      <c r="D67" s="43" t="s">
        <v>133</v>
      </c>
      <c r="E67" s="5"/>
      <c r="F67" s="5"/>
      <c r="G67" s="5"/>
      <c r="H67" s="5"/>
      <c r="I67" s="5"/>
      <c r="J67" s="5"/>
      <c r="K67" s="5"/>
    </row>
    <row r="68" spans="2:11">
      <c r="B68" s="1435"/>
      <c r="C68" s="73"/>
      <c r="D68" s="36" t="s">
        <v>64</v>
      </c>
      <c r="E68" s="5"/>
      <c r="F68" s="5"/>
      <c r="G68" s="5"/>
      <c r="H68" s="5"/>
      <c r="I68" s="5"/>
      <c r="J68" s="5"/>
      <c r="K68" s="5"/>
    </row>
    <row r="69" spans="2:11">
      <c r="B69" s="1435"/>
      <c r="C69" s="73"/>
      <c r="D69" s="36" t="s">
        <v>992</v>
      </c>
      <c r="E69" s="5"/>
      <c r="F69" s="5"/>
      <c r="G69" s="5"/>
      <c r="H69" s="5"/>
      <c r="I69" s="5"/>
      <c r="J69" s="5"/>
      <c r="K69" s="5"/>
    </row>
    <row r="70" spans="2:11" ht="48">
      <c r="B70" s="1435"/>
      <c r="C70" s="73"/>
      <c r="D70" s="36" t="s">
        <v>993</v>
      </c>
      <c r="E70" s="5"/>
      <c r="F70" s="5"/>
      <c r="G70" s="5"/>
      <c r="H70" s="5"/>
      <c r="I70" s="5"/>
      <c r="J70" s="5"/>
      <c r="K70" s="5"/>
    </row>
    <row r="71" spans="2:11" ht="24">
      <c r="B71" s="1435"/>
      <c r="C71" s="73"/>
      <c r="D71" s="36" t="s">
        <v>1063</v>
      </c>
      <c r="E71" s="5"/>
      <c r="F71" s="5"/>
      <c r="G71" s="5"/>
      <c r="H71" s="5"/>
      <c r="I71" s="5"/>
      <c r="J71" s="5"/>
      <c r="K71" s="5"/>
    </row>
    <row r="72" spans="2:11">
      <c r="B72" s="1435"/>
      <c r="C72" s="73"/>
      <c r="D72" s="36" t="s">
        <v>1064</v>
      </c>
      <c r="E72" s="5"/>
      <c r="F72" s="5"/>
      <c r="G72" s="5"/>
      <c r="H72" s="5"/>
      <c r="I72" s="5"/>
      <c r="J72" s="5"/>
      <c r="K72" s="5"/>
    </row>
    <row r="73" spans="2:11">
      <c r="B73" s="1435"/>
      <c r="C73" s="73"/>
      <c r="D73" s="43" t="s">
        <v>1065</v>
      </c>
      <c r="E73" s="5"/>
      <c r="F73" s="5"/>
      <c r="G73" s="5"/>
      <c r="H73" s="5"/>
      <c r="I73" s="5"/>
      <c r="J73" s="5"/>
      <c r="K73" s="5"/>
    </row>
    <row r="74" spans="2:11" ht="60">
      <c r="B74" s="1435"/>
      <c r="C74" s="73"/>
      <c r="D74" s="36" t="s">
        <v>1066</v>
      </c>
      <c r="E74" s="5"/>
      <c r="F74" s="5"/>
      <c r="G74" s="5"/>
      <c r="H74" s="5"/>
      <c r="I74" s="5"/>
      <c r="J74" s="5"/>
      <c r="K74" s="5"/>
    </row>
    <row r="75" spans="2:11">
      <c r="B75" s="1435"/>
      <c r="C75" s="73"/>
      <c r="D75" s="45" t="s">
        <v>994</v>
      </c>
      <c r="E75" s="5"/>
      <c r="F75" s="5"/>
      <c r="G75" s="5"/>
      <c r="H75" s="5"/>
      <c r="I75" s="5"/>
      <c r="J75" s="5"/>
      <c r="K75" s="5"/>
    </row>
    <row r="76" spans="2:11" ht="15" thickBot="1">
      <c r="B76" s="1436"/>
      <c r="C76" s="2"/>
      <c r="D76" s="46" t="s">
        <v>995</v>
      </c>
      <c r="E76" s="5"/>
      <c r="F76" s="5"/>
      <c r="G76" s="5"/>
      <c r="H76" s="5"/>
      <c r="I76" s="5"/>
      <c r="J76" s="5"/>
      <c r="K76" s="5"/>
    </row>
    <row r="77" spans="2:11" ht="24.6" thickBot="1">
      <c r="B77" s="37" t="s">
        <v>71</v>
      </c>
      <c r="C77" s="2"/>
      <c r="D77" s="32" t="s">
        <v>1067</v>
      </c>
      <c r="E77" s="5"/>
      <c r="F77" s="5"/>
      <c r="G77" s="5"/>
      <c r="H77" s="5"/>
      <c r="I77" s="5"/>
      <c r="J77" s="5"/>
      <c r="K77" s="5"/>
    </row>
    <row r="78" spans="2:11" ht="96">
      <c r="B78" s="1434" t="s">
        <v>72</v>
      </c>
      <c r="C78" s="73"/>
      <c r="D78" s="36" t="s">
        <v>1068</v>
      </c>
      <c r="E78" s="5"/>
      <c r="F78" s="5"/>
      <c r="G78" s="5"/>
      <c r="H78" s="5"/>
      <c r="I78" s="5"/>
      <c r="J78" s="5"/>
      <c r="K78" s="5"/>
    </row>
    <row r="79" spans="2:11" ht="180">
      <c r="B79" s="1435"/>
      <c r="C79" s="73"/>
      <c r="D79" s="36" t="s">
        <v>1069</v>
      </c>
      <c r="E79" s="5"/>
      <c r="F79" s="5"/>
      <c r="G79" s="5"/>
      <c r="H79" s="5"/>
      <c r="I79" s="5"/>
      <c r="J79" s="5"/>
      <c r="K79" s="5"/>
    </row>
    <row r="80" spans="2:11" ht="204">
      <c r="B80" s="1435"/>
      <c r="C80" s="73"/>
      <c r="D80" s="36" t="s">
        <v>1070</v>
      </c>
      <c r="E80" s="5"/>
      <c r="F80" s="5"/>
      <c r="G80" s="5"/>
      <c r="H80" s="5"/>
      <c r="I80" s="5"/>
      <c r="J80" s="5"/>
      <c r="K80" s="5"/>
    </row>
    <row r="81" spans="2:11" ht="72">
      <c r="B81" s="1435"/>
      <c r="C81" s="73"/>
      <c r="D81" s="36" t="s">
        <v>1071</v>
      </c>
      <c r="E81" s="5"/>
      <c r="F81" s="5"/>
      <c r="G81" s="5"/>
      <c r="H81" s="5"/>
      <c r="I81" s="5"/>
      <c r="J81" s="5"/>
      <c r="K81" s="5"/>
    </row>
    <row r="82" spans="2:11" ht="180">
      <c r="B82" s="1435"/>
      <c r="C82" s="73"/>
      <c r="D82" s="36" t="s">
        <v>999</v>
      </c>
      <c r="E82" s="5"/>
      <c r="F82" s="5"/>
      <c r="G82" s="5"/>
      <c r="H82" s="5"/>
      <c r="I82" s="5"/>
      <c r="J82" s="5"/>
      <c r="K82" s="5"/>
    </row>
    <row r="83" spans="2:11" ht="168">
      <c r="B83" s="1435"/>
      <c r="C83" s="73"/>
      <c r="D83" s="36" t="s">
        <v>1072</v>
      </c>
      <c r="E83" s="5"/>
      <c r="F83" s="5"/>
      <c r="G83" s="5"/>
      <c r="H83" s="5"/>
      <c r="I83" s="5"/>
      <c r="J83" s="5"/>
      <c r="K83" s="5"/>
    </row>
    <row r="84" spans="2:11" ht="108.6" thickBot="1">
      <c r="B84" s="1436"/>
      <c r="C84" s="2"/>
      <c r="D84" s="32" t="s">
        <v>1073</v>
      </c>
      <c r="E84" s="5"/>
      <c r="F84" s="5"/>
      <c r="G84" s="5"/>
      <c r="H84" s="5"/>
      <c r="I84" s="5"/>
      <c r="J84" s="5"/>
      <c r="K84" s="5"/>
    </row>
    <row r="85" spans="2:11" ht="24">
      <c r="B85" s="1434" t="s">
        <v>89</v>
      </c>
      <c r="C85" s="73"/>
      <c r="D85" s="47" t="s">
        <v>1074</v>
      </c>
      <c r="E85" s="5"/>
      <c r="F85" s="5"/>
      <c r="G85" s="5"/>
      <c r="H85" s="5"/>
      <c r="I85" s="5"/>
      <c r="J85" s="5"/>
      <c r="K85" s="5"/>
    </row>
    <row r="86" spans="2:11">
      <c r="B86" s="1435"/>
      <c r="C86" s="73"/>
      <c r="D86" s="13"/>
      <c r="E86" s="5"/>
      <c r="F86" s="5"/>
      <c r="G86" s="5"/>
      <c r="H86" s="5"/>
      <c r="I86" s="5"/>
      <c r="J86" s="5"/>
      <c r="K86" s="5"/>
    </row>
    <row r="87" spans="2:11">
      <c r="B87" s="1435"/>
      <c r="C87" s="73"/>
      <c r="D87" s="36" t="s">
        <v>90</v>
      </c>
      <c r="E87" s="5"/>
      <c r="F87" s="5"/>
      <c r="G87" s="5"/>
      <c r="H87" s="5"/>
      <c r="I87" s="5"/>
      <c r="J87" s="5"/>
      <c r="K87" s="5"/>
    </row>
    <row r="88" spans="2:11" ht="26.4">
      <c r="B88" s="1435"/>
      <c r="C88" s="73"/>
      <c r="D88" s="36" t="s">
        <v>1075</v>
      </c>
      <c r="E88" s="5"/>
      <c r="F88" s="5"/>
      <c r="G88" s="5"/>
      <c r="H88" s="5"/>
      <c r="I88" s="5"/>
      <c r="J88" s="5"/>
      <c r="K88" s="5"/>
    </row>
    <row r="89" spans="2:11" ht="38.4">
      <c r="B89" s="1435"/>
      <c r="C89" s="73"/>
      <c r="D89" s="36" t="s">
        <v>1076</v>
      </c>
      <c r="E89" s="5"/>
      <c r="F89" s="5"/>
      <c r="G89" s="5"/>
      <c r="H89" s="5"/>
      <c r="I89" s="5"/>
      <c r="J89" s="5"/>
      <c r="K89" s="5"/>
    </row>
    <row r="90" spans="2:11">
      <c r="B90" s="1435"/>
      <c r="C90" s="73"/>
      <c r="D90" s="36" t="s">
        <v>1077</v>
      </c>
      <c r="E90" s="5"/>
      <c r="F90" s="5"/>
      <c r="G90" s="5"/>
      <c r="H90" s="5"/>
      <c r="I90" s="5"/>
      <c r="J90" s="5"/>
      <c r="K90" s="5"/>
    </row>
    <row r="91" spans="2:11" ht="38.4">
      <c r="B91" s="1435"/>
      <c r="C91" s="73"/>
      <c r="D91" s="36" t="s">
        <v>1078</v>
      </c>
      <c r="E91" s="5"/>
      <c r="F91" s="5"/>
      <c r="G91" s="5"/>
      <c r="H91" s="5"/>
      <c r="I91" s="5"/>
      <c r="J91" s="5"/>
      <c r="K91" s="5"/>
    </row>
    <row r="92" spans="2:11" ht="48">
      <c r="B92" s="1435"/>
      <c r="C92" s="73"/>
      <c r="D92" s="36" t="s">
        <v>1079</v>
      </c>
      <c r="E92" s="5"/>
      <c r="F92" s="5"/>
      <c r="G92" s="5"/>
      <c r="H92" s="5"/>
      <c r="I92" s="5"/>
      <c r="J92" s="5"/>
      <c r="K92" s="5"/>
    </row>
    <row r="93" spans="2:11" ht="48">
      <c r="B93" s="1435"/>
      <c r="C93" s="73"/>
      <c r="D93" s="36" t="s">
        <v>1080</v>
      </c>
      <c r="E93" s="5"/>
      <c r="F93" s="5"/>
      <c r="G93" s="5"/>
      <c r="H93" s="5"/>
      <c r="I93" s="5"/>
      <c r="J93" s="5"/>
      <c r="K93" s="5"/>
    </row>
    <row r="94" spans="2:11" ht="24">
      <c r="B94" s="1435"/>
      <c r="C94" s="73"/>
      <c r="D94" s="43" t="s">
        <v>1081</v>
      </c>
      <c r="E94" s="5"/>
      <c r="F94" s="5"/>
      <c r="G94" s="5"/>
      <c r="H94" s="5"/>
      <c r="I94" s="5"/>
      <c r="J94" s="5"/>
      <c r="K94" s="5"/>
    </row>
    <row r="95" spans="2:11">
      <c r="B95" s="1435"/>
      <c r="C95" s="73"/>
      <c r="D95" s="13"/>
      <c r="E95" s="5"/>
      <c r="F95" s="5"/>
      <c r="G95" s="5"/>
      <c r="H95" s="5"/>
      <c r="I95" s="5"/>
      <c r="J95" s="5"/>
      <c r="K95" s="5"/>
    </row>
    <row r="96" spans="2:11">
      <c r="B96" s="1435"/>
      <c r="C96" s="73"/>
      <c r="D96" s="36" t="s">
        <v>90</v>
      </c>
      <c r="E96" s="5"/>
      <c r="F96" s="5"/>
      <c r="G96" s="5"/>
      <c r="H96" s="5"/>
      <c r="I96" s="5"/>
      <c r="J96" s="5"/>
      <c r="K96" s="5"/>
    </row>
    <row r="97" spans="2:11" ht="38.4">
      <c r="B97" s="1435"/>
      <c r="C97" s="73"/>
      <c r="D97" s="36" t="s">
        <v>1082</v>
      </c>
      <c r="E97" s="5"/>
      <c r="F97" s="5"/>
      <c r="G97" s="5"/>
      <c r="H97" s="5"/>
      <c r="I97" s="5"/>
      <c r="J97" s="5"/>
      <c r="K97" s="5"/>
    </row>
    <row r="98" spans="2:11" ht="26.4">
      <c r="B98" s="1435"/>
      <c r="C98" s="73"/>
      <c r="D98" s="36" t="s">
        <v>1083</v>
      </c>
      <c r="E98" s="5"/>
      <c r="F98" s="5"/>
      <c r="G98" s="5"/>
      <c r="H98" s="5"/>
      <c r="I98" s="5"/>
      <c r="J98" s="5"/>
      <c r="K98" s="5"/>
    </row>
    <row r="99" spans="2:11" ht="38.4">
      <c r="B99" s="1435"/>
      <c r="C99" s="73"/>
      <c r="D99" s="36" t="s">
        <v>1084</v>
      </c>
      <c r="E99" s="5"/>
      <c r="F99" s="5"/>
      <c r="G99" s="5"/>
      <c r="H99" s="5"/>
      <c r="I99" s="5"/>
      <c r="J99" s="5"/>
      <c r="K99" s="5"/>
    </row>
    <row r="100" spans="2:11">
      <c r="B100" s="1435"/>
      <c r="C100" s="73"/>
      <c r="D100" s="48" t="s">
        <v>1085</v>
      </c>
      <c r="E100" s="5"/>
      <c r="F100" s="5"/>
      <c r="G100" s="5"/>
      <c r="H100" s="5"/>
      <c r="I100" s="5"/>
      <c r="J100" s="5"/>
      <c r="K100" s="5"/>
    </row>
    <row r="101" spans="2:11" ht="60">
      <c r="B101" s="1435"/>
      <c r="C101" s="73"/>
      <c r="D101" s="36" t="s">
        <v>1086</v>
      </c>
      <c r="E101" s="5"/>
      <c r="F101" s="5"/>
      <c r="G101" s="5"/>
      <c r="H101" s="5"/>
      <c r="I101" s="5"/>
      <c r="J101" s="5"/>
      <c r="K101" s="5"/>
    </row>
    <row r="102" spans="2:11" ht="36">
      <c r="B102" s="1435"/>
      <c r="C102" s="73"/>
      <c r="D102" s="43" t="s">
        <v>1087</v>
      </c>
      <c r="E102" s="5"/>
      <c r="F102" s="5"/>
      <c r="G102" s="5"/>
      <c r="H102" s="5"/>
      <c r="I102" s="5"/>
      <c r="J102" s="5"/>
      <c r="K102" s="5"/>
    </row>
    <row r="103" spans="2:11">
      <c r="B103" s="1435"/>
      <c r="C103" s="73"/>
      <c r="D103" s="13"/>
      <c r="E103" s="5"/>
      <c r="F103" s="5"/>
      <c r="G103" s="5"/>
      <c r="H103" s="5"/>
      <c r="I103" s="5"/>
      <c r="J103" s="5"/>
      <c r="K103" s="5"/>
    </row>
    <row r="104" spans="2:11">
      <c r="B104" s="1435"/>
      <c r="C104" s="73"/>
      <c r="D104" s="36" t="s">
        <v>90</v>
      </c>
      <c r="E104" s="5"/>
      <c r="F104" s="5"/>
      <c r="G104" s="5"/>
      <c r="H104" s="5"/>
      <c r="I104" s="5"/>
      <c r="J104" s="5"/>
      <c r="K104" s="5"/>
    </row>
    <row r="105" spans="2:11" ht="38.4">
      <c r="B105" s="1435"/>
      <c r="C105" s="73"/>
      <c r="D105" s="36" t="s">
        <v>1088</v>
      </c>
      <c r="E105" s="5"/>
      <c r="F105" s="5"/>
      <c r="G105" s="5"/>
      <c r="H105" s="5"/>
      <c r="I105" s="5"/>
      <c r="J105" s="5"/>
      <c r="K105" s="5"/>
    </row>
    <row r="106" spans="2:11" ht="50.4">
      <c r="B106" s="1435"/>
      <c r="C106" s="73"/>
      <c r="D106" s="36" t="s">
        <v>1089</v>
      </c>
      <c r="E106" s="5"/>
      <c r="F106" s="5"/>
      <c r="G106" s="5"/>
      <c r="H106" s="5"/>
      <c r="I106" s="5"/>
      <c r="J106" s="5"/>
      <c r="K106" s="5"/>
    </row>
    <row r="107" spans="2:11" ht="38.4">
      <c r="B107" s="1435"/>
      <c r="C107" s="73"/>
      <c r="D107" s="36" t="s">
        <v>1090</v>
      </c>
      <c r="E107" s="5"/>
      <c r="F107" s="5"/>
      <c r="G107" s="5"/>
      <c r="H107" s="5"/>
      <c r="I107" s="5"/>
      <c r="J107" s="5"/>
      <c r="K107" s="5"/>
    </row>
    <row r="108" spans="2:11" ht="15" thickBot="1">
      <c r="B108" s="1436"/>
      <c r="C108" s="2"/>
      <c r="D108" s="32" t="s">
        <v>1091</v>
      </c>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row r="181" spans="2:11">
      <c r="B181" s="5"/>
      <c r="D181" s="5"/>
      <c r="E181" s="5"/>
      <c r="F181" s="5"/>
      <c r="G181" s="5"/>
      <c r="H181" s="5"/>
      <c r="I181" s="5"/>
      <c r="J181" s="5"/>
      <c r="K181" s="5"/>
    </row>
    <row r="182" spans="2:11">
      <c r="B182" s="5"/>
      <c r="D182" s="5"/>
      <c r="E182" s="5"/>
      <c r="F182" s="5"/>
      <c r="G182" s="5"/>
      <c r="H182" s="5"/>
      <c r="I182" s="5"/>
      <c r="J182" s="5"/>
      <c r="K182" s="5"/>
    </row>
    <row r="183" spans="2:11">
      <c r="B183" s="5"/>
      <c r="D183" s="5"/>
      <c r="E183" s="5"/>
      <c r="F183" s="5"/>
      <c r="G183" s="5"/>
      <c r="H183" s="5"/>
      <c r="I183" s="5"/>
      <c r="J183" s="5"/>
      <c r="K183" s="5"/>
    </row>
  </sheetData>
  <mergeCells count="27">
    <mergeCell ref="G25:H26"/>
    <mergeCell ref="A1:P1"/>
    <mergeCell ref="A2:P2"/>
    <mergeCell ref="A3:P3"/>
    <mergeCell ref="A4:D4"/>
    <mergeCell ref="A5:P5"/>
    <mergeCell ref="B10:D10"/>
    <mergeCell ref="F10:S10"/>
    <mergeCell ref="F11:S11"/>
    <mergeCell ref="E12:R12"/>
    <mergeCell ref="E13:R13"/>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s>
  <conditionalFormatting sqref="E12:R12">
    <cfRule type="expression" dxfId="15" priority="1">
      <formula>E11="SI SE REPORTA"</formula>
    </cfRule>
  </conditionalFormatting>
  <conditionalFormatting sqref="F10">
    <cfRule type="notContainsBlanks" dxfId="14" priority="4">
      <formula>LEN(TRIM(F10))&gt;0</formula>
    </cfRule>
  </conditionalFormatting>
  <conditionalFormatting sqref="F11:S11">
    <cfRule type="expression" dxfId="13" priority="2">
      <formula>E11="NO SE REPORTA"</formula>
    </cfRule>
    <cfRule type="expression" dxfId="12"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9:G20 E25:F26" xr:uid="{1BEF047A-95BD-475C-B6EB-D7EF98B5910A}">
      <formula1>0</formula1>
    </dataValidation>
    <dataValidation allowBlank="1" showInputMessage="1" showErrorMessage="1" promptTitle="OJO" prompt="NO TOCAR" sqref="E21:G21 E27:F27" xr:uid="{E8645021-1C1C-4773-9419-81FF40DACC0A}"/>
    <dataValidation type="list" allowBlank="1" showInputMessage="1" showErrorMessage="1" sqref="E11" xr:uid="{17959E1A-3605-4A8A-84C9-B3679CAEBE6B}">
      <formula1>REPORTE</formula1>
    </dataValidation>
    <dataValidation type="list" allowBlank="1" showInputMessage="1" showErrorMessage="1" sqref="E10" xr:uid="{5A5006D7-EF0F-462A-8BBB-2C8180455AB5}">
      <formula1>SI</formula1>
    </dataValidation>
  </dataValidations>
  <hyperlinks>
    <hyperlink ref="D75" r:id="rId1" display="http://www.sisaire.gov.co/" xr:uid="{7BFB66E4-105F-4D31-903B-BB7EE27B6A76}"/>
    <hyperlink ref="D76" r:id="rId2" display="http://www.sirh.ideam.gov.co/" xr:uid="{33212318-6FA3-43C5-8882-A42968F8A39A}"/>
    <hyperlink ref="B9" location="'ANEXO 3'!A1" display="VOLVER AL INDICE" xr:uid="{78941A89-7A6B-4B2E-AB15-4C4913226B60}"/>
    <hyperlink ref="E41" r:id="rId3" xr:uid="{D0F717B8-C1B0-4D64-88C9-CF2BAF33743C}"/>
  </hyperlinks>
  <pageMargins left="0.25" right="0.25" top="0.75" bottom="0.75" header="0.3" footer="0.3"/>
  <pageSetup paperSize="178" orientation="landscape" horizontalDpi="1200" verticalDpi="1200" r:id="rId4"/>
  <drawing r:id="rId5"/>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7">
    <tabColor rgb="FF92D050"/>
  </sheetPr>
  <dimension ref="A1:S164"/>
  <sheetViews>
    <sheetView showGridLines="0" topLeftCell="D70" zoomScale="80" zoomScaleNormal="80" workbookViewId="0">
      <selection activeCell="D35" sqref="D35"/>
    </sheetView>
  </sheetViews>
  <sheetFormatPr baseColWidth="10" defaultColWidth="11.44140625" defaultRowHeight="14.4"/>
  <cols>
    <col min="1" max="1" width="1.88671875" style="314" customWidth="1"/>
    <col min="2" max="2" width="11.109375" style="314" customWidth="1"/>
    <col min="3" max="3" width="7.6640625" style="473" customWidth="1"/>
    <col min="4" max="4" width="40" style="314" customWidth="1"/>
    <col min="5" max="5" width="16.33203125" style="314" customWidth="1"/>
    <col min="6" max="6" width="14.88671875" style="314" customWidth="1"/>
    <col min="7" max="7" width="18.109375" style="314" customWidth="1"/>
    <col min="8" max="8" width="17.109375" style="314" customWidth="1"/>
    <col min="9" max="9" width="16" style="314" customWidth="1"/>
    <col min="10" max="10" width="15.44140625" style="314" customWidth="1"/>
    <col min="11" max="11" width="88.88671875" style="670" customWidth="1"/>
    <col min="12" max="16384" width="11.44140625" style="314"/>
  </cols>
  <sheetData>
    <row r="1" spans="1:19" s="312" customFormat="1" ht="100.5" customHeight="1" thickBot="1">
      <c r="A1" s="1396"/>
      <c r="B1" s="1397"/>
      <c r="C1" s="1397"/>
      <c r="D1" s="1397"/>
      <c r="E1" s="1397"/>
      <c r="F1" s="1397"/>
      <c r="G1" s="1397"/>
      <c r="H1" s="1397"/>
      <c r="I1" s="1397"/>
      <c r="J1" s="1397"/>
      <c r="K1" s="1397"/>
      <c r="L1" s="1397"/>
      <c r="M1" s="1397"/>
      <c r="N1" s="1397"/>
      <c r="O1" s="1397"/>
      <c r="P1" s="1398"/>
      <c r="Q1" s="314"/>
      <c r="R1" s="314"/>
    </row>
    <row r="2" spans="1:19" s="313" customFormat="1" ht="16.2" thickBot="1">
      <c r="A2" s="1393" t="str">
        <f>'[10]Datos Generales'!C5</f>
        <v>Corporación Autónoma Regional del Atlántico – CRA</v>
      </c>
      <c r="B2" s="1394"/>
      <c r="C2" s="1394"/>
      <c r="D2" s="1394"/>
      <c r="E2" s="1394"/>
      <c r="F2" s="1394"/>
      <c r="G2" s="1394"/>
      <c r="H2" s="1394"/>
      <c r="I2" s="1394"/>
      <c r="J2" s="1394"/>
      <c r="K2" s="1394"/>
      <c r="L2" s="1394"/>
      <c r="M2" s="1394"/>
      <c r="N2" s="1394"/>
      <c r="O2" s="1394"/>
      <c r="P2" s="1395"/>
      <c r="Q2" s="314"/>
      <c r="R2" s="314"/>
    </row>
    <row r="3" spans="1:19" s="313" customFormat="1" ht="16.2" thickBot="1">
      <c r="A3" s="1401" t="s">
        <v>1293</v>
      </c>
      <c r="B3" s="1402"/>
      <c r="C3" s="1402"/>
      <c r="D3" s="1402"/>
      <c r="E3" s="1402"/>
      <c r="F3" s="1402"/>
      <c r="G3" s="1402"/>
      <c r="H3" s="1402"/>
      <c r="I3" s="1402"/>
      <c r="J3" s="1402"/>
      <c r="K3" s="1402"/>
      <c r="L3" s="1402"/>
      <c r="M3" s="1402"/>
      <c r="N3" s="1402"/>
      <c r="O3" s="1402"/>
      <c r="P3" s="1403"/>
      <c r="Q3" s="314"/>
      <c r="R3" s="314"/>
    </row>
    <row r="4" spans="1:19" s="313" customFormat="1" ht="16.2" thickBot="1">
      <c r="A4" s="1399" t="s">
        <v>1292</v>
      </c>
      <c r="B4" s="1400"/>
      <c r="C4" s="1400"/>
      <c r="D4" s="1400"/>
      <c r="E4" s="320" t="str">
        <f>+'Datos Generales'!C6</f>
        <v>2023-II</v>
      </c>
      <c r="F4" s="320"/>
      <c r="G4" s="320"/>
      <c r="H4" s="320"/>
      <c r="I4" s="320"/>
      <c r="J4" s="320"/>
      <c r="K4" s="669"/>
      <c r="L4" s="321"/>
      <c r="M4" s="321"/>
      <c r="N4" s="321"/>
      <c r="O4" s="321"/>
      <c r="P4" s="322"/>
      <c r="Q4" s="314"/>
      <c r="R4" s="314"/>
    </row>
    <row r="5" spans="1:19" ht="16.5" customHeight="1" thickBot="1">
      <c r="A5" s="1401" t="s">
        <v>1107</v>
      </c>
      <c r="B5" s="1402"/>
      <c r="C5" s="1402"/>
      <c r="D5" s="1402"/>
      <c r="E5" s="1402"/>
      <c r="F5" s="1402"/>
      <c r="G5" s="1402"/>
      <c r="H5" s="1402"/>
      <c r="I5" s="1402"/>
      <c r="J5" s="1402"/>
      <c r="K5" s="1402"/>
      <c r="L5" s="1402"/>
      <c r="M5" s="1402"/>
      <c r="N5" s="1402"/>
      <c r="O5" s="1402"/>
      <c r="P5" s="1403"/>
    </row>
    <row r="6" spans="1:19">
      <c r="B6" s="464" t="s">
        <v>1</v>
      </c>
      <c r="C6" s="465"/>
      <c r="E6" s="466"/>
      <c r="F6" s="314" t="s">
        <v>127</v>
      </c>
    </row>
    <row r="7" spans="1:19" ht="15" thickBot="1">
      <c r="B7" s="467"/>
      <c r="C7" s="627"/>
      <c r="E7" s="468"/>
      <c r="F7" s="314" t="s">
        <v>128</v>
      </c>
    </row>
    <row r="8" spans="1:19" ht="15" thickBot="1">
      <c r="B8" s="628" t="s">
        <v>1178</v>
      </c>
      <c r="C8" s="629">
        <v>2023</v>
      </c>
      <c r="D8" s="630">
        <f>IF(E10="NO APLICA","NO APLICA",IF(E11="NO SE REPORTA","SIN INFORMACION",+E82))</f>
        <v>1.0000000000000002</v>
      </c>
      <c r="E8" s="471"/>
      <c r="F8" s="314" t="s">
        <v>129</v>
      </c>
    </row>
    <row r="9" spans="1:19">
      <c r="B9" s="631" t="s">
        <v>1179</v>
      </c>
      <c r="C9" s="477"/>
    </row>
    <row r="10" spans="1:19">
      <c r="B10" s="1491" t="s">
        <v>1234</v>
      </c>
      <c r="C10" s="1491"/>
      <c r="D10" s="1491"/>
      <c r="E10" s="475" t="s">
        <v>1231</v>
      </c>
      <c r="F10" s="1761"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62"/>
      <c r="H10" s="1762"/>
      <c r="I10" s="1762"/>
      <c r="J10" s="1762"/>
      <c r="K10" s="1762"/>
      <c r="L10" s="1762"/>
      <c r="M10" s="1762"/>
      <c r="N10" s="1762"/>
      <c r="O10" s="1762"/>
      <c r="P10" s="1762"/>
      <c r="Q10" s="1762"/>
      <c r="R10" s="1762"/>
      <c r="S10" s="1762"/>
    </row>
    <row r="11" spans="1:19" ht="14.4" customHeight="1">
      <c r="B11" s="632"/>
      <c r="C11" s="477"/>
      <c r="D11" s="469" t="str">
        <f>IF(E10="SI APLICA","¿El indicador no se reporta por limitaciones de información disponible? ","")</f>
        <v xml:space="preserve">¿El indicador no se reporta por limitaciones de información disponible? </v>
      </c>
      <c r="E11" s="478" t="s">
        <v>1233</v>
      </c>
      <c r="F11" s="1495"/>
      <c r="G11" s="1496"/>
      <c r="H11" s="1496"/>
      <c r="I11" s="1496"/>
      <c r="J11" s="1496"/>
      <c r="K11" s="1496"/>
      <c r="L11" s="1496"/>
      <c r="M11" s="1496"/>
      <c r="N11" s="1496"/>
      <c r="O11" s="1496"/>
      <c r="P11" s="1496"/>
      <c r="Q11" s="1496"/>
      <c r="R11" s="1496"/>
      <c r="S11" s="1496"/>
    </row>
    <row r="12" spans="1:19" ht="46.5" customHeight="1">
      <c r="B12" s="631"/>
      <c r="C12" s="477"/>
      <c r="D12" s="469" t="str">
        <f>IF(E11="SI SE REPORTA","¿Qué programas o proyectos del Plan de Acción están asociados al indicador? ","")</f>
        <v xml:space="preserve">¿Qué programas o proyectos del Plan de Acción están asociados al indicador? </v>
      </c>
      <c r="E12" s="1535" t="s">
        <v>1907</v>
      </c>
      <c r="F12" s="1535"/>
      <c r="G12" s="1535"/>
      <c r="H12" s="1535"/>
      <c r="I12" s="1535"/>
      <c r="J12" s="1535"/>
      <c r="K12" s="1535"/>
      <c r="L12" s="1535"/>
      <c r="M12" s="1535"/>
      <c r="N12" s="1535"/>
      <c r="O12" s="1535"/>
      <c r="P12" s="1535"/>
      <c r="Q12" s="1535"/>
      <c r="R12" s="1535"/>
    </row>
    <row r="13" spans="1:19" ht="21.9" customHeight="1">
      <c r="B13" s="631"/>
      <c r="C13" s="477"/>
      <c r="D13" s="469" t="s">
        <v>1236</v>
      </c>
      <c r="E13" s="1568"/>
      <c r="F13" s="1569"/>
      <c r="G13" s="1569"/>
      <c r="H13" s="1569"/>
      <c r="I13" s="1569"/>
      <c r="J13" s="1569"/>
      <c r="K13" s="1569"/>
      <c r="L13" s="1569"/>
      <c r="M13" s="1569"/>
      <c r="N13" s="1569"/>
      <c r="O13" s="1569"/>
      <c r="P13" s="1569"/>
      <c r="Q13" s="1569"/>
      <c r="R13" s="1570"/>
    </row>
    <row r="14" spans="1:19" ht="6.9" customHeight="1" thickBot="1">
      <c r="B14" s="631"/>
      <c r="C14" s="477"/>
    </row>
    <row r="15" spans="1:19" ht="15" thickBot="1">
      <c r="B15" s="1464" t="s">
        <v>2</v>
      </c>
      <c r="C15" s="479"/>
      <c r="D15" s="1470" t="s">
        <v>335</v>
      </c>
      <c r="E15" s="1471"/>
      <c r="F15" s="1471"/>
      <c r="G15" s="1471"/>
      <c r="H15" s="1471"/>
      <c r="I15" s="1471"/>
      <c r="J15" s="1471"/>
      <c r="K15" s="1472"/>
      <c r="L15" s="453"/>
      <c r="M15" s="453"/>
      <c r="N15" s="453"/>
      <c r="O15" s="453"/>
      <c r="P15" s="453"/>
      <c r="Q15" s="453"/>
      <c r="R15" s="453"/>
    </row>
    <row r="16" spans="1:19" ht="21.75" customHeight="1" thickBot="1">
      <c r="B16" s="1465"/>
      <c r="C16" s="531" t="s">
        <v>18</v>
      </c>
      <c r="D16" s="585" t="s">
        <v>252</v>
      </c>
      <c r="E16" s="854" t="s">
        <v>19</v>
      </c>
      <c r="F16" s="854" t="s">
        <v>20</v>
      </c>
      <c r="G16" s="854" t="s">
        <v>21</v>
      </c>
      <c r="H16" s="854" t="s">
        <v>22</v>
      </c>
      <c r="I16" s="854" t="s">
        <v>253</v>
      </c>
      <c r="K16" s="671"/>
      <c r="L16" s="453"/>
      <c r="M16" s="453"/>
      <c r="N16" s="453"/>
      <c r="O16" s="453"/>
      <c r="P16" s="453"/>
      <c r="Q16" s="453"/>
      <c r="R16" s="453"/>
    </row>
    <row r="17" spans="2:18" ht="24.6" thickBot="1">
      <c r="B17" s="1465"/>
      <c r="C17" s="551" t="s">
        <v>151</v>
      </c>
      <c r="D17" s="483" t="s">
        <v>1135</v>
      </c>
      <c r="E17" s="509">
        <v>44</v>
      </c>
      <c r="F17" s="509">
        <v>167</v>
      </c>
      <c r="G17" s="509">
        <v>136</v>
      </c>
      <c r="H17" s="509">
        <v>64</v>
      </c>
      <c r="I17" s="519">
        <v>411</v>
      </c>
      <c r="J17" s="633"/>
      <c r="K17" s="671"/>
      <c r="L17" s="453"/>
      <c r="M17" s="453"/>
      <c r="N17" s="453"/>
      <c r="O17" s="453"/>
      <c r="P17" s="453"/>
      <c r="Q17" s="453"/>
      <c r="R17" s="453"/>
    </row>
    <row r="18" spans="2:18" ht="27.75" customHeight="1" thickBot="1">
      <c r="B18" s="1465"/>
      <c r="C18" s="551" t="s">
        <v>153</v>
      </c>
      <c r="D18" s="483" t="s">
        <v>762</v>
      </c>
      <c r="E18" s="534">
        <v>3280000000</v>
      </c>
      <c r="F18" s="534">
        <v>4385000000</v>
      </c>
      <c r="G18" s="534">
        <v>7740000000</v>
      </c>
      <c r="H18" s="534">
        <v>4625000000</v>
      </c>
      <c r="I18" s="557">
        <f>SUM(E18:H18)</f>
        <v>20030000000</v>
      </c>
      <c r="K18" s="671"/>
      <c r="L18" s="453"/>
      <c r="M18" s="453"/>
      <c r="N18" s="453"/>
      <c r="O18" s="453"/>
      <c r="P18" s="453"/>
      <c r="Q18" s="453"/>
      <c r="R18" s="453"/>
    </row>
    <row r="19" spans="2:18" ht="27" customHeight="1" thickBot="1">
      <c r="B19" s="1465"/>
      <c r="C19" s="551" t="s">
        <v>155</v>
      </c>
      <c r="D19" s="483" t="s">
        <v>819</v>
      </c>
      <c r="E19" s="534">
        <v>3280000000</v>
      </c>
      <c r="F19" s="534">
        <v>4385000000</v>
      </c>
      <c r="G19" s="534">
        <v>7740000000</v>
      </c>
      <c r="H19" s="534">
        <v>4625000000</v>
      </c>
      <c r="I19" s="557">
        <f>SUM(E19:H19)</f>
        <v>20030000000</v>
      </c>
      <c r="K19" s="671"/>
      <c r="L19" s="453"/>
      <c r="M19" s="453"/>
      <c r="N19" s="453"/>
      <c r="O19" s="453"/>
      <c r="P19" s="453"/>
      <c r="Q19" s="453"/>
      <c r="R19" s="453"/>
    </row>
    <row r="20" spans="2:18">
      <c r="B20" s="1465"/>
      <c r="C20" s="484"/>
      <c r="D20" s="1482"/>
      <c r="E20" s="1483"/>
      <c r="F20" s="1483"/>
      <c r="G20" s="1483"/>
      <c r="H20" s="1483"/>
      <c r="I20" s="1483"/>
      <c r="J20" s="1483"/>
      <c r="K20" s="1484"/>
      <c r="L20" s="453"/>
      <c r="M20" s="453"/>
      <c r="N20" s="453"/>
      <c r="O20" s="453"/>
      <c r="P20" s="453"/>
      <c r="Q20" s="453"/>
      <c r="R20" s="453"/>
    </row>
    <row r="21" spans="2:18" ht="15" thickBot="1">
      <c r="B21" s="1465"/>
      <c r="C21" s="484"/>
      <c r="D21" s="1473" t="s">
        <v>1136</v>
      </c>
      <c r="E21" s="1474"/>
      <c r="F21" s="1474"/>
      <c r="G21" s="1474"/>
      <c r="H21" s="1474"/>
      <c r="I21" s="1474"/>
      <c r="J21" s="1474"/>
      <c r="K21" s="1475"/>
      <c r="L21" s="453"/>
      <c r="M21" s="453"/>
      <c r="N21" s="453"/>
      <c r="O21" s="453"/>
      <c r="P21" s="453"/>
      <c r="Q21" s="453"/>
      <c r="R21" s="453"/>
    </row>
    <row r="22" spans="2:18" ht="23.25" customHeight="1" thickBot="1">
      <c r="B22" s="1465"/>
      <c r="C22" s="1642" t="s">
        <v>18</v>
      </c>
      <c r="D22" s="1736" t="s">
        <v>269</v>
      </c>
      <c r="E22" s="1738" t="s">
        <v>619</v>
      </c>
      <c r="F22" s="1739"/>
      <c r="G22" s="1738" t="s">
        <v>687</v>
      </c>
      <c r="H22" s="1740"/>
      <c r="I22" s="1740"/>
      <c r="J22" s="1739"/>
      <c r="K22" s="851"/>
      <c r="L22" s="453"/>
      <c r="M22" s="453"/>
      <c r="N22" s="453"/>
      <c r="O22" s="453"/>
      <c r="P22" s="453"/>
      <c r="Q22" s="453"/>
      <c r="R22" s="453"/>
    </row>
    <row r="23" spans="2:18" ht="33.75" customHeight="1" thickBot="1">
      <c r="B23" s="1465"/>
      <c r="C23" s="1643"/>
      <c r="D23" s="1737"/>
      <c r="E23" s="850" t="s">
        <v>620</v>
      </c>
      <c r="F23" s="852" t="s">
        <v>621</v>
      </c>
      <c r="G23" s="852" t="s">
        <v>762</v>
      </c>
      <c r="H23" s="852" t="s">
        <v>343</v>
      </c>
      <c r="I23" s="852" t="s">
        <v>273</v>
      </c>
      <c r="J23" s="852" t="s">
        <v>274</v>
      </c>
      <c r="K23" s="853" t="s">
        <v>54</v>
      </c>
      <c r="L23" s="633"/>
      <c r="M23" s="453"/>
      <c r="N23" s="453"/>
      <c r="O23" s="453"/>
      <c r="P23" s="453"/>
      <c r="Q23" s="453"/>
      <c r="R23" s="453"/>
    </row>
    <row r="24" spans="2:18" ht="36.6" thickBot="1">
      <c r="B24" s="1465"/>
      <c r="C24" s="634">
        <v>1</v>
      </c>
      <c r="D24" s="621" t="s">
        <v>1882</v>
      </c>
      <c r="E24" s="791">
        <v>1</v>
      </c>
      <c r="F24" s="792">
        <v>0</v>
      </c>
      <c r="G24" s="793"/>
      <c r="H24" s="794"/>
      <c r="I24" s="794"/>
      <c r="J24" s="795"/>
      <c r="K24" s="775" t="s">
        <v>1989</v>
      </c>
      <c r="L24" s="453"/>
      <c r="M24" s="453"/>
      <c r="N24" s="453"/>
      <c r="O24" s="453"/>
      <c r="P24" s="453"/>
      <c r="Q24" s="453"/>
      <c r="R24" s="453"/>
    </row>
    <row r="25" spans="2:18" ht="63.75" customHeight="1" thickBot="1">
      <c r="B25" s="1465"/>
      <c r="C25" s="626">
        <v>2</v>
      </c>
      <c r="D25" s="621" t="s">
        <v>1883</v>
      </c>
      <c r="E25" s="796">
        <v>1</v>
      </c>
      <c r="F25" s="784">
        <v>1</v>
      </c>
      <c r="G25" s="828">
        <v>80000000</v>
      </c>
      <c r="H25" s="828">
        <v>80000000</v>
      </c>
      <c r="I25" s="828">
        <v>80000000</v>
      </c>
      <c r="J25" s="829">
        <v>8000000</v>
      </c>
      <c r="K25" s="776" t="s">
        <v>1990</v>
      </c>
      <c r="L25" s="453"/>
      <c r="M25" s="453"/>
      <c r="N25" s="453"/>
      <c r="O25" s="453" t="s">
        <v>876</v>
      </c>
      <c r="P25" s="453"/>
      <c r="Q25" s="453"/>
      <c r="R25" s="453"/>
    </row>
    <row r="26" spans="2:18" ht="121.5" customHeight="1" thickBot="1">
      <c r="B26" s="1465"/>
      <c r="C26" s="626">
        <v>3</v>
      </c>
      <c r="D26" s="621" t="s">
        <v>1884</v>
      </c>
      <c r="E26" s="796">
        <v>1</v>
      </c>
      <c r="F26" s="784">
        <v>1</v>
      </c>
      <c r="G26" s="828">
        <v>100000000</v>
      </c>
      <c r="H26" s="828">
        <v>100000000</v>
      </c>
      <c r="I26" s="828">
        <v>100000000</v>
      </c>
      <c r="J26" s="829">
        <v>35000000</v>
      </c>
      <c r="K26" s="776" t="s">
        <v>1991</v>
      </c>
      <c r="L26" s="453"/>
      <c r="M26" s="453"/>
      <c r="N26" s="453"/>
      <c r="O26" s="453"/>
      <c r="P26" s="453"/>
      <c r="Q26" s="453"/>
      <c r="R26" s="453"/>
    </row>
    <row r="27" spans="2:18" ht="102.75" customHeight="1" thickBot="1">
      <c r="B27" s="1465"/>
      <c r="C27" s="626">
        <v>4</v>
      </c>
      <c r="D27" s="706" t="s">
        <v>1929</v>
      </c>
      <c r="E27" s="796">
        <v>1</v>
      </c>
      <c r="F27" s="785">
        <v>1</v>
      </c>
      <c r="G27" s="830">
        <v>450000000</v>
      </c>
      <c r="H27" s="830">
        <v>450000000</v>
      </c>
      <c r="I27" s="830">
        <v>450000000</v>
      </c>
      <c r="J27" s="831">
        <v>322709893</v>
      </c>
      <c r="K27" s="776" t="s">
        <v>1992</v>
      </c>
      <c r="L27" s="453"/>
      <c r="M27" s="453"/>
      <c r="N27" s="453"/>
      <c r="O27" s="453"/>
      <c r="P27" s="453"/>
      <c r="Q27" s="453"/>
      <c r="R27" s="453"/>
    </row>
    <row r="28" spans="2:18" ht="83.25" customHeight="1" thickBot="1">
      <c r="B28" s="1465"/>
      <c r="C28" s="626">
        <v>5</v>
      </c>
      <c r="D28" s="769" t="s">
        <v>1885</v>
      </c>
      <c r="E28" s="796">
        <v>1</v>
      </c>
      <c r="F28" s="785">
        <v>1</v>
      </c>
      <c r="G28" s="830">
        <v>150000000</v>
      </c>
      <c r="H28" s="830">
        <v>150000000</v>
      </c>
      <c r="I28" s="830">
        <v>150000000</v>
      </c>
      <c r="J28" s="831">
        <v>15000000</v>
      </c>
      <c r="K28" s="776" t="s">
        <v>1993</v>
      </c>
      <c r="L28" s="453"/>
      <c r="M28" s="453"/>
      <c r="N28" s="453"/>
      <c r="O28" s="453"/>
      <c r="P28" s="453"/>
      <c r="Q28" s="453"/>
      <c r="R28" s="453"/>
    </row>
    <row r="29" spans="2:18" ht="126.75" customHeight="1" thickBot="1">
      <c r="B29" s="1465"/>
      <c r="C29" s="626">
        <v>6</v>
      </c>
      <c r="D29" s="769" t="s">
        <v>1886</v>
      </c>
      <c r="E29" s="796">
        <v>1</v>
      </c>
      <c r="F29" s="785">
        <v>1</v>
      </c>
      <c r="G29" s="830">
        <v>100000000</v>
      </c>
      <c r="H29" s="830">
        <v>100000000</v>
      </c>
      <c r="I29" s="830">
        <v>100000000</v>
      </c>
      <c r="J29" s="831">
        <v>10000000</v>
      </c>
      <c r="K29" s="776" t="s">
        <v>1994</v>
      </c>
      <c r="L29" s="453"/>
      <c r="M29" s="453"/>
      <c r="N29" s="453"/>
      <c r="O29" s="453"/>
      <c r="P29" s="453"/>
      <c r="Q29" s="453"/>
      <c r="R29" s="453"/>
    </row>
    <row r="30" spans="2:18" ht="57.75" customHeight="1" thickBot="1">
      <c r="B30" s="1465"/>
      <c r="C30" s="626">
        <v>7</v>
      </c>
      <c r="D30" s="770" t="s">
        <v>1887</v>
      </c>
      <c r="E30" s="796">
        <v>1</v>
      </c>
      <c r="F30" s="785">
        <v>1</v>
      </c>
      <c r="G30" s="830"/>
      <c r="H30" s="830"/>
      <c r="I30" s="830"/>
      <c r="J30" s="831"/>
      <c r="K30" s="777" t="s">
        <v>1989</v>
      </c>
      <c r="L30" s="453"/>
      <c r="M30" s="453"/>
      <c r="N30" s="453"/>
      <c r="O30" s="453"/>
      <c r="P30" s="453"/>
      <c r="Q30" s="453"/>
      <c r="R30" s="453"/>
    </row>
    <row r="31" spans="2:18" ht="60.75" customHeight="1" thickBot="1">
      <c r="B31" s="1465"/>
      <c r="C31" s="626">
        <v>8</v>
      </c>
      <c r="D31" s="771" t="s">
        <v>1927</v>
      </c>
      <c r="E31" s="796">
        <v>1</v>
      </c>
      <c r="F31" s="785">
        <v>1</v>
      </c>
      <c r="G31" s="832"/>
      <c r="H31" s="833"/>
      <c r="I31" s="833"/>
      <c r="J31" s="834"/>
      <c r="K31" s="777" t="s">
        <v>1989</v>
      </c>
      <c r="L31" s="453"/>
      <c r="M31" s="453"/>
      <c r="N31" s="453"/>
      <c r="O31" s="453"/>
      <c r="P31" s="453"/>
      <c r="Q31" s="453"/>
      <c r="R31" s="453"/>
    </row>
    <row r="32" spans="2:18" ht="101.25" customHeight="1" thickBot="1">
      <c r="B32" s="1465"/>
      <c r="C32" s="626">
        <v>9</v>
      </c>
      <c r="D32" s="772" t="s">
        <v>1888</v>
      </c>
      <c r="E32" s="796">
        <v>1</v>
      </c>
      <c r="F32" s="784">
        <v>1</v>
      </c>
      <c r="G32" s="828">
        <v>440000000</v>
      </c>
      <c r="H32" s="828">
        <v>440000000</v>
      </c>
      <c r="I32" s="828">
        <v>440000000</v>
      </c>
      <c r="J32" s="835">
        <v>262112867</v>
      </c>
      <c r="K32" s="776" t="s">
        <v>1995</v>
      </c>
      <c r="L32" s="453"/>
      <c r="M32" s="453"/>
      <c r="N32" s="453"/>
      <c r="O32" s="453"/>
      <c r="P32" s="453"/>
      <c r="Q32" s="453"/>
      <c r="R32" s="453"/>
    </row>
    <row r="33" spans="2:18" ht="48.6" thickBot="1">
      <c r="B33" s="1465"/>
      <c r="C33" s="626">
        <v>10</v>
      </c>
      <c r="D33" s="773" t="s">
        <v>1928</v>
      </c>
      <c r="E33" s="796">
        <v>1</v>
      </c>
      <c r="F33" s="786">
        <v>1</v>
      </c>
      <c r="G33" s="836"/>
      <c r="H33" s="837"/>
      <c r="I33" s="837"/>
      <c r="J33" s="838"/>
      <c r="K33" s="778" t="s">
        <v>1989</v>
      </c>
      <c r="L33" s="453"/>
      <c r="M33" s="453"/>
      <c r="N33" s="453"/>
      <c r="O33" s="453"/>
      <c r="P33" s="453"/>
      <c r="Q33" s="453"/>
      <c r="R33" s="453"/>
    </row>
    <row r="34" spans="2:18" ht="134.25" customHeight="1" thickBot="1">
      <c r="B34" s="1465"/>
      <c r="C34" s="626">
        <v>11</v>
      </c>
      <c r="D34" s="705" t="s">
        <v>1889</v>
      </c>
      <c r="E34" s="797">
        <v>1</v>
      </c>
      <c r="F34" s="787">
        <v>1</v>
      </c>
      <c r="G34" s="839">
        <v>250000000</v>
      </c>
      <c r="H34" s="839">
        <v>250000000</v>
      </c>
      <c r="I34" s="839">
        <v>250000000</v>
      </c>
      <c r="J34" s="840">
        <v>69137859</v>
      </c>
      <c r="K34" s="779" t="s">
        <v>1996</v>
      </c>
      <c r="L34" s="453"/>
      <c r="M34" s="453"/>
      <c r="N34" s="453"/>
      <c r="O34" s="453"/>
      <c r="P34" s="453"/>
      <c r="Q34" s="453"/>
      <c r="R34" s="453"/>
    </row>
    <row r="35" spans="2:18" ht="49.5" customHeight="1" thickBot="1">
      <c r="B35" s="1465"/>
      <c r="C35" s="626">
        <v>12</v>
      </c>
      <c r="D35" s="705" t="s">
        <v>1890</v>
      </c>
      <c r="E35" s="798">
        <v>1</v>
      </c>
      <c r="F35" s="786">
        <v>1</v>
      </c>
      <c r="G35" s="788"/>
      <c r="H35" s="789"/>
      <c r="I35" s="789"/>
      <c r="J35" s="799"/>
      <c r="K35" s="778" t="s">
        <v>1989</v>
      </c>
      <c r="L35" s="453"/>
      <c r="M35" s="453"/>
      <c r="N35" s="453"/>
      <c r="O35" s="453"/>
      <c r="P35" s="453"/>
      <c r="Q35" s="453"/>
      <c r="R35" s="453"/>
    </row>
    <row r="36" spans="2:18" ht="82.2" thickBot="1">
      <c r="B36" s="1465"/>
      <c r="C36" s="626">
        <v>13</v>
      </c>
      <c r="D36" s="774" t="s">
        <v>1891</v>
      </c>
      <c r="E36" s="798">
        <v>1</v>
      </c>
      <c r="F36" s="786">
        <v>1</v>
      </c>
      <c r="G36" s="844">
        <v>400000000</v>
      </c>
      <c r="H36" s="844">
        <v>400000000</v>
      </c>
      <c r="I36" s="844">
        <v>400000000</v>
      </c>
      <c r="J36" s="834">
        <v>400000000</v>
      </c>
      <c r="K36" s="776" t="s">
        <v>1997</v>
      </c>
      <c r="L36" s="453"/>
      <c r="M36" s="453"/>
      <c r="N36" s="453"/>
      <c r="O36" s="453"/>
      <c r="P36" s="453"/>
      <c r="Q36" s="453"/>
      <c r="R36" s="453"/>
    </row>
    <row r="37" spans="2:18" ht="90" customHeight="1" thickBot="1">
      <c r="B37" s="1465"/>
      <c r="C37" s="626">
        <v>14</v>
      </c>
      <c r="D37" s="770" t="s">
        <v>1892</v>
      </c>
      <c r="E37" s="796">
        <v>1</v>
      </c>
      <c r="F37" s="786">
        <v>1</v>
      </c>
      <c r="G37" s="845">
        <v>80000000</v>
      </c>
      <c r="H37" s="845">
        <v>80000000</v>
      </c>
      <c r="I37" s="845">
        <v>80000000</v>
      </c>
      <c r="J37" s="834">
        <v>53283202</v>
      </c>
      <c r="K37" s="776" t="s">
        <v>1998</v>
      </c>
      <c r="L37" s="453"/>
      <c r="M37" s="453"/>
      <c r="N37" s="453"/>
      <c r="O37" s="453"/>
      <c r="P37" s="453"/>
      <c r="Q37" s="453"/>
      <c r="R37" s="453"/>
    </row>
    <row r="38" spans="2:18" ht="84.75" customHeight="1" thickBot="1">
      <c r="B38" s="1465"/>
      <c r="C38" s="626">
        <v>15</v>
      </c>
      <c r="D38" s="769" t="s">
        <v>1893</v>
      </c>
      <c r="E38" s="796">
        <v>1</v>
      </c>
      <c r="F38" s="786">
        <v>1</v>
      </c>
      <c r="G38" s="830">
        <v>200000000</v>
      </c>
      <c r="H38" s="830">
        <v>200000000</v>
      </c>
      <c r="I38" s="830">
        <v>200000000</v>
      </c>
      <c r="J38" s="847">
        <v>34510287</v>
      </c>
      <c r="K38" s="776" t="s">
        <v>1999</v>
      </c>
      <c r="L38" s="453"/>
      <c r="M38" s="453"/>
      <c r="N38" s="453"/>
      <c r="O38" s="453"/>
      <c r="P38" s="453"/>
      <c r="Q38" s="453"/>
      <c r="R38" s="453"/>
    </row>
    <row r="39" spans="2:18" ht="102" customHeight="1" thickBot="1">
      <c r="B39" s="1465"/>
      <c r="C39" s="626">
        <v>16</v>
      </c>
      <c r="D39" s="703" t="s">
        <v>1894</v>
      </c>
      <c r="E39" s="796">
        <v>1</v>
      </c>
      <c r="F39" s="786">
        <v>1</v>
      </c>
      <c r="G39" s="839">
        <v>50000000</v>
      </c>
      <c r="H39" s="839">
        <v>50000000</v>
      </c>
      <c r="I39" s="839">
        <v>50000000</v>
      </c>
      <c r="J39" s="839">
        <v>50000000</v>
      </c>
      <c r="K39" s="776" t="s">
        <v>2000</v>
      </c>
      <c r="L39" s="453"/>
      <c r="M39" s="453"/>
      <c r="N39" s="453"/>
      <c r="O39" s="453"/>
      <c r="P39" s="453"/>
      <c r="Q39" s="453"/>
      <c r="R39" s="453"/>
    </row>
    <row r="40" spans="2:18" ht="143.4" thickBot="1">
      <c r="B40" s="1465"/>
      <c r="C40" s="626">
        <v>17</v>
      </c>
      <c r="D40" s="704" t="s">
        <v>1895</v>
      </c>
      <c r="E40" s="796">
        <v>1</v>
      </c>
      <c r="F40" s="786">
        <v>1</v>
      </c>
      <c r="G40" s="839">
        <v>50000000</v>
      </c>
      <c r="H40" s="839">
        <v>50000000</v>
      </c>
      <c r="I40" s="839">
        <v>50000000</v>
      </c>
      <c r="J40" s="843">
        <v>40918241</v>
      </c>
      <c r="K40" s="780" t="s">
        <v>2001</v>
      </c>
      <c r="L40" s="453"/>
      <c r="M40" s="453"/>
      <c r="N40" s="453"/>
      <c r="O40" s="453"/>
      <c r="P40" s="453"/>
      <c r="Q40" s="453"/>
      <c r="R40" s="453"/>
    </row>
    <row r="41" spans="2:18" ht="89.25" customHeight="1" thickBot="1">
      <c r="B41" s="1465"/>
      <c r="C41" s="626">
        <v>18</v>
      </c>
      <c r="D41" s="705" t="s">
        <v>1896</v>
      </c>
      <c r="E41" s="796">
        <v>1</v>
      </c>
      <c r="F41" s="786">
        <v>1</v>
      </c>
      <c r="G41" s="839"/>
      <c r="H41" s="841"/>
      <c r="I41" s="841"/>
      <c r="J41" s="842"/>
      <c r="K41" s="778" t="s">
        <v>1989</v>
      </c>
      <c r="L41" s="453"/>
      <c r="M41" s="453"/>
      <c r="N41" s="453"/>
      <c r="O41" s="453"/>
      <c r="P41" s="453"/>
      <c r="Q41" s="453"/>
      <c r="R41" s="453"/>
    </row>
    <row r="42" spans="2:18" ht="93" customHeight="1" thickBot="1">
      <c r="B42" s="1465"/>
      <c r="C42" s="626">
        <v>19</v>
      </c>
      <c r="D42" s="705" t="s">
        <v>1897</v>
      </c>
      <c r="E42" s="796">
        <v>1</v>
      </c>
      <c r="F42" s="786">
        <v>1</v>
      </c>
      <c r="G42" s="839">
        <v>200000000</v>
      </c>
      <c r="H42" s="839">
        <v>200000000</v>
      </c>
      <c r="I42" s="839">
        <v>200000000</v>
      </c>
      <c r="J42" s="843">
        <v>93392770</v>
      </c>
      <c r="K42" s="780" t="s">
        <v>2002</v>
      </c>
      <c r="L42" s="453"/>
      <c r="M42" s="453"/>
      <c r="N42" s="453"/>
      <c r="O42" s="453"/>
      <c r="P42" s="453"/>
      <c r="Q42" s="453"/>
      <c r="R42" s="453"/>
    </row>
    <row r="43" spans="2:18" ht="65.25" customHeight="1" thickBot="1">
      <c r="B43" s="1465"/>
      <c r="C43" s="626">
        <v>20</v>
      </c>
      <c r="D43" s="704" t="s">
        <v>1898</v>
      </c>
      <c r="E43" s="796">
        <v>1</v>
      </c>
      <c r="F43" s="786">
        <v>1</v>
      </c>
      <c r="G43" s="839">
        <v>225000000</v>
      </c>
      <c r="H43" s="839">
        <v>225000000</v>
      </c>
      <c r="I43" s="839">
        <v>225000000</v>
      </c>
      <c r="J43" s="843">
        <v>16324079</v>
      </c>
      <c r="K43" s="781" t="s">
        <v>2003</v>
      </c>
      <c r="L43" s="453"/>
      <c r="M43" s="453"/>
      <c r="N43" s="453"/>
      <c r="O43" s="453"/>
      <c r="P43" s="453"/>
      <c r="Q43" s="453"/>
      <c r="R43" s="453"/>
    </row>
    <row r="44" spans="2:18" ht="48.6" thickBot="1">
      <c r="B44" s="1465"/>
      <c r="C44" s="626">
        <v>21</v>
      </c>
      <c r="D44" s="704" t="s">
        <v>1899</v>
      </c>
      <c r="E44" s="796">
        <v>1</v>
      </c>
      <c r="F44" s="790">
        <v>1</v>
      </c>
      <c r="G44" s="839">
        <v>225000000</v>
      </c>
      <c r="H44" s="839">
        <v>225000000</v>
      </c>
      <c r="I44" s="839">
        <v>225000000</v>
      </c>
      <c r="J44" s="843">
        <v>16324079</v>
      </c>
      <c r="K44" s="776" t="s">
        <v>2004</v>
      </c>
      <c r="L44" s="453"/>
      <c r="M44" s="453"/>
      <c r="N44" s="453"/>
      <c r="O44" s="453"/>
      <c r="P44" s="453"/>
      <c r="Q44" s="453"/>
      <c r="R44" s="453"/>
    </row>
    <row r="45" spans="2:18" ht="64.5" customHeight="1" thickBot="1">
      <c r="B45" s="1465"/>
      <c r="C45" s="626">
        <v>22</v>
      </c>
      <c r="D45" s="706" t="s">
        <v>1900</v>
      </c>
      <c r="E45" s="796">
        <v>1</v>
      </c>
      <c r="F45" s="786">
        <v>1</v>
      </c>
      <c r="G45" s="830">
        <v>100000000</v>
      </c>
      <c r="H45" s="830">
        <v>100000000</v>
      </c>
      <c r="I45" s="830">
        <v>100000000</v>
      </c>
      <c r="J45" s="847">
        <v>7255144</v>
      </c>
      <c r="K45" s="776" t="s">
        <v>2005</v>
      </c>
      <c r="L45" s="453"/>
      <c r="M45" s="453"/>
      <c r="N45" s="453"/>
      <c r="O45" s="453"/>
      <c r="P45" s="453"/>
      <c r="Q45" s="453"/>
      <c r="R45" s="453"/>
    </row>
    <row r="46" spans="2:18" ht="89.25" customHeight="1" thickBot="1">
      <c r="B46" s="1465"/>
      <c r="C46" s="626">
        <v>23</v>
      </c>
      <c r="D46" s="621" t="s">
        <v>1901</v>
      </c>
      <c r="E46" s="796">
        <v>1</v>
      </c>
      <c r="F46" s="786">
        <v>1</v>
      </c>
      <c r="G46" s="828">
        <v>150000000</v>
      </c>
      <c r="H46" s="828">
        <v>150000000</v>
      </c>
      <c r="I46" s="828">
        <v>150000000</v>
      </c>
      <c r="J46" s="848">
        <v>10882719</v>
      </c>
      <c r="K46" s="776" t="s">
        <v>2006</v>
      </c>
      <c r="L46" s="453"/>
      <c r="M46" s="453"/>
      <c r="N46" s="453"/>
      <c r="O46" s="453"/>
      <c r="P46" s="453"/>
      <c r="Q46" s="453"/>
      <c r="R46" s="453"/>
    </row>
    <row r="47" spans="2:18" ht="96.75" customHeight="1" thickBot="1">
      <c r="B47" s="1465"/>
      <c r="C47" s="626">
        <v>24</v>
      </c>
      <c r="D47" s="621" t="s">
        <v>1902</v>
      </c>
      <c r="E47" s="796">
        <v>1</v>
      </c>
      <c r="F47" s="786">
        <v>1</v>
      </c>
      <c r="G47" s="828">
        <v>150000000</v>
      </c>
      <c r="H47" s="828">
        <v>150000000</v>
      </c>
      <c r="I47" s="828">
        <v>150000000</v>
      </c>
      <c r="J47" s="848">
        <v>10882719</v>
      </c>
      <c r="K47" s="776" t="s">
        <v>2007</v>
      </c>
      <c r="L47" s="453"/>
      <c r="M47" s="453"/>
      <c r="N47" s="453"/>
      <c r="O47" s="453"/>
      <c r="P47" s="453"/>
      <c r="Q47" s="453"/>
      <c r="R47" s="453"/>
    </row>
    <row r="48" spans="2:18" ht="76.5" customHeight="1" thickBot="1">
      <c r="B48" s="1465"/>
      <c r="C48" s="626">
        <v>25</v>
      </c>
      <c r="D48" s="621" t="s">
        <v>1903</v>
      </c>
      <c r="E48" s="796">
        <v>1</v>
      </c>
      <c r="F48" s="786">
        <v>1</v>
      </c>
      <c r="G48" s="828">
        <v>150000000</v>
      </c>
      <c r="H48" s="828">
        <v>150000000</v>
      </c>
      <c r="I48" s="828">
        <v>150000000</v>
      </c>
      <c r="J48" s="848">
        <v>10882719</v>
      </c>
      <c r="K48" s="776" t="s">
        <v>2008</v>
      </c>
      <c r="L48" s="453"/>
      <c r="M48" s="453"/>
      <c r="N48" s="453"/>
      <c r="O48" s="453"/>
      <c r="P48" s="453"/>
      <c r="Q48" s="453"/>
      <c r="R48" s="453"/>
    </row>
    <row r="49" spans="2:18" ht="88.5" customHeight="1" thickBot="1">
      <c r="B49" s="1465"/>
      <c r="C49" s="626">
        <v>26</v>
      </c>
      <c r="D49" s="622" t="s">
        <v>2009</v>
      </c>
      <c r="E49" s="800">
        <v>1</v>
      </c>
      <c r="F49" s="801">
        <v>1</v>
      </c>
      <c r="G49" s="846">
        <v>1075000000</v>
      </c>
      <c r="H49" s="846">
        <v>1075000000</v>
      </c>
      <c r="I49" s="846">
        <v>1075000000</v>
      </c>
      <c r="J49" s="849">
        <v>618013967</v>
      </c>
      <c r="K49" s="776" t="s">
        <v>2010</v>
      </c>
      <c r="L49" s="453"/>
      <c r="M49" s="453"/>
      <c r="N49" s="453"/>
      <c r="O49" s="453"/>
      <c r="P49" s="453"/>
      <c r="Q49" s="453"/>
      <c r="R49" s="453"/>
    </row>
    <row r="50" spans="2:18" s="473" customFormat="1" ht="24" customHeight="1" thickBot="1">
      <c r="B50" s="1465"/>
      <c r="C50" s="616"/>
      <c r="D50" s="617" t="s">
        <v>150</v>
      </c>
      <c r="E50" s="782"/>
      <c r="F50" s="783"/>
      <c r="G50" s="618">
        <f>SUM(G24:G49)</f>
        <v>4625000000</v>
      </c>
      <c r="H50" s="618">
        <f>SUM(H24:H49)</f>
        <v>4625000000</v>
      </c>
      <c r="I50" s="618">
        <f>SUM(I24:I49)</f>
        <v>4625000000</v>
      </c>
      <c r="J50" s="618">
        <f>SUM(J24:J49)</f>
        <v>2084630545</v>
      </c>
      <c r="K50" s="672"/>
      <c r="L50" s="619"/>
      <c r="M50" s="619"/>
      <c r="N50" s="619"/>
      <c r="O50" s="619"/>
      <c r="P50" s="619"/>
      <c r="Q50" s="619"/>
      <c r="R50" s="619"/>
    </row>
    <row r="51" spans="2:18">
      <c r="B51" s="1465"/>
      <c r="C51" s="484"/>
      <c r="D51" s="1482" t="s">
        <v>822</v>
      </c>
      <c r="E51" s="1483"/>
      <c r="F51" s="1483"/>
      <c r="G51" s="1483"/>
      <c r="H51" s="1483"/>
      <c r="I51" s="1483"/>
      <c r="J51" s="1483"/>
      <c r="K51" s="1484"/>
      <c r="L51" s="453"/>
      <c r="M51" s="453"/>
      <c r="N51" s="453"/>
      <c r="O51" s="453"/>
      <c r="P51" s="453"/>
      <c r="Q51" s="453"/>
      <c r="R51" s="453"/>
    </row>
    <row r="52" spans="2:18" ht="15" thickBot="1">
      <c r="B52" s="1465"/>
      <c r="C52" s="484"/>
      <c r="D52" s="1482" t="s">
        <v>1137</v>
      </c>
      <c r="E52" s="1483"/>
      <c r="F52" s="1483"/>
      <c r="G52" s="1483"/>
      <c r="H52" s="1483"/>
      <c r="I52" s="1483"/>
      <c r="J52" s="1483"/>
      <c r="K52" s="1484"/>
      <c r="L52" s="453"/>
      <c r="M52" s="453"/>
      <c r="N52" s="453"/>
      <c r="O52" s="453"/>
      <c r="P52" s="453"/>
      <c r="Q52" s="453"/>
      <c r="R52" s="453"/>
    </row>
    <row r="53" spans="2:18" ht="15" thickBot="1">
      <c r="B53" s="1465"/>
      <c r="C53" s="1642" t="s">
        <v>18</v>
      </c>
      <c r="D53" s="1743" t="s">
        <v>691</v>
      </c>
      <c r="E53" s="485" t="s">
        <v>824</v>
      </c>
      <c r="F53" s="1756" t="s">
        <v>692</v>
      </c>
      <c r="G53" s="1757"/>
      <c r="H53" s="1734"/>
      <c r="I53" s="1642"/>
      <c r="K53" s="671"/>
      <c r="L53" s="453"/>
      <c r="M53" s="453"/>
      <c r="N53" s="453"/>
      <c r="O53" s="453"/>
      <c r="P53" s="453"/>
      <c r="Q53" s="453"/>
      <c r="R53" s="453"/>
    </row>
    <row r="54" spans="2:18" ht="15" customHeight="1">
      <c r="B54" s="1465"/>
      <c r="C54" s="1663"/>
      <c r="D54" s="1744"/>
      <c r="E54" s="1597" t="s">
        <v>1138</v>
      </c>
      <c r="F54" s="1597" t="s">
        <v>693</v>
      </c>
      <c r="G54" s="480" t="s">
        <v>694</v>
      </c>
      <c r="H54" s="1734" t="s">
        <v>54</v>
      </c>
      <c r="I54" s="1642"/>
      <c r="K54" s="671"/>
      <c r="L54" s="453"/>
      <c r="M54" s="453"/>
      <c r="N54" s="453"/>
      <c r="O54" s="453"/>
      <c r="P54" s="453"/>
      <c r="Q54" s="453"/>
      <c r="R54" s="453"/>
    </row>
    <row r="55" spans="2:18" ht="15" thickBot="1">
      <c r="B55" s="1465"/>
      <c r="C55" s="1643"/>
      <c r="D55" s="1745"/>
      <c r="E55" s="1599"/>
      <c r="F55" s="1599"/>
      <c r="G55" s="157" t="s">
        <v>689</v>
      </c>
      <c r="H55" s="1735"/>
      <c r="I55" s="1643"/>
      <c r="K55" s="671"/>
      <c r="L55" s="453"/>
      <c r="M55" s="453"/>
      <c r="N55" s="453"/>
      <c r="O55" s="453"/>
      <c r="P55" s="453"/>
      <c r="Q55" s="453"/>
      <c r="R55" s="453"/>
    </row>
    <row r="56" spans="2:18" ht="15" thickBot="1">
      <c r="B56" s="1465"/>
      <c r="C56" s="157">
        <v>1</v>
      </c>
      <c r="D56" s="460">
        <v>0</v>
      </c>
      <c r="E56" s="623">
        <f>+F24</f>
        <v>0</v>
      </c>
      <c r="F56" s="547">
        <f t="shared" ref="F56:F81" si="0">IFERROR(I24/H24,0)</f>
        <v>0</v>
      </c>
      <c r="G56" s="547">
        <f t="shared" ref="G56:G81" si="1">IFERROR(J24/I24,0)</f>
        <v>0</v>
      </c>
      <c r="H56" s="1730" t="s">
        <v>1930</v>
      </c>
      <c r="I56" s="1731"/>
      <c r="J56" s="625"/>
      <c r="K56" s="671"/>
      <c r="L56" s="453"/>
      <c r="M56" s="453"/>
      <c r="N56" s="453"/>
      <c r="O56" s="453"/>
      <c r="P56" s="453"/>
      <c r="Q56" s="453"/>
      <c r="R56" s="453"/>
    </row>
    <row r="57" spans="2:18" ht="15" thickBot="1">
      <c r="B57" s="1465"/>
      <c r="C57" s="157">
        <v>2</v>
      </c>
      <c r="D57" s="460">
        <v>0.05</v>
      </c>
      <c r="E57" s="623">
        <v>1</v>
      </c>
      <c r="F57" s="547">
        <f t="shared" si="0"/>
        <v>1</v>
      </c>
      <c r="G57" s="547">
        <f t="shared" si="1"/>
        <v>0.1</v>
      </c>
      <c r="H57" s="1730"/>
      <c r="I57" s="1731"/>
      <c r="J57" s="625"/>
      <c r="K57" s="671"/>
      <c r="L57" s="453"/>
      <c r="M57" s="453"/>
      <c r="N57" s="453"/>
      <c r="O57" s="453"/>
      <c r="P57" s="453"/>
      <c r="Q57" s="453"/>
      <c r="R57" s="453"/>
    </row>
    <row r="58" spans="2:18" ht="15" thickBot="1">
      <c r="B58" s="1465"/>
      <c r="C58" s="157">
        <v>3</v>
      </c>
      <c r="D58" s="460">
        <v>0.05</v>
      </c>
      <c r="E58" s="623">
        <f>+F26</f>
        <v>1</v>
      </c>
      <c r="F58" s="547">
        <f t="shared" si="0"/>
        <v>1</v>
      </c>
      <c r="G58" s="547">
        <f t="shared" si="1"/>
        <v>0.35</v>
      </c>
      <c r="H58" s="1730"/>
      <c r="I58" s="1731"/>
      <c r="J58" s="625"/>
      <c r="K58" s="671"/>
      <c r="L58" s="453"/>
      <c r="M58" s="453"/>
      <c r="N58" s="453"/>
      <c r="O58" s="453"/>
      <c r="P58" s="453"/>
      <c r="Q58" s="453"/>
      <c r="R58" s="453"/>
    </row>
    <row r="59" spans="2:18" ht="15" thickBot="1">
      <c r="B59" s="1465"/>
      <c r="C59" s="157">
        <v>4</v>
      </c>
      <c r="D59" s="460">
        <v>0.05</v>
      </c>
      <c r="E59" s="623">
        <f>+F27</f>
        <v>1</v>
      </c>
      <c r="F59" s="547">
        <f t="shared" si="0"/>
        <v>1</v>
      </c>
      <c r="G59" s="547">
        <f t="shared" si="1"/>
        <v>0.7171330955555556</v>
      </c>
      <c r="H59" s="1730"/>
      <c r="I59" s="1731"/>
      <c r="J59" s="625"/>
      <c r="K59" s="671"/>
      <c r="L59" s="453"/>
      <c r="M59" s="453"/>
      <c r="N59" s="453"/>
      <c r="O59" s="453"/>
      <c r="P59" s="453"/>
      <c r="Q59" s="453"/>
      <c r="R59" s="453"/>
    </row>
    <row r="60" spans="2:18" ht="15" thickBot="1">
      <c r="B60" s="1465"/>
      <c r="C60" s="157">
        <v>5</v>
      </c>
      <c r="D60" s="460">
        <v>0.05</v>
      </c>
      <c r="E60" s="623">
        <f>+F28</f>
        <v>1</v>
      </c>
      <c r="F60" s="547">
        <f t="shared" si="0"/>
        <v>1</v>
      </c>
      <c r="G60" s="547">
        <f t="shared" si="1"/>
        <v>0.1</v>
      </c>
      <c r="H60" s="1730"/>
      <c r="I60" s="1731"/>
      <c r="J60" s="625"/>
      <c r="K60" s="671"/>
      <c r="L60" s="453"/>
      <c r="M60" s="453"/>
      <c r="N60" s="453"/>
      <c r="O60" s="453"/>
      <c r="P60" s="453"/>
      <c r="Q60" s="453"/>
      <c r="R60" s="453"/>
    </row>
    <row r="61" spans="2:18" ht="15" thickBot="1">
      <c r="B61" s="1465"/>
      <c r="C61" s="157">
        <v>6</v>
      </c>
      <c r="D61" s="460">
        <v>0.05</v>
      </c>
      <c r="E61" s="623">
        <f>+F29</f>
        <v>1</v>
      </c>
      <c r="F61" s="547">
        <f t="shared" si="0"/>
        <v>1</v>
      </c>
      <c r="G61" s="547">
        <f t="shared" si="1"/>
        <v>0.1</v>
      </c>
      <c r="H61" s="1730"/>
      <c r="I61" s="1731"/>
      <c r="J61" s="625"/>
      <c r="K61" s="671"/>
      <c r="L61" s="453"/>
      <c r="M61" s="453"/>
      <c r="N61" s="453"/>
      <c r="O61" s="453"/>
      <c r="P61" s="453"/>
      <c r="Q61" s="453"/>
      <c r="R61" s="453"/>
    </row>
    <row r="62" spans="2:18" ht="15" thickBot="1">
      <c r="B62" s="1465"/>
      <c r="C62" s="157">
        <v>7</v>
      </c>
      <c r="D62" s="460">
        <v>0</v>
      </c>
      <c r="E62" s="623">
        <f>+F30</f>
        <v>1</v>
      </c>
      <c r="F62" s="547">
        <f t="shared" si="0"/>
        <v>0</v>
      </c>
      <c r="G62" s="547">
        <f t="shared" si="1"/>
        <v>0</v>
      </c>
      <c r="H62" s="1730" t="s">
        <v>1930</v>
      </c>
      <c r="I62" s="1731"/>
      <c r="J62" s="625"/>
      <c r="K62" s="671"/>
      <c r="L62" s="453"/>
      <c r="M62" s="453"/>
      <c r="N62" s="453"/>
      <c r="O62" s="453"/>
      <c r="P62" s="453"/>
      <c r="Q62" s="453"/>
      <c r="R62" s="453"/>
    </row>
    <row r="63" spans="2:18" ht="20.25" customHeight="1" thickBot="1">
      <c r="B63" s="1465"/>
      <c r="C63" s="157">
        <v>8</v>
      </c>
      <c r="D63" s="460">
        <v>0</v>
      </c>
      <c r="E63" s="623">
        <v>1</v>
      </c>
      <c r="F63" s="547">
        <f t="shared" si="0"/>
        <v>0</v>
      </c>
      <c r="G63" s="547">
        <f t="shared" si="1"/>
        <v>0</v>
      </c>
      <c r="H63" s="1732"/>
      <c r="I63" s="1733"/>
      <c r="J63" s="625"/>
      <c r="K63" s="671"/>
      <c r="L63" s="453"/>
      <c r="M63" s="453"/>
      <c r="N63" s="453"/>
      <c r="O63" s="453"/>
      <c r="P63" s="453"/>
      <c r="Q63" s="453"/>
      <c r="R63" s="453"/>
    </row>
    <row r="64" spans="2:18" ht="15" thickBot="1">
      <c r="B64" s="1465"/>
      <c r="C64" s="157">
        <v>9</v>
      </c>
      <c r="D64" s="460">
        <v>0.04</v>
      </c>
      <c r="E64" s="623">
        <f>+F32</f>
        <v>1</v>
      </c>
      <c r="F64" s="547">
        <f t="shared" si="0"/>
        <v>1</v>
      </c>
      <c r="G64" s="547">
        <f t="shared" si="1"/>
        <v>0.59571106136363638</v>
      </c>
      <c r="H64" s="1730"/>
      <c r="I64" s="1731"/>
      <c r="J64" s="625"/>
      <c r="K64" s="671"/>
      <c r="L64" s="453"/>
      <c r="M64" s="453"/>
      <c r="N64" s="453"/>
      <c r="O64" s="453"/>
      <c r="P64" s="453"/>
      <c r="Q64" s="453"/>
      <c r="R64" s="453"/>
    </row>
    <row r="65" spans="2:18" ht="15" thickBot="1">
      <c r="B65" s="1465"/>
      <c r="C65" s="157">
        <v>10</v>
      </c>
      <c r="D65" s="460">
        <v>0.04</v>
      </c>
      <c r="E65" s="623">
        <v>1</v>
      </c>
      <c r="F65" s="547">
        <f t="shared" si="0"/>
        <v>0</v>
      </c>
      <c r="G65" s="547">
        <f t="shared" si="1"/>
        <v>0</v>
      </c>
      <c r="H65" s="1730"/>
      <c r="I65" s="1731"/>
      <c r="J65" s="625"/>
      <c r="K65" s="671"/>
      <c r="L65" s="453"/>
      <c r="M65" s="453"/>
      <c r="N65" s="453"/>
      <c r="O65" s="453"/>
      <c r="P65" s="453"/>
      <c r="Q65" s="453"/>
      <c r="R65" s="453"/>
    </row>
    <row r="66" spans="2:18" ht="15" thickBot="1">
      <c r="B66" s="1465"/>
      <c r="C66" s="157">
        <v>11</v>
      </c>
      <c r="D66" s="460">
        <v>0.04</v>
      </c>
      <c r="E66" s="623">
        <f t="shared" ref="E66:E74" si="2">+F34</f>
        <v>1</v>
      </c>
      <c r="F66" s="547">
        <f t="shared" si="0"/>
        <v>1</v>
      </c>
      <c r="G66" s="547">
        <f t="shared" si="1"/>
        <v>0.27655143599999998</v>
      </c>
      <c r="H66" s="1730"/>
      <c r="I66" s="1731"/>
      <c r="J66" s="625"/>
      <c r="K66" s="671"/>
      <c r="L66" s="453"/>
      <c r="M66" s="453"/>
      <c r="N66" s="453"/>
      <c r="O66" s="453"/>
      <c r="P66" s="453"/>
      <c r="Q66" s="453"/>
      <c r="R66" s="453"/>
    </row>
    <row r="67" spans="2:18" ht="15" thickBot="1">
      <c r="B67" s="1465"/>
      <c r="C67" s="157">
        <v>12</v>
      </c>
      <c r="D67" s="460">
        <v>0.04</v>
      </c>
      <c r="E67" s="623">
        <f t="shared" si="2"/>
        <v>1</v>
      </c>
      <c r="F67" s="547">
        <f t="shared" si="0"/>
        <v>0</v>
      </c>
      <c r="G67" s="547">
        <f t="shared" si="1"/>
        <v>0</v>
      </c>
      <c r="H67" s="1730"/>
      <c r="I67" s="1731"/>
      <c r="J67" s="625"/>
      <c r="K67" s="671"/>
      <c r="L67" s="453"/>
      <c r="M67" s="453"/>
      <c r="N67" s="453"/>
      <c r="O67" s="453"/>
      <c r="P67" s="453"/>
      <c r="Q67" s="453"/>
      <c r="R67" s="453"/>
    </row>
    <row r="68" spans="2:18" ht="15" thickBot="1">
      <c r="B68" s="1465"/>
      <c r="C68" s="157">
        <v>13</v>
      </c>
      <c r="D68" s="460">
        <v>0.05</v>
      </c>
      <c r="E68" s="623">
        <f t="shared" si="2"/>
        <v>1</v>
      </c>
      <c r="F68" s="547">
        <f t="shared" si="0"/>
        <v>1</v>
      </c>
      <c r="G68" s="547">
        <f t="shared" si="1"/>
        <v>1</v>
      </c>
      <c r="H68" s="1730"/>
      <c r="I68" s="1731"/>
      <c r="J68" s="625"/>
      <c r="K68" s="671"/>
      <c r="L68" s="453"/>
      <c r="M68" s="453"/>
      <c r="N68" s="453"/>
      <c r="O68" s="453"/>
      <c r="P68" s="453"/>
      <c r="Q68" s="453"/>
      <c r="R68" s="453"/>
    </row>
    <row r="69" spans="2:18" ht="15" thickBot="1">
      <c r="B69" s="1465"/>
      <c r="C69" s="157">
        <v>14</v>
      </c>
      <c r="D69" s="460">
        <v>0.04</v>
      </c>
      <c r="E69" s="623">
        <f t="shared" si="2"/>
        <v>1</v>
      </c>
      <c r="F69" s="547">
        <f t="shared" si="0"/>
        <v>1</v>
      </c>
      <c r="G69" s="547">
        <f t="shared" si="1"/>
        <v>0.66604002500000004</v>
      </c>
      <c r="H69" s="1730"/>
      <c r="I69" s="1731"/>
      <c r="J69" s="625"/>
      <c r="K69" s="671"/>
      <c r="L69" s="453"/>
      <c r="M69" s="453"/>
      <c r="N69" s="453"/>
      <c r="O69" s="453"/>
      <c r="P69" s="453"/>
      <c r="Q69" s="453"/>
      <c r="R69" s="453"/>
    </row>
    <row r="70" spans="2:18" ht="15" thickBot="1">
      <c r="B70" s="1465"/>
      <c r="C70" s="157">
        <v>15</v>
      </c>
      <c r="D70" s="460">
        <v>0.05</v>
      </c>
      <c r="E70" s="623">
        <f t="shared" si="2"/>
        <v>1</v>
      </c>
      <c r="F70" s="547">
        <f t="shared" si="0"/>
        <v>1</v>
      </c>
      <c r="G70" s="547">
        <f t="shared" si="1"/>
        <v>0.172551435</v>
      </c>
      <c r="H70" s="1730"/>
      <c r="I70" s="1731"/>
      <c r="J70" s="625"/>
      <c r="K70" s="671"/>
      <c r="L70" s="453"/>
      <c r="M70" s="453"/>
      <c r="N70" s="453"/>
      <c r="O70" s="453"/>
      <c r="P70" s="453"/>
      <c r="Q70" s="453"/>
      <c r="R70" s="453"/>
    </row>
    <row r="71" spans="2:18" ht="15" thickBot="1">
      <c r="B71" s="1465"/>
      <c r="C71" s="157">
        <v>16</v>
      </c>
      <c r="D71" s="460">
        <v>0.04</v>
      </c>
      <c r="E71" s="623">
        <f t="shared" si="2"/>
        <v>1</v>
      </c>
      <c r="F71" s="547">
        <f t="shared" si="0"/>
        <v>1</v>
      </c>
      <c r="G71" s="547">
        <f t="shared" si="1"/>
        <v>1</v>
      </c>
      <c r="H71" s="1730"/>
      <c r="I71" s="1731"/>
      <c r="J71" s="625"/>
      <c r="K71" s="671"/>
      <c r="L71" s="453"/>
      <c r="M71" s="453"/>
      <c r="N71" s="453"/>
      <c r="O71" s="453"/>
      <c r="P71" s="453"/>
      <c r="Q71" s="453"/>
      <c r="R71" s="453"/>
    </row>
    <row r="72" spans="2:18" ht="15" thickBot="1">
      <c r="B72" s="1465"/>
      <c r="C72" s="157">
        <v>17</v>
      </c>
      <c r="D72" s="460">
        <v>0.04</v>
      </c>
      <c r="E72" s="623">
        <f t="shared" si="2"/>
        <v>1</v>
      </c>
      <c r="F72" s="547">
        <f t="shared" si="0"/>
        <v>1</v>
      </c>
      <c r="G72" s="547">
        <f t="shared" si="1"/>
        <v>0.81836481999999999</v>
      </c>
      <c r="H72" s="1730"/>
      <c r="I72" s="1731"/>
      <c r="J72" s="625"/>
      <c r="K72" s="671"/>
      <c r="L72" s="453"/>
      <c r="M72" s="453"/>
      <c r="N72" s="453"/>
      <c r="O72" s="453"/>
      <c r="P72" s="453"/>
      <c r="Q72" s="453"/>
      <c r="R72" s="453"/>
    </row>
    <row r="73" spans="2:18" ht="15" thickBot="1">
      <c r="B73" s="1465"/>
      <c r="C73" s="157">
        <v>18</v>
      </c>
      <c r="D73" s="460">
        <v>0.04</v>
      </c>
      <c r="E73" s="623">
        <f t="shared" si="2"/>
        <v>1</v>
      </c>
      <c r="F73" s="547">
        <f t="shared" si="0"/>
        <v>0</v>
      </c>
      <c r="G73" s="547">
        <f t="shared" si="1"/>
        <v>0</v>
      </c>
      <c r="H73" s="1730"/>
      <c r="I73" s="1731"/>
      <c r="J73" s="625"/>
      <c r="K73" s="671"/>
      <c r="L73" s="453"/>
      <c r="M73" s="453"/>
      <c r="N73" s="453"/>
      <c r="O73" s="453"/>
      <c r="P73" s="453"/>
      <c r="Q73" s="453"/>
      <c r="R73" s="453"/>
    </row>
    <row r="74" spans="2:18" ht="15" thickBot="1">
      <c r="B74" s="1465"/>
      <c r="C74" s="157">
        <v>19</v>
      </c>
      <c r="D74" s="460">
        <v>0.04</v>
      </c>
      <c r="E74" s="623">
        <f t="shared" si="2"/>
        <v>1</v>
      </c>
      <c r="F74" s="547">
        <f t="shared" si="0"/>
        <v>1</v>
      </c>
      <c r="G74" s="547">
        <f t="shared" si="1"/>
        <v>0.46696385000000001</v>
      </c>
      <c r="H74" s="1730"/>
      <c r="I74" s="1731"/>
      <c r="J74" s="625"/>
      <c r="K74" s="671"/>
      <c r="L74" s="453"/>
      <c r="M74" s="453"/>
      <c r="N74" s="453"/>
      <c r="O74" s="453"/>
      <c r="P74" s="453"/>
      <c r="Q74" s="453"/>
      <c r="R74" s="453"/>
    </row>
    <row r="75" spans="2:18" ht="15" thickBot="1">
      <c r="B75" s="1465"/>
      <c r="C75" s="157">
        <v>20</v>
      </c>
      <c r="D75" s="460">
        <v>0</v>
      </c>
      <c r="E75" s="623">
        <v>0</v>
      </c>
      <c r="F75" s="547">
        <f t="shared" si="0"/>
        <v>1</v>
      </c>
      <c r="G75" s="547">
        <f t="shared" si="1"/>
        <v>7.2551462222222224E-2</v>
      </c>
      <c r="H75" s="1730" t="s">
        <v>1930</v>
      </c>
      <c r="I75" s="1731"/>
      <c r="J75" s="625"/>
      <c r="K75" s="671"/>
      <c r="L75" s="453"/>
      <c r="M75" s="453"/>
      <c r="N75" s="453"/>
      <c r="O75" s="453"/>
      <c r="P75" s="453"/>
      <c r="Q75" s="453"/>
      <c r="R75" s="453"/>
    </row>
    <row r="76" spans="2:18" ht="15" thickBot="1">
      <c r="B76" s="1465"/>
      <c r="C76" s="157">
        <v>21</v>
      </c>
      <c r="D76" s="460">
        <v>0.04</v>
      </c>
      <c r="E76" s="623">
        <f t="shared" ref="E76:E81" si="3">+F44</f>
        <v>1</v>
      </c>
      <c r="F76" s="547">
        <f t="shared" si="0"/>
        <v>1</v>
      </c>
      <c r="G76" s="547">
        <f t="shared" si="1"/>
        <v>7.2551462222222224E-2</v>
      </c>
      <c r="H76" s="1730"/>
      <c r="I76" s="1731"/>
      <c r="J76" s="625"/>
      <c r="K76" s="671"/>
      <c r="L76" s="453"/>
      <c r="M76" s="453"/>
      <c r="N76" s="453"/>
      <c r="O76" s="453"/>
      <c r="P76" s="453"/>
      <c r="Q76" s="453"/>
      <c r="R76" s="453"/>
    </row>
    <row r="77" spans="2:18" ht="15" thickBot="1">
      <c r="B77" s="1465"/>
      <c r="C77" s="157">
        <v>22</v>
      </c>
      <c r="D77" s="460">
        <v>0.05</v>
      </c>
      <c r="E77" s="623">
        <f t="shared" si="3"/>
        <v>1</v>
      </c>
      <c r="F77" s="547">
        <f t="shared" si="0"/>
        <v>1</v>
      </c>
      <c r="G77" s="547">
        <f t="shared" si="1"/>
        <v>7.2551439999999995E-2</v>
      </c>
      <c r="H77" s="1730"/>
      <c r="I77" s="1731"/>
      <c r="J77" s="625"/>
      <c r="K77" s="671"/>
      <c r="L77" s="453"/>
      <c r="M77" s="453"/>
      <c r="N77" s="453"/>
      <c r="O77" s="453"/>
      <c r="P77" s="453"/>
      <c r="Q77" s="453"/>
      <c r="R77" s="453"/>
    </row>
    <row r="78" spans="2:18" ht="15" thickBot="1">
      <c r="B78" s="1465"/>
      <c r="C78" s="157">
        <v>23</v>
      </c>
      <c r="D78" s="460">
        <v>0.05</v>
      </c>
      <c r="E78" s="623">
        <f t="shared" si="3"/>
        <v>1</v>
      </c>
      <c r="F78" s="547">
        <f t="shared" si="0"/>
        <v>1</v>
      </c>
      <c r="G78" s="547">
        <f t="shared" si="1"/>
        <v>7.2551459999999998E-2</v>
      </c>
      <c r="H78" s="1730"/>
      <c r="I78" s="1731"/>
      <c r="J78" s="625"/>
      <c r="K78" s="671"/>
      <c r="L78" s="453"/>
      <c r="M78" s="453"/>
      <c r="N78" s="453"/>
      <c r="O78" s="453"/>
      <c r="P78" s="453"/>
      <c r="Q78" s="453"/>
      <c r="R78" s="453"/>
    </row>
    <row r="79" spans="2:18" ht="15" thickBot="1">
      <c r="B79" s="1465"/>
      <c r="C79" s="157">
        <v>24</v>
      </c>
      <c r="D79" s="460">
        <v>0.05</v>
      </c>
      <c r="E79" s="623">
        <f t="shared" si="3"/>
        <v>1</v>
      </c>
      <c r="F79" s="547">
        <f t="shared" si="0"/>
        <v>1</v>
      </c>
      <c r="G79" s="547">
        <f t="shared" si="1"/>
        <v>7.2551459999999998E-2</v>
      </c>
      <c r="H79" s="1730"/>
      <c r="I79" s="1731"/>
      <c r="K79" s="671"/>
      <c r="L79" s="453"/>
      <c r="M79" s="453"/>
      <c r="N79" s="453"/>
      <c r="O79" s="453"/>
      <c r="P79" s="453"/>
      <c r="Q79" s="453"/>
      <c r="R79" s="453"/>
    </row>
    <row r="80" spans="2:18" ht="15" thickBot="1">
      <c r="B80" s="1465"/>
      <c r="C80" s="157">
        <v>25</v>
      </c>
      <c r="D80" s="460">
        <v>0.05</v>
      </c>
      <c r="E80" s="623">
        <f t="shared" si="3"/>
        <v>1</v>
      </c>
      <c r="F80" s="547">
        <f t="shared" si="0"/>
        <v>1</v>
      </c>
      <c r="G80" s="547">
        <f t="shared" si="1"/>
        <v>7.2551459999999998E-2</v>
      </c>
      <c r="H80" s="635"/>
      <c r="I80" s="536"/>
      <c r="K80" s="671"/>
      <c r="L80" s="453"/>
      <c r="M80" s="453"/>
      <c r="N80" s="453"/>
      <c r="O80" s="453"/>
      <c r="P80" s="453"/>
      <c r="Q80" s="453"/>
      <c r="R80" s="453"/>
    </row>
    <row r="81" spans="2:18" ht="15" thickBot="1">
      <c r="B81" s="1465"/>
      <c r="C81" s="157">
        <v>26</v>
      </c>
      <c r="D81" s="460">
        <v>0.05</v>
      </c>
      <c r="E81" s="623">
        <f t="shared" si="3"/>
        <v>1</v>
      </c>
      <c r="F81" s="547">
        <f t="shared" si="0"/>
        <v>1</v>
      </c>
      <c r="G81" s="547">
        <f t="shared" si="1"/>
        <v>0.57489671348837212</v>
      </c>
      <c r="H81" s="1730"/>
      <c r="I81" s="1731"/>
      <c r="K81" s="671"/>
      <c r="L81" s="453"/>
      <c r="M81" s="453"/>
      <c r="N81" s="453"/>
      <c r="O81" s="453"/>
      <c r="P81" s="453"/>
      <c r="Q81" s="453"/>
      <c r="R81" s="453"/>
    </row>
    <row r="82" spans="2:18" ht="15" thickBot="1">
      <c r="B82" s="1466"/>
      <c r="C82" s="157"/>
      <c r="D82" s="636">
        <f>SUM(D56:D81)</f>
        <v>1.0000000000000002</v>
      </c>
      <c r="E82" s="546">
        <f>+SUMPRODUCT(D56:D81,E56:E81)</f>
        <v>1.0000000000000002</v>
      </c>
      <c r="F82" s="546">
        <f>+SUMPRODUCT(D56:D81,F56:F81)</f>
        <v>0.88000000000000023</v>
      </c>
      <c r="G82" s="624">
        <f t="shared" ref="G82" si="4">IFERROR(J50/I50,0)</f>
        <v>0.45073092864864867</v>
      </c>
      <c r="H82" s="1730"/>
      <c r="I82" s="1731"/>
      <c r="J82" s="637"/>
      <c r="K82" s="673"/>
      <c r="L82" s="453"/>
      <c r="M82" s="453" t="s">
        <v>1187</v>
      </c>
      <c r="N82" s="453"/>
      <c r="O82" s="453"/>
      <c r="P82" s="453"/>
      <c r="Q82" s="453"/>
      <c r="R82" s="453"/>
    </row>
    <row r="83" spans="2:18" ht="24" customHeight="1" thickBot="1">
      <c r="B83" s="638" t="s">
        <v>33</v>
      </c>
      <c r="C83" s="639"/>
      <c r="D83" s="1758" t="s">
        <v>1139</v>
      </c>
      <c r="E83" s="1759"/>
      <c r="F83" s="1759"/>
      <c r="G83" s="1759"/>
      <c r="H83" s="1759"/>
      <c r="I83" s="1759"/>
      <c r="J83" s="1759"/>
      <c r="K83" s="1760"/>
      <c r="L83" s="453"/>
      <c r="M83" s="453"/>
      <c r="N83" s="453"/>
      <c r="O83" s="453"/>
      <c r="P83" s="453"/>
      <c r="Q83" s="453"/>
      <c r="R83" s="453"/>
    </row>
    <row r="84" spans="2:18" ht="24.6" thickBot="1">
      <c r="B84" s="638" t="s">
        <v>35</v>
      </c>
      <c r="C84" s="639"/>
      <c r="D84" s="1758" t="s">
        <v>345</v>
      </c>
      <c r="E84" s="1759"/>
      <c r="F84" s="1759"/>
      <c r="G84" s="1759"/>
      <c r="H84" s="1759"/>
      <c r="I84" s="1759"/>
      <c r="J84" s="1759"/>
      <c r="K84" s="1760"/>
      <c r="L84" s="453"/>
      <c r="M84" s="453"/>
      <c r="N84" s="453"/>
      <c r="O84" s="453"/>
      <c r="P84" s="453"/>
      <c r="Q84" s="453"/>
      <c r="R84" s="453"/>
    </row>
    <row r="85" spans="2:18" ht="15" thickBot="1">
      <c r="B85" s="640"/>
      <c r="C85" s="641"/>
      <c r="D85" s="453"/>
      <c r="E85" s="453"/>
      <c r="F85" s="453"/>
      <c r="G85" s="453"/>
      <c r="H85" s="453"/>
      <c r="I85" s="453"/>
      <c r="J85" s="453"/>
      <c r="K85" s="674"/>
      <c r="L85" s="453"/>
      <c r="M85" s="453"/>
      <c r="N85" s="453"/>
      <c r="O85" s="453"/>
      <c r="P85" s="453"/>
      <c r="Q85" s="453"/>
      <c r="R85" s="453"/>
    </row>
    <row r="86" spans="2:18" ht="24" customHeight="1" thickBot="1">
      <c r="B86" s="1747" t="s">
        <v>37</v>
      </c>
      <c r="C86" s="1748"/>
      <c r="D86" s="1748"/>
      <c r="E86" s="1749"/>
      <c r="F86" s="453"/>
      <c r="G86" s="453"/>
      <c r="H86" s="453"/>
      <c r="I86" s="453"/>
      <c r="J86" s="453"/>
      <c r="K86" s="674"/>
      <c r="L86" s="453"/>
      <c r="M86" s="453"/>
      <c r="N86" s="453"/>
      <c r="O86" s="453"/>
      <c r="P86" s="453"/>
      <c r="Q86" s="453"/>
      <c r="R86" s="453"/>
    </row>
    <row r="87" spans="2:18" ht="15" thickBot="1">
      <c r="B87" s="1741">
        <v>1</v>
      </c>
      <c r="C87" s="642"/>
      <c r="D87" s="643" t="s">
        <v>38</v>
      </c>
      <c r="E87" s="273" t="s">
        <v>1811</v>
      </c>
      <c r="F87" s="453"/>
      <c r="G87" s="453"/>
      <c r="H87" s="453"/>
      <c r="I87" s="453"/>
      <c r="J87" s="453"/>
      <c r="K87" s="674"/>
      <c r="L87" s="453"/>
      <c r="M87" s="453"/>
      <c r="N87" s="453"/>
      <c r="O87" s="453"/>
      <c r="P87" s="453"/>
      <c r="Q87" s="453"/>
      <c r="R87" s="453"/>
    </row>
    <row r="88" spans="2:18" ht="24.6" thickBot="1">
      <c r="B88" s="1746"/>
      <c r="C88" s="642"/>
      <c r="D88" s="644" t="s">
        <v>39</v>
      </c>
      <c r="E88" s="620" t="s">
        <v>1987</v>
      </c>
      <c r="F88" s="453"/>
      <c r="G88" s="453"/>
      <c r="H88" s="453"/>
      <c r="I88" s="453"/>
      <c r="J88" s="453"/>
      <c r="K88" s="674"/>
      <c r="L88" s="453"/>
      <c r="M88" s="453"/>
      <c r="N88" s="453"/>
      <c r="O88" s="453"/>
      <c r="P88" s="453"/>
      <c r="Q88" s="453"/>
      <c r="R88" s="453"/>
    </row>
    <row r="89" spans="2:18" ht="23.4" customHeight="1" thickBot="1">
      <c r="B89" s="1746"/>
      <c r="C89" s="642"/>
      <c r="D89" s="644" t="s">
        <v>40</v>
      </c>
      <c r="E89" s="620" t="s">
        <v>1818</v>
      </c>
      <c r="F89" s="453"/>
      <c r="G89" s="453"/>
      <c r="H89" s="453"/>
      <c r="I89" s="453"/>
      <c r="J89" s="453"/>
      <c r="K89" s="674"/>
      <c r="L89" s="453"/>
      <c r="M89" s="453"/>
      <c r="N89" s="453"/>
      <c r="O89" s="453"/>
      <c r="P89" s="453"/>
      <c r="Q89" s="453"/>
      <c r="R89" s="453"/>
    </row>
    <row r="90" spans="2:18" ht="15" thickBot="1">
      <c r="B90" s="1746"/>
      <c r="C90" s="642"/>
      <c r="D90" s="644" t="s">
        <v>41</v>
      </c>
      <c r="E90" s="273" t="s">
        <v>2036</v>
      </c>
      <c r="F90" s="453"/>
      <c r="G90" s="453"/>
      <c r="H90" s="453"/>
      <c r="I90" s="453"/>
      <c r="J90" s="453"/>
      <c r="K90" s="674"/>
      <c r="L90" s="453"/>
      <c r="M90" s="453"/>
      <c r="N90" s="453"/>
      <c r="O90" s="453"/>
      <c r="P90" s="453"/>
      <c r="Q90" s="453"/>
      <c r="R90" s="453"/>
    </row>
    <row r="91" spans="2:18" ht="29.4" thickBot="1">
      <c r="B91" s="1746"/>
      <c r="C91" s="642"/>
      <c r="D91" s="644" t="s">
        <v>42</v>
      </c>
      <c r="E91" s="645" t="s">
        <v>1813</v>
      </c>
      <c r="F91" s="453"/>
      <c r="G91" s="453"/>
      <c r="H91" s="453"/>
      <c r="I91" s="453"/>
      <c r="J91" s="453"/>
      <c r="K91" s="674"/>
      <c r="L91" s="453"/>
      <c r="M91" s="453"/>
      <c r="N91" s="453"/>
      <c r="O91" s="453"/>
      <c r="P91" s="453"/>
      <c r="Q91" s="453"/>
      <c r="R91" s="453"/>
    </row>
    <row r="92" spans="2:18" ht="15" thickBot="1">
      <c r="B92" s="1746"/>
      <c r="C92" s="642"/>
      <c r="D92" s="644" t="s">
        <v>43</v>
      </c>
      <c r="E92" s="273">
        <v>3686626</v>
      </c>
      <c r="F92" s="453"/>
      <c r="G92" s="453"/>
      <c r="H92" s="453"/>
      <c r="I92" s="453"/>
      <c r="J92" s="453"/>
      <c r="K92" s="674"/>
      <c r="L92" s="453"/>
      <c r="M92" s="453"/>
      <c r="N92" s="453"/>
      <c r="O92" s="453"/>
      <c r="P92" s="453"/>
      <c r="Q92" s="453"/>
      <c r="R92" s="453"/>
    </row>
    <row r="93" spans="2:18" ht="24.6" thickBot="1">
      <c r="B93" s="1742"/>
      <c r="C93" s="455"/>
      <c r="D93" s="644" t="s">
        <v>44</v>
      </c>
      <c r="E93" s="620" t="s">
        <v>1814</v>
      </c>
      <c r="F93" s="453"/>
      <c r="G93" s="453"/>
      <c r="H93" s="453"/>
      <c r="I93" s="453"/>
      <c r="J93" s="453"/>
      <c r="K93" s="674"/>
      <c r="L93" s="453"/>
      <c r="M93" s="453"/>
      <c r="N93" s="453"/>
      <c r="O93" s="453"/>
      <c r="P93" s="453"/>
      <c r="Q93" s="453"/>
      <c r="R93" s="453"/>
    </row>
    <row r="94" spans="2:18" ht="15" thickBot="1">
      <c r="B94" s="640"/>
      <c r="C94" s="641"/>
      <c r="D94" s="453"/>
      <c r="E94" s="453"/>
      <c r="F94" s="453"/>
      <c r="G94" s="453"/>
      <c r="H94" s="453"/>
      <c r="I94" s="453"/>
      <c r="J94" s="453"/>
      <c r="K94" s="674"/>
      <c r="L94" s="453"/>
      <c r="M94" s="453"/>
      <c r="N94" s="453"/>
      <c r="O94" s="453"/>
      <c r="P94" s="453"/>
      <c r="Q94" s="453"/>
      <c r="R94" s="453"/>
    </row>
    <row r="95" spans="2:18" ht="15" thickBot="1">
      <c r="B95" s="1747" t="s">
        <v>45</v>
      </c>
      <c r="C95" s="1748"/>
      <c r="D95" s="1748"/>
      <c r="E95" s="1749"/>
      <c r="F95" s="453"/>
      <c r="G95" s="453"/>
      <c r="H95" s="453"/>
      <c r="I95" s="453"/>
      <c r="J95" s="453"/>
      <c r="K95" s="674"/>
      <c r="L95" s="453"/>
      <c r="M95" s="453"/>
      <c r="N95" s="453"/>
      <c r="O95" s="453"/>
      <c r="P95" s="453"/>
      <c r="Q95" s="453"/>
      <c r="R95" s="453"/>
    </row>
    <row r="96" spans="2:18" ht="15" thickBot="1">
      <c r="B96" s="1741">
        <v>1</v>
      </c>
      <c r="C96" s="642"/>
      <c r="D96" s="643" t="s">
        <v>38</v>
      </c>
      <c r="E96" s="646" t="s">
        <v>46</v>
      </c>
      <c r="F96" s="453"/>
      <c r="G96" s="453"/>
      <c r="H96" s="453"/>
      <c r="I96" s="453"/>
      <c r="J96" s="453"/>
      <c r="K96" s="674"/>
      <c r="L96" s="453"/>
      <c r="M96" s="453"/>
      <c r="N96" s="453"/>
      <c r="O96" s="453"/>
      <c r="P96" s="453"/>
      <c r="Q96" s="453"/>
      <c r="R96" s="453"/>
    </row>
    <row r="97" spans="2:18" ht="15" thickBot="1">
      <c r="B97" s="1746"/>
      <c r="C97" s="642"/>
      <c r="D97" s="644" t="s">
        <v>39</v>
      </c>
      <c r="E97" s="646" t="s">
        <v>47</v>
      </c>
      <c r="F97" s="453"/>
      <c r="G97" s="453"/>
      <c r="H97" s="453"/>
      <c r="I97" s="453"/>
      <c r="J97" s="453"/>
      <c r="K97" s="674"/>
      <c r="L97" s="453"/>
      <c r="M97" s="453"/>
      <c r="N97" s="453"/>
      <c r="O97" s="453"/>
      <c r="P97" s="453"/>
      <c r="Q97" s="453"/>
      <c r="R97" s="453"/>
    </row>
    <row r="98" spans="2:18" ht="15" thickBot="1">
      <c r="B98" s="1746"/>
      <c r="C98" s="642"/>
      <c r="D98" s="644" t="s">
        <v>40</v>
      </c>
      <c r="E98" s="647"/>
      <c r="F98" s="453"/>
      <c r="G98" s="453"/>
      <c r="H98" s="453"/>
      <c r="I98" s="453"/>
      <c r="J98" s="453"/>
      <c r="K98" s="674"/>
      <c r="L98" s="453"/>
      <c r="M98" s="453"/>
      <c r="N98" s="453"/>
      <c r="O98" s="453"/>
      <c r="P98" s="453"/>
      <c r="Q98" s="453"/>
      <c r="R98" s="453"/>
    </row>
    <row r="99" spans="2:18" ht="15" thickBot="1">
      <c r="B99" s="1746"/>
      <c r="C99" s="642"/>
      <c r="D99" s="644" t="s">
        <v>41</v>
      </c>
      <c r="E99" s="647"/>
      <c r="F99" s="453"/>
      <c r="G99" s="453"/>
      <c r="H99" s="453"/>
      <c r="I99" s="453"/>
      <c r="J99" s="453"/>
      <c r="K99" s="674"/>
      <c r="L99" s="453"/>
      <c r="M99" s="453"/>
      <c r="N99" s="453"/>
      <c r="O99" s="453"/>
      <c r="P99" s="453"/>
      <c r="Q99" s="453"/>
      <c r="R99" s="453"/>
    </row>
    <row r="100" spans="2:18" ht="15" thickBot="1">
      <c r="B100" s="1746"/>
      <c r="C100" s="642"/>
      <c r="D100" s="644" t="s">
        <v>42</v>
      </c>
      <c r="E100" s="647"/>
      <c r="F100" s="453"/>
      <c r="G100" s="453"/>
      <c r="H100" s="453"/>
      <c r="I100" s="453"/>
      <c r="J100" s="453"/>
      <c r="K100" s="674"/>
      <c r="L100" s="453"/>
      <c r="M100" s="453"/>
      <c r="N100" s="453"/>
      <c r="O100" s="453"/>
      <c r="P100" s="453"/>
      <c r="Q100" s="453"/>
      <c r="R100" s="453"/>
    </row>
    <row r="101" spans="2:18" ht="15" thickBot="1">
      <c r="B101" s="1746"/>
      <c r="C101" s="642"/>
      <c r="D101" s="644" t="s">
        <v>43</v>
      </c>
      <c r="E101" s="647"/>
      <c r="F101" s="453"/>
      <c r="G101" s="453"/>
      <c r="H101" s="453"/>
      <c r="I101" s="453"/>
      <c r="J101" s="453"/>
      <c r="K101" s="674"/>
      <c r="L101" s="453"/>
      <c r="M101" s="453"/>
      <c r="N101" s="453"/>
      <c r="O101" s="453"/>
      <c r="P101" s="453"/>
      <c r="Q101" s="453"/>
      <c r="R101" s="453"/>
    </row>
    <row r="102" spans="2:18" ht="15" thickBot="1">
      <c r="B102" s="1742"/>
      <c r="C102" s="455"/>
      <c r="D102" s="644" t="s">
        <v>44</v>
      </c>
      <c r="E102" s="647"/>
      <c r="F102" s="453"/>
      <c r="G102" s="453"/>
      <c r="H102" s="453"/>
      <c r="I102" s="453"/>
      <c r="J102" s="453"/>
      <c r="K102" s="674"/>
      <c r="L102" s="453"/>
      <c r="M102" s="453"/>
      <c r="N102" s="453"/>
      <c r="O102" s="453"/>
      <c r="P102" s="453"/>
      <c r="Q102" s="453"/>
      <c r="R102" s="453"/>
    </row>
    <row r="103" spans="2:18" ht="15" thickBot="1">
      <c r="B103" s="640"/>
      <c r="C103" s="641"/>
      <c r="D103" s="453"/>
      <c r="E103" s="453"/>
      <c r="F103" s="453"/>
      <c r="G103" s="453"/>
      <c r="H103" s="453"/>
      <c r="I103" s="453"/>
      <c r="J103" s="453"/>
      <c r="K103" s="674"/>
      <c r="L103" s="453"/>
      <c r="M103" s="453"/>
      <c r="N103" s="453"/>
      <c r="O103" s="453"/>
      <c r="P103" s="453"/>
      <c r="Q103" s="453"/>
      <c r="R103" s="453"/>
    </row>
    <row r="104" spans="2:18" ht="15" customHeight="1" thickBot="1">
      <c r="B104" s="648" t="s">
        <v>48</v>
      </c>
      <c r="C104" s="649"/>
      <c r="D104" s="649"/>
      <c r="E104" s="650"/>
      <c r="F104" s="453"/>
      <c r="G104" s="453"/>
      <c r="H104" s="453"/>
      <c r="I104" s="453"/>
      <c r="J104" s="453"/>
      <c r="K104" s="674"/>
      <c r="L104" s="453"/>
      <c r="M104" s="453"/>
      <c r="N104" s="453"/>
      <c r="O104" s="453"/>
      <c r="P104" s="453"/>
      <c r="Q104" s="453"/>
      <c r="R104" s="453"/>
    </row>
    <row r="105" spans="2:18" ht="24.6" thickBot="1">
      <c r="B105" s="638" t="s">
        <v>49</v>
      </c>
      <c r="C105" s="644" t="s">
        <v>50</v>
      </c>
      <c r="D105" s="644" t="s">
        <v>51</v>
      </c>
      <c r="E105" s="644" t="s">
        <v>52</v>
      </c>
      <c r="F105" s="453"/>
      <c r="G105" s="453"/>
      <c r="H105" s="453"/>
      <c r="I105" s="453"/>
      <c r="J105" s="453"/>
      <c r="K105" s="674"/>
      <c r="L105" s="453"/>
      <c r="M105" s="453"/>
      <c r="N105" s="453"/>
      <c r="O105" s="453"/>
      <c r="P105" s="453"/>
      <c r="Q105" s="453"/>
      <c r="R105" s="453"/>
    </row>
    <row r="106" spans="2:18" ht="48.6" thickBot="1">
      <c r="B106" s="651">
        <v>42401</v>
      </c>
      <c r="C106" s="644">
        <v>0.01</v>
      </c>
      <c r="D106" s="652" t="s">
        <v>1140</v>
      </c>
      <c r="E106" s="644"/>
      <c r="F106" s="453"/>
      <c r="G106" s="453"/>
      <c r="H106" s="453"/>
      <c r="I106" s="453"/>
      <c r="J106" s="453"/>
      <c r="K106" s="674"/>
      <c r="L106" s="453"/>
      <c r="M106" s="453"/>
      <c r="N106" s="453"/>
      <c r="O106" s="453"/>
      <c r="P106" s="453"/>
      <c r="Q106" s="453"/>
      <c r="R106" s="453"/>
    </row>
    <row r="107" spans="2:18" ht="15" thickBot="1">
      <c r="B107" s="653"/>
      <c r="C107" s="654"/>
      <c r="D107" s="453"/>
      <c r="E107" s="453"/>
      <c r="F107" s="453"/>
      <c r="G107" s="453"/>
      <c r="H107" s="453"/>
      <c r="I107" s="453"/>
      <c r="J107" s="453"/>
      <c r="K107" s="674"/>
      <c r="L107" s="453"/>
      <c r="M107" s="453"/>
      <c r="N107" s="453"/>
      <c r="O107" s="453"/>
      <c r="P107" s="453"/>
      <c r="Q107" s="453"/>
      <c r="R107" s="453"/>
    </row>
    <row r="108" spans="2:18" ht="15" thickBot="1">
      <c r="B108" s="655" t="s">
        <v>54</v>
      </c>
      <c r="C108" s="656"/>
      <c r="D108" s="453"/>
      <c r="E108" s="453"/>
      <c r="F108" s="453"/>
      <c r="G108" s="453"/>
      <c r="H108" s="453"/>
      <c r="I108" s="453"/>
      <c r="J108" s="453"/>
      <c r="K108" s="674"/>
      <c r="L108" s="453"/>
      <c r="M108" s="453"/>
      <c r="N108" s="453"/>
      <c r="O108" s="453"/>
      <c r="P108" s="453"/>
      <c r="Q108" s="453"/>
      <c r="R108" s="453"/>
    </row>
    <row r="109" spans="2:18">
      <c r="B109" s="1750"/>
      <c r="C109" s="1751"/>
      <c r="D109" s="1751"/>
      <c r="E109" s="1751"/>
      <c r="F109" s="1751"/>
      <c r="G109" s="1752"/>
      <c r="H109" s="453"/>
      <c r="I109" s="453"/>
      <c r="J109" s="453"/>
      <c r="K109" s="674"/>
      <c r="L109" s="453"/>
      <c r="M109" s="453"/>
      <c r="N109" s="453"/>
      <c r="O109" s="453"/>
      <c r="P109" s="453"/>
      <c r="Q109" s="453"/>
      <c r="R109" s="453"/>
    </row>
    <row r="110" spans="2:18" ht="15" thickBot="1">
      <c r="B110" s="1753"/>
      <c r="C110" s="1754"/>
      <c r="D110" s="1754"/>
      <c r="E110" s="1754"/>
      <c r="F110" s="1754"/>
      <c r="G110" s="1755"/>
      <c r="H110" s="453"/>
      <c r="I110" s="453"/>
      <c r="J110" s="453"/>
      <c r="K110" s="674"/>
      <c r="L110" s="453"/>
      <c r="M110" s="453"/>
      <c r="N110" s="453"/>
      <c r="O110" s="453"/>
      <c r="P110" s="453"/>
      <c r="Q110" s="453"/>
      <c r="R110" s="453"/>
    </row>
    <row r="111" spans="2:18">
      <c r="B111" s="640"/>
      <c r="C111" s="641"/>
      <c r="D111" s="453"/>
      <c r="E111" s="453"/>
      <c r="F111" s="453"/>
      <c r="G111" s="453"/>
      <c r="H111" s="453"/>
      <c r="I111" s="453"/>
      <c r="J111" s="453"/>
      <c r="K111" s="674"/>
      <c r="L111" s="453"/>
      <c r="M111" s="453"/>
      <c r="N111" s="453"/>
      <c r="O111" s="453"/>
      <c r="P111" s="453"/>
      <c r="Q111" s="453"/>
      <c r="R111" s="453"/>
    </row>
    <row r="112" spans="2:18" ht="15" thickBot="1">
      <c r="B112" s="453"/>
      <c r="C112" s="619"/>
      <c r="D112" s="453"/>
      <c r="E112" s="453"/>
      <c r="F112" s="453"/>
      <c r="G112" s="453"/>
      <c r="H112" s="453"/>
      <c r="I112" s="453"/>
      <c r="J112" s="453"/>
      <c r="K112" s="674"/>
      <c r="L112" s="453"/>
      <c r="M112" s="453"/>
      <c r="N112" s="453"/>
      <c r="O112" s="453"/>
      <c r="P112" s="453"/>
      <c r="Q112" s="453"/>
      <c r="R112" s="453"/>
    </row>
    <row r="113" spans="2:18" ht="24.6" thickBot="1">
      <c r="B113" s="657" t="s">
        <v>55</v>
      </c>
      <c r="C113" s="658"/>
      <c r="D113" s="453"/>
      <c r="E113" s="453"/>
      <c r="F113" s="453"/>
      <c r="G113" s="453"/>
      <c r="H113" s="453"/>
      <c r="I113" s="453"/>
      <c r="J113" s="453"/>
      <c r="K113" s="674"/>
      <c r="L113" s="453"/>
      <c r="M113" s="453"/>
      <c r="N113" s="453"/>
      <c r="O113" s="453"/>
      <c r="P113" s="453"/>
      <c r="Q113" s="453"/>
      <c r="R113" s="453"/>
    </row>
    <row r="114" spans="2:18" ht="15" thickBot="1">
      <c r="B114" s="646"/>
      <c r="C114" s="659"/>
      <c r="D114" s="453"/>
      <c r="E114" s="453"/>
      <c r="F114" s="453"/>
      <c r="G114" s="453"/>
      <c r="H114" s="453"/>
      <c r="I114" s="453"/>
      <c r="J114" s="453"/>
      <c r="K114" s="674"/>
      <c r="L114" s="453"/>
      <c r="M114" s="453"/>
      <c r="N114" s="453"/>
      <c r="O114" s="453"/>
      <c r="P114" s="453"/>
      <c r="Q114" s="453"/>
      <c r="R114" s="453"/>
    </row>
    <row r="115" spans="2:18" ht="48.6" thickBot="1">
      <c r="B115" s="660" t="s">
        <v>56</v>
      </c>
      <c r="C115" s="661"/>
      <c r="D115" s="662" t="s">
        <v>1108</v>
      </c>
      <c r="E115" s="453"/>
      <c r="F115" s="453"/>
      <c r="G115" s="453"/>
      <c r="H115" s="453"/>
      <c r="I115" s="453"/>
      <c r="J115" s="453"/>
      <c r="K115" s="674"/>
      <c r="L115" s="453"/>
      <c r="M115" s="453"/>
      <c r="N115" s="453"/>
      <c r="O115" s="453"/>
      <c r="P115" s="453"/>
      <c r="Q115" s="453"/>
      <c r="R115" s="453"/>
    </row>
    <row r="116" spans="2:18">
      <c r="B116" s="1741" t="s">
        <v>58</v>
      </c>
      <c r="C116" s="642"/>
      <c r="D116" s="663" t="s">
        <v>59</v>
      </c>
      <c r="E116" s="453"/>
      <c r="F116" s="453"/>
      <c r="G116" s="453"/>
      <c r="H116" s="453"/>
      <c r="I116" s="453"/>
      <c r="J116" s="453"/>
      <c r="K116" s="674"/>
      <c r="L116" s="453"/>
      <c r="M116" s="453"/>
      <c r="N116" s="453"/>
      <c r="O116" s="453"/>
      <c r="P116" s="453"/>
      <c r="Q116" s="453"/>
      <c r="R116" s="453"/>
    </row>
    <row r="117" spans="2:18" ht="60">
      <c r="B117" s="1746"/>
      <c r="C117" s="642"/>
      <c r="D117" s="664" t="s">
        <v>1109</v>
      </c>
      <c r="E117" s="453"/>
      <c r="F117" s="453"/>
      <c r="G117" s="453"/>
      <c r="H117" s="453"/>
      <c r="I117" s="453"/>
      <c r="J117" s="453"/>
      <c r="K117" s="674"/>
      <c r="L117" s="453"/>
      <c r="M117" s="453"/>
      <c r="N117" s="453"/>
      <c r="O117" s="453"/>
      <c r="P117" s="453"/>
      <c r="Q117" s="453"/>
      <c r="R117" s="453"/>
    </row>
    <row r="118" spans="2:18">
      <c r="B118" s="1746"/>
      <c r="C118" s="642"/>
      <c r="D118" s="663" t="s">
        <v>62</v>
      </c>
      <c r="E118" s="453"/>
      <c r="F118" s="453"/>
      <c r="G118" s="453"/>
      <c r="H118" s="453"/>
      <c r="I118" s="453"/>
      <c r="J118" s="453"/>
      <c r="K118" s="674"/>
      <c r="L118" s="453"/>
      <c r="M118" s="453"/>
      <c r="N118" s="453"/>
      <c r="O118" s="453"/>
      <c r="P118" s="453"/>
      <c r="Q118" s="453"/>
      <c r="R118" s="453"/>
    </row>
    <row r="119" spans="2:18">
      <c r="B119" s="1746"/>
      <c r="C119" s="642"/>
      <c r="D119" s="664" t="s">
        <v>1110</v>
      </c>
      <c r="E119" s="453"/>
      <c r="F119" s="453"/>
      <c r="G119" s="453"/>
      <c r="H119" s="453"/>
      <c r="I119" s="453"/>
      <c r="J119" s="453"/>
      <c r="K119" s="674"/>
      <c r="L119" s="453"/>
      <c r="M119" s="453"/>
      <c r="N119" s="453"/>
      <c r="O119" s="453"/>
      <c r="P119" s="453"/>
      <c r="Q119" s="453"/>
      <c r="R119" s="453"/>
    </row>
    <row r="120" spans="2:18">
      <c r="B120" s="1746"/>
      <c r="C120" s="642"/>
      <c r="D120" s="664" t="s">
        <v>64</v>
      </c>
      <c r="E120" s="453"/>
      <c r="F120" s="453"/>
      <c r="G120" s="453"/>
      <c r="H120" s="453"/>
      <c r="I120" s="453"/>
      <c r="J120" s="453"/>
      <c r="K120" s="674"/>
      <c r="L120" s="453"/>
      <c r="M120" s="453"/>
      <c r="N120" s="453"/>
      <c r="O120" s="453"/>
      <c r="P120" s="453"/>
      <c r="Q120" s="453"/>
      <c r="R120" s="453"/>
    </row>
    <row r="121" spans="2:18">
      <c r="B121" s="1746"/>
      <c r="C121" s="642"/>
      <c r="D121" s="663" t="s">
        <v>287</v>
      </c>
      <c r="E121" s="453"/>
      <c r="F121" s="453"/>
      <c r="G121" s="453"/>
      <c r="H121" s="453"/>
      <c r="I121" s="453"/>
      <c r="J121" s="453"/>
      <c r="K121" s="674"/>
      <c r="L121" s="453"/>
      <c r="M121" s="453"/>
      <c r="N121" s="453"/>
      <c r="O121" s="453"/>
      <c r="P121" s="453"/>
      <c r="Q121" s="453"/>
      <c r="R121" s="453"/>
    </row>
    <row r="122" spans="2:18" ht="15" thickBot="1">
      <c r="B122" s="1742"/>
      <c r="C122" s="455"/>
      <c r="D122" s="644" t="s">
        <v>1111</v>
      </c>
      <c r="E122" s="453"/>
      <c r="F122" s="453"/>
      <c r="G122" s="453"/>
      <c r="H122" s="453"/>
      <c r="I122" s="453"/>
      <c r="J122" s="453"/>
      <c r="K122" s="674"/>
      <c r="L122" s="453"/>
      <c r="M122" s="453"/>
      <c r="N122" s="453"/>
      <c r="O122" s="453"/>
      <c r="P122" s="453"/>
      <c r="Q122" s="453"/>
      <c r="R122" s="453"/>
    </row>
    <row r="123" spans="2:18">
      <c r="B123" s="1741" t="s">
        <v>71</v>
      </c>
      <c r="C123" s="665"/>
      <c r="D123" s="1741"/>
      <c r="E123" s="453"/>
      <c r="F123" s="453"/>
      <c r="G123" s="453"/>
      <c r="H123" s="453"/>
      <c r="I123" s="453"/>
      <c r="J123" s="453"/>
      <c r="K123" s="674"/>
      <c r="L123" s="453"/>
      <c r="M123" s="453"/>
      <c r="N123" s="453"/>
      <c r="O123" s="453"/>
      <c r="P123" s="453"/>
      <c r="Q123" s="453"/>
      <c r="R123" s="453"/>
    </row>
    <row r="124" spans="2:18" ht="15" thickBot="1">
      <c r="B124" s="1742"/>
      <c r="C124" s="666"/>
      <c r="D124" s="1742"/>
      <c r="E124" s="453"/>
      <c r="F124" s="453"/>
      <c r="G124" s="453"/>
      <c r="H124" s="453"/>
      <c r="I124" s="453"/>
      <c r="J124" s="453"/>
      <c r="K124" s="674"/>
      <c r="L124" s="453"/>
      <c r="M124" s="453"/>
      <c r="N124" s="453"/>
      <c r="O124" s="453"/>
      <c r="P124" s="453"/>
      <c r="Q124" s="453"/>
      <c r="R124" s="453"/>
    </row>
    <row r="125" spans="2:18" ht="72">
      <c r="B125" s="1741" t="s">
        <v>72</v>
      </c>
      <c r="C125" s="642"/>
      <c r="D125" s="664" t="s">
        <v>1112</v>
      </c>
      <c r="E125" s="453"/>
      <c r="F125" s="453"/>
      <c r="G125" s="453"/>
      <c r="H125" s="453"/>
      <c r="I125" s="453"/>
      <c r="J125" s="453"/>
      <c r="K125" s="674"/>
      <c r="L125" s="453"/>
      <c r="M125" s="453"/>
      <c r="N125" s="453"/>
      <c r="O125" s="453"/>
      <c r="P125" s="453"/>
      <c r="Q125" s="453"/>
      <c r="R125" s="453"/>
    </row>
    <row r="126" spans="2:18" ht="156">
      <c r="B126" s="1746"/>
      <c r="C126" s="642"/>
      <c r="D126" s="664" t="s">
        <v>1113</v>
      </c>
      <c r="E126" s="453"/>
      <c r="F126" s="453"/>
      <c r="G126" s="453"/>
      <c r="H126" s="453"/>
      <c r="I126" s="453"/>
      <c r="J126" s="453"/>
      <c r="K126" s="674"/>
      <c r="L126" s="453"/>
      <c r="M126" s="453"/>
      <c r="N126" s="453"/>
      <c r="O126" s="453"/>
      <c r="P126" s="453"/>
      <c r="Q126" s="453"/>
      <c r="R126" s="453"/>
    </row>
    <row r="127" spans="2:18" ht="168">
      <c r="B127" s="1746"/>
      <c r="C127" s="642"/>
      <c r="D127" s="664" t="s">
        <v>1114</v>
      </c>
      <c r="E127" s="453"/>
      <c r="F127" s="453"/>
      <c r="G127" s="453"/>
      <c r="H127" s="453"/>
      <c r="I127" s="453"/>
      <c r="J127" s="453"/>
      <c r="K127" s="674"/>
    </row>
    <row r="128" spans="2:18" ht="72">
      <c r="B128" s="1746"/>
      <c r="C128" s="642"/>
      <c r="D128" s="664" t="s">
        <v>1115</v>
      </c>
      <c r="E128" s="453"/>
      <c r="F128" s="453"/>
      <c r="G128" s="453"/>
      <c r="H128" s="453"/>
      <c r="I128" s="453"/>
      <c r="J128" s="453"/>
      <c r="K128" s="674"/>
    </row>
    <row r="129" spans="2:11" ht="24">
      <c r="B129" s="1746"/>
      <c r="C129" s="642"/>
      <c r="D129" s="664" t="s">
        <v>1116</v>
      </c>
      <c r="E129" s="453"/>
      <c r="F129" s="453"/>
      <c r="G129" s="453"/>
      <c r="H129" s="453"/>
      <c r="I129" s="453"/>
      <c r="J129" s="453"/>
      <c r="K129" s="674"/>
    </row>
    <row r="130" spans="2:11" ht="24">
      <c r="B130" s="1746"/>
      <c r="C130" s="642"/>
      <c r="D130" s="664" t="s">
        <v>1117</v>
      </c>
      <c r="E130" s="453"/>
      <c r="F130" s="453"/>
      <c r="G130" s="453"/>
      <c r="H130" s="453"/>
      <c r="I130" s="453"/>
      <c r="J130" s="453"/>
      <c r="K130" s="674"/>
    </row>
    <row r="131" spans="2:11" ht="24">
      <c r="B131" s="1746"/>
      <c r="C131" s="642"/>
      <c r="D131" s="664" t="s">
        <v>1118</v>
      </c>
      <c r="E131" s="453"/>
      <c r="F131" s="453"/>
      <c r="G131" s="453"/>
      <c r="H131" s="453"/>
      <c r="I131" s="453"/>
      <c r="J131" s="453"/>
      <c r="K131" s="674"/>
    </row>
    <row r="132" spans="2:11">
      <c r="B132" s="1746"/>
      <c r="C132" s="642"/>
      <c r="D132" s="664" t="s">
        <v>1119</v>
      </c>
      <c r="E132" s="453"/>
      <c r="F132" s="453"/>
      <c r="G132" s="453"/>
      <c r="H132" s="453"/>
      <c r="I132" s="453"/>
      <c r="J132" s="453"/>
      <c r="K132" s="674"/>
    </row>
    <row r="133" spans="2:11" ht="24">
      <c r="B133" s="1746"/>
      <c r="C133" s="642"/>
      <c r="D133" s="664" t="s">
        <v>1120</v>
      </c>
      <c r="E133" s="453"/>
      <c r="F133" s="453"/>
      <c r="G133" s="453"/>
      <c r="H133" s="453"/>
      <c r="I133" s="453"/>
      <c r="J133" s="453"/>
      <c r="K133" s="674"/>
    </row>
    <row r="134" spans="2:11" ht="24">
      <c r="B134" s="1746"/>
      <c r="C134" s="642"/>
      <c r="D134" s="664" t="s">
        <v>1121</v>
      </c>
      <c r="E134" s="453"/>
      <c r="F134" s="453"/>
      <c r="G134" s="453"/>
      <c r="H134" s="453"/>
      <c r="I134" s="453"/>
      <c r="J134" s="453"/>
      <c r="K134" s="674"/>
    </row>
    <row r="135" spans="2:11" ht="48.6" thickBot="1">
      <c r="B135" s="1742"/>
      <c r="C135" s="455"/>
      <c r="D135" s="644" t="s">
        <v>1122</v>
      </c>
      <c r="E135" s="453"/>
      <c r="F135" s="453"/>
      <c r="G135" s="453"/>
      <c r="H135" s="453"/>
      <c r="I135" s="453"/>
      <c r="J135" s="453"/>
      <c r="K135" s="674"/>
    </row>
    <row r="136" spans="2:11" ht="24">
      <c r="B136" s="1741" t="s">
        <v>89</v>
      </c>
      <c r="C136" s="642"/>
      <c r="D136" s="663" t="s">
        <v>1123</v>
      </c>
      <c r="E136" s="453"/>
      <c r="F136" s="453"/>
      <c r="G136" s="453"/>
      <c r="H136" s="453"/>
      <c r="I136" s="453"/>
      <c r="J136" s="453"/>
      <c r="K136" s="674"/>
    </row>
    <row r="137" spans="2:11">
      <c r="B137" s="1746"/>
      <c r="C137" s="642"/>
      <c r="D137" s="667"/>
      <c r="E137" s="453"/>
      <c r="F137" s="453"/>
      <c r="G137" s="453"/>
      <c r="H137" s="453"/>
      <c r="I137" s="453"/>
      <c r="J137" s="453"/>
      <c r="K137" s="674"/>
    </row>
    <row r="138" spans="2:11">
      <c r="B138" s="1746"/>
      <c r="C138" s="642"/>
      <c r="D138" s="664" t="s">
        <v>90</v>
      </c>
      <c r="E138" s="453"/>
      <c r="F138" s="453"/>
      <c r="G138" s="453"/>
      <c r="H138" s="453"/>
      <c r="I138" s="453"/>
      <c r="J138" s="453"/>
      <c r="K138" s="674"/>
    </row>
    <row r="139" spans="2:11" ht="26.4">
      <c r="B139" s="1746"/>
      <c r="C139" s="642"/>
      <c r="D139" s="664" t="s">
        <v>1124</v>
      </c>
      <c r="E139" s="453"/>
      <c r="F139" s="453"/>
      <c r="G139" s="453"/>
      <c r="H139" s="453"/>
      <c r="I139" s="453"/>
      <c r="J139" s="453"/>
      <c r="K139" s="674"/>
    </row>
    <row r="140" spans="2:11" ht="26.4">
      <c r="B140" s="1746"/>
      <c r="C140" s="642"/>
      <c r="D140" s="664" t="s">
        <v>1125</v>
      </c>
      <c r="E140" s="453"/>
      <c r="F140" s="453"/>
      <c r="G140" s="453"/>
      <c r="H140" s="453"/>
      <c r="I140" s="453"/>
      <c r="J140" s="453"/>
      <c r="K140" s="674"/>
    </row>
    <row r="141" spans="2:11" ht="26.4">
      <c r="B141" s="1746"/>
      <c r="C141" s="642"/>
      <c r="D141" s="664" t="s">
        <v>1126</v>
      </c>
      <c r="E141" s="453"/>
      <c r="F141" s="453"/>
      <c r="G141" s="453"/>
      <c r="H141" s="453"/>
      <c r="I141" s="453"/>
      <c r="J141" s="453"/>
      <c r="K141" s="674"/>
    </row>
    <row r="142" spans="2:11" ht="26.4">
      <c r="B142" s="1746"/>
      <c r="C142" s="642"/>
      <c r="D142" s="664" t="s">
        <v>1127</v>
      </c>
      <c r="E142" s="453"/>
      <c r="F142" s="453"/>
      <c r="G142" s="453"/>
      <c r="H142" s="453"/>
      <c r="I142" s="453"/>
      <c r="J142" s="453"/>
      <c r="K142" s="674"/>
    </row>
    <row r="143" spans="2:11">
      <c r="B143" s="1746"/>
      <c r="C143" s="642"/>
      <c r="D143" s="664" t="s">
        <v>1128</v>
      </c>
      <c r="E143" s="453"/>
      <c r="F143" s="453"/>
      <c r="G143" s="453"/>
      <c r="H143" s="453"/>
      <c r="I143" s="453"/>
      <c r="J143" s="453"/>
      <c r="K143" s="674"/>
    </row>
    <row r="144" spans="2:11">
      <c r="B144" s="1746"/>
      <c r="C144" s="642"/>
      <c r="D144" s="664" t="s">
        <v>1129</v>
      </c>
      <c r="E144" s="453"/>
      <c r="F144" s="453"/>
      <c r="G144" s="453"/>
      <c r="H144" s="453"/>
      <c r="I144" s="453"/>
      <c r="J144" s="453"/>
      <c r="K144" s="674"/>
    </row>
    <row r="145" spans="2:11">
      <c r="B145" s="1746"/>
      <c r="C145" s="642"/>
      <c r="D145" s="664" t="s">
        <v>1130</v>
      </c>
      <c r="E145" s="453"/>
      <c r="F145" s="453"/>
      <c r="G145" s="453"/>
      <c r="H145" s="453"/>
      <c r="I145" s="453"/>
      <c r="J145" s="453"/>
      <c r="K145" s="674"/>
    </row>
    <row r="146" spans="2:11">
      <c r="B146" s="1746"/>
      <c r="C146" s="642"/>
      <c r="D146" s="664" t="s">
        <v>813</v>
      </c>
      <c r="E146" s="453"/>
      <c r="F146" s="453"/>
      <c r="G146" s="453"/>
      <c r="H146" s="453"/>
      <c r="I146" s="453"/>
      <c r="J146" s="453"/>
      <c r="K146" s="674"/>
    </row>
    <row r="147" spans="2:11" ht="60">
      <c r="B147" s="1746"/>
      <c r="C147" s="642"/>
      <c r="D147" s="668" t="s">
        <v>234</v>
      </c>
      <c r="E147" s="453"/>
      <c r="F147" s="453"/>
      <c r="G147" s="453"/>
      <c r="H147" s="453"/>
      <c r="I147" s="453"/>
      <c r="J147" s="453"/>
      <c r="K147" s="674"/>
    </row>
    <row r="148" spans="2:11">
      <c r="B148" s="1746"/>
      <c r="C148" s="642"/>
      <c r="D148" s="664" t="s">
        <v>245</v>
      </c>
      <c r="E148" s="453"/>
      <c r="F148" s="453"/>
      <c r="G148" s="453"/>
      <c r="H148" s="453"/>
      <c r="I148" s="453"/>
      <c r="J148" s="453"/>
      <c r="K148" s="674"/>
    </row>
    <row r="149" spans="2:11" ht="24">
      <c r="B149" s="1746"/>
      <c r="C149" s="642"/>
      <c r="D149" s="663" t="s">
        <v>1131</v>
      </c>
      <c r="E149" s="453"/>
      <c r="F149" s="453"/>
      <c r="G149" s="453"/>
      <c r="H149" s="453"/>
      <c r="I149" s="453"/>
      <c r="J149" s="453"/>
      <c r="K149" s="674"/>
    </row>
    <row r="150" spans="2:11">
      <c r="B150" s="1746"/>
      <c r="C150" s="642"/>
      <c r="D150" s="667"/>
      <c r="E150" s="453"/>
      <c r="F150" s="453"/>
      <c r="G150" s="453"/>
      <c r="H150" s="453"/>
      <c r="I150" s="453"/>
      <c r="J150" s="453"/>
      <c r="K150" s="674"/>
    </row>
    <row r="151" spans="2:11">
      <c r="B151" s="1746"/>
      <c r="C151" s="642"/>
      <c r="D151" s="664" t="s">
        <v>90</v>
      </c>
      <c r="E151" s="453"/>
      <c r="F151" s="453"/>
      <c r="G151" s="453"/>
      <c r="H151" s="453"/>
      <c r="I151" s="453"/>
      <c r="J151" s="453"/>
      <c r="K151" s="674"/>
    </row>
    <row r="152" spans="2:11" ht="26.4">
      <c r="B152" s="1746"/>
      <c r="C152" s="642"/>
      <c r="D152" s="664" t="s">
        <v>1132</v>
      </c>
      <c r="E152" s="453"/>
      <c r="F152" s="453"/>
      <c r="G152" s="453"/>
      <c r="H152" s="453"/>
      <c r="I152" s="453"/>
      <c r="J152" s="453"/>
      <c r="K152" s="674"/>
    </row>
    <row r="153" spans="2:11" ht="26.4">
      <c r="B153" s="1746"/>
      <c r="C153" s="642"/>
      <c r="D153" s="664" t="s">
        <v>1133</v>
      </c>
      <c r="E153" s="453"/>
      <c r="F153" s="453"/>
      <c r="G153" s="453"/>
      <c r="H153" s="453"/>
      <c r="I153" s="453"/>
      <c r="J153" s="453"/>
      <c r="K153" s="674"/>
    </row>
    <row r="154" spans="2:11" ht="27" thickBot="1">
      <c r="B154" s="1742"/>
      <c r="C154" s="455"/>
      <c r="D154" s="644" t="s">
        <v>1134</v>
      </c>
      <c r="E154" s="453"/>
      <c r="F154" s="453"/>
      <c r="G154" s="453"/>
      <c r="H154" s="453"/>
      <c r="I154" s="453"/>
      <c r="J154" s="453"/>
      <c r="K154" s="674"/>
    </row>
    <row r="155" spans="2:11">
      <c r="B155" s="453"/>
      <c r="C155" s="619"/>
      <c r="D155" s="453"/>
      <c r="E155" s="453"/>
      <c r="F155" s="453"/>
      <c r="G155" s="453"/>
      <c r="H155" s="453"/>
      <c r="I155" s="453"/>
      <c r="J155" s="453"/>
      <c r="K155" s="674"/>
    </row>
    <row r="156" spans="2:11" s="453" customFormat="1">
      <c r="C156" s="619"/>
      <c r="K156" s="674"/>
    </row>
    <row r="157" spans="2:11" s="453" customFormat="1">
      <c r="C157" s="619"/>
      <c r="K157" s="674"/>
    </row>
    <row r="158" spans="2:11" s="453" customFormat="1">
      <c r="C158" s="619"/>
      <c r="K158" s="674"/>
    </row>
    <row r="159" spans="2:11" s="453" customFormat="1">
      <c r="C159" s="619"/>
      <c r="K159" s="674"/>
    </row>
    <row r="160" spans="2:11" s="453" customFormat="1">
      <c r="C160" s="619"/>
      <c r="K160" s="674"/>
    </row>
    <row r="161" spans="3:11" s="453" customFormat="1">
      <c r="C161" s="619"/>
      <c r="K161" s="674"/>
    </row>
    <row r="162" spans="3:11" s="453" customFormat="1">
      <c r="C162" s="619"/>
      <c r="K162" s="674"/>
    </row>
    <row r="163" spans="3:11" s="453" customFormat="1">
      <c r="C163" s="619"/>
      <c r="K163" s="674"/>
    </row>
    <row r="164" spans="3:11" s="453" customFormat="1">
      <c r="C164" s="619"/>
      <c r="K164" s="674"/>
    </row>
  </sheetData>
  <sheetProtection formatCells="0" formatRows="0" insertColumns="0" insertRows="0" deleteColumns="0" deleteRows="0"/>
  <mergeCells count="65">
    <mergeCell ref="A1:P1"/>
    <mergeCell ref="A2:P2"/>
    <mergeCell ref="A3:P3"/>
    <mergeCell ref="A4:D4"/>
    <mergeCell ref="A5:P5"/>
    <mergeCell ref="B10:D10"/>
    <mergeCell ref="F10:S10"/>
    <mergeCell ref="F11:S11"/>
    <mergeCell ref="E12:R12"/>
    <mergeCell ref="E13:R13"/>
    <mergeCell ref="B125:B135"/>
    <mergeCell ref="B136:B154"/>
    <mergeCell ref="B109:G110"/>
    <mergeCell ref="D51:K51"/>
    <mergeCell ref="F53:G53"/>
    <mergeCell ref="E54:E55"/>
    <mergeCell ref="F54:F55"/>
    <mergeCell ref="D52:K52"/>
    <mergeCell ref="D83:K83"/>
    <mergeCell ref="D84:K84"/>
    <mergeCell ref="B86:E86"/>
    <mergeCell ref="B87:B93"/>
    <mergeCell ref="B15:B82"/>
    <mergeCell ref="D15:K15"/>
    <mergeCell ref="D20:K20"/>
    <mergeCell ref="B116:B122"/>
    <mergeCell ref="B123:B124"/>
    <mergeCell ref="D123:D124"/>
    <mergeCell ref="C53:C55"/>
    <mergeCell ref="D53:D55"/>
    <mergeCell ref="B96:B102"/>
    <mergeCell ref="B95:E95"/>
    <mergeCell ref="D21:K21"/>
    <mergeCell ref="D22:D23"/>
    <mergeCell ref="E22:F22"/>
    <mergeCell ref="G22:J22"/>
    <mergeCell ref="C22:C23"/>
    <mergeCell ref="H54:I55"/>
    <mergeCell ref="H53:I53"/>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9:I79"/>
    <mergeCell ref="H81:I81"/>
    <mergeCell ref="H82:I82"/>
    <mergeCell ref="H74:I74"/>
    <mergeCell ref="H75:I75"/>
    <mergeCell ref="H76:I76"/>
    <mergeCell ref="H77:I77"/>
    <mergeCell ref="H78:I78"/>
  </mergeCells>
  <phoneticPr fontId="43" type="noConversion"/>
  <conditionalFormatting sqref="D82">
    <cfRule type="containsText" dxfId="11" priority="5" operator="containsText" text="ERROR">
      <formula>NOT(ISERROR(SEARCH("ERROR",D82)))</formula>
    </cfRule>
  </conditionalFormatting>
  <conditionalFormatting sqref="E12:R12">
    <cfRule type="expression" dxfId="10" priority="1">
      <formula>E11="SI SE REPORTA"</formula>
    </cfRule>
  </conditionalFormatting>
  <conditionalFormatting sqref="F10">
    <cfRule type="notContainsBlanks" dxfId="9" priority="4">
      <formula>LEN(TRIM(F10))&gt;0</formula>
    </cfRule>
  </conditionalFormatting>
  <conditionalFormatting sqref="F11:S11">
    <cfRule type="expression" dxfId="8" priority="2">
      <formula>E11="NO SE REPORTA"</formula>
    </cfRule>
    <cfRule type="expression" dxfId="7" priority="3">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7:H17" xr:uid="{00000000-0002-0000-1F00-000000000000}">
      <formula1>0</formula1>
    </dataValidation>
    <dataValidation type="whole" operator="greaterThanOrEqual" allowBlank="1" showInputMessage="1" showErrorMessage="1" errorTitle="ERROR" error="Valor en PESOS (sin centavos)" sqref="E18:H19" xr:uid="{00000000-0002-0000-1F00-000001000000}">
      <formula1>0</formula1>
    </dataValidation>
    <dataValidation type="decimal" allowBlank="1" showInputMessage="1" showErrorMessage="1" errorTitle="ERROR" error="Escriba un valor entre 0% y 100%" sqref="D56:D81" xr:uid="{00000000-0002-0000-1F00-000002000000}">
      <formula1>0</formula1>
      <formula2>1</formula2>
    </dataValidation>
    <dataValidation allowBlank="1" showInputMessage="1" showErrorMessage="1" sqref="D82 G50:J50 E56:G82" xr:uid="{00000000-0002-0000-1F00-000003000000}"/>
    <dataValidation type="list" allowBlank="1" showInputMessage="1" showErrorMessage="1" sqref="E11" xr:uid="{00000000-0002-0000-1F00-000004000000}">
      <formula1>REPORTE</formula1>
    </dataValidation>
    <dataValidation type="list" allowBlank="1" showInputMessage="1" showErrorMessage="1" sqref="E10" xr:uid="{00000000-0002-0000-1F00-000005000000}">
      <formula1>SI</formula1>
    </dataValidation>
  </dataValidations>
  <hyperlinks>
    <hyperlink ref="B9" location="'ANEXO 3'!A1" display="VOLVER AL INDICE" xr:uid="{00000000-0004-0000-1F00-000000000000}"/>
    <hyperlink ref="E91" r:id="rId1" xr:uid="{00000000-0004-0000-1F00-000001000000}"/>
  </hyperlinks>
  <pageMargins left="0.25" right="0.25" top="0.75" bottom="0.75" header="0.3" footer="0.3"/>
  <pageSetup paperSize="178" orientation="landscape" horizontalDpi="1200" verticalDpi="1200" r:id="rId2"/>
  <drawing r:id="rId3"/>
  <legacy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8"/>
  <dimension ref="A1:C28"/>
  <sheetViews>
    <sheetView showGridLines="0" zoomScale="98" zoomScaleNormal="98" workbookViewId="0">
      <selection activeCell="C7" sqref="C7"/>
    </sheetView>
  </sheetViews>
  <sheetFormatPr baseColWidth="10" defaultRowHeight="14.4"/>
  <cols>
    <col min="1" max="1" width="8.109375" bestFit="1" customWidth="1"/>
    <col min="2" max="2" width="12.88671875" bestFit="1" customWidth="1"/>
    <col min="3" max="3" width="68.88671875" customWidth="1"/>
  </cols>
  <sheetData>
    <row r="1" spans="1:3">
      <c r="A1" s="308" t="s">
        <v>1179</v>
      </c>
    </row>
    <row r="3" spans="1:3">
      <c r="B3" s="147" t="s">
        <v>1177</v>
      </c>
    </row>
    <row r="5" spans="1:3">
      <c r="B5" s="108"/>
      <c r="C5" s="146"/>
    </row>
    <row r="6" spans="1:3">
      <c r="A6" s="132" t="s">
        <v>1175</v>
      </c>
      <c r="B6" s="132" t="s">
        <v>1176</v>
      </c>
      <c r="C6" s="132" t="s">
        <v>1174</v>
      </c>
    </row>
    <row r="7" spans="1:3">
      <c r="A7" s="306"/>
      <c r="B7" s="306"/>
      <c r="C7" s="307"/>
    </row>
    <row r="8" spans="1:3">
      <c r="A8" s="306"/>
      <c r="B8" s="306"/>
      <c r="C8" s="307"/>
    </row>
    <row r="9" spans="1:3">
      <c r="A9" s="306"/>
      <c r="B9" s="306"/>
      <c r="C9" s="307"/>
    </row>
    <row r="10" spans="1:3">
      <c r="A10" s="306"/>
      <c r="B10" s="306"/>
      <c r="C10" s="307"/>
    </row>
    <row r="11" spans="1:3">
      <c r="A11" s="306"/>
      <c r="B11" s="306"/>
      <c r="C11" s="307"/>
    </row>
    <row r="12" spans="1:3">
      <c r="A12" s="306"/>
      <c r="B12" s="306"/>
      <c r="C12" s="307"/>
    </row>
    <row r="13" spans="1:3">
      <c r="A13" s="306"/>
      <c r="B13" s="306"/>
      <c r="C13" s="307"/>
    </row>
    <row r="14" spans="1:3">
      <c r="A14" s="306"/>
      <c r="B14" s="306"/>
      <c r="C14" s="307"/>
    </row>
    <row r="15" spans="1:3">
      <c r="A15" s="306"/>
      <c r="B15" s="306"/>
      <c r="C15" s="307"/>
    </row>
    <row r="16" spans="1:3">
      <c r="A16" s="306"/>
      <c r="B16" s="306"/>
      <c r="C16" s="307"/>
    </row>
    <row r="17" spans="1:3">
      <c r="A17" s="306"/>
      <c r="B17" s="306"/>
      <c r="C17" s="307"/>
    </row>
    <row r="18" spans="1:3">
      <c r="A18" s="306"/>
      <c r="B18" s="306"/>
      <c r="C18" s="307"/>
    </row>
    <row r="19" spans="1:3">
      <c r="A19" s="306"/>
      <c r="B19" s="306"/>
      <c r="C19" s="307"/>
    </row>
    <row r="20" spans="1:3">
      <c r="A20" s="306"/>
      <c r="B20" s="306"/>
      <c r="C20" s="307"/>
    </row>
    <row r="21" spans="1:3">
      <c r="A21" s="306"/>
      <c r="B21" s="306"/>
      <c r="C21" s="307"/>
    </row>
    <row r="22" spans="1:3">
      <c r="A22" s="306"/>
      <c r="B22" s="306"/>
      <c r="C22" s="307"/>
    </row>
    <row r="23" spans="1:3">
      <c r="A23" s="306"/>
      <c r="B23" s="306"/>
      <c r="C23" s="307"/>
    </row>
    <row r="24" spans="1:3">
      <c r="A24" s="306"/>
      <c r="B24" s="306"/>
      <c r="C24" s="307"/>
    </row>
    <row r="25" spans="1:3">
      <c r="A25" s="306"/>
      <c r="B25" s="306"/>
      <c r="C25" s="307"/>
    </row>
    <row r="26" spans="1:3">
      <c r="A26" s="306"/>
      <c r="B26" s="306"/>
      <c r="C26" s="307"/>
    </row>
    <row r="27" spans="1:3">
      <c r="A27" s="306"/>
      <c r="B27" s="306"/>
      <c r="C27" s="307"/>
    </row>
    <row r="28" spans="1:3">
      <c r="A28" s="306"/>
      <c r="B28" s="306"/>
      <c r="C28" s="307"/>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xr:uid="{00000000-0004-0000-2000-000000000000}"/>
  </hyperlinks>
  <pageMargins left="0.7" right="0.7" top="0.75" bottom="0.75" header="0.3" footer="0.3"/>
  <pageSetup paperSize="178"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9"/>
  <dimension ref="A1:I42"/>
  <sheetViews>
    <sheetView topLeftCell="A13" workbookViewId="0">
      <selection activeCell="B3" sqref="B3"/>
    </sheetView>
  </sheetViews>
  <sheetFormatPr baseColWidth="10" defaultRowHeight="14.4"/>
  <cols>
    <col min="1" max="1" width="3.44140625" bestFit="1" customWidth="1"/>
    <col min="2" max="2" width="42.88671875" customWidth="1"/>
    <col min="3" max="3" width="1" customWidth="1"/>
    <col min="6" max="6" width="11.109375" customWidth="1"/>
  </cols>
  <sheetData>
    <row r="1" spans="1:9">
      <c r="A1" s="298" t="s">
        <v>1179</v>
      </c>
    </row>
    <row r="2" spans="1:9">
      <c r="B2" t="s">
        <v>1181</v>
      </c>
    </row>
    <row r="3" spans="1:9">
      <c r="C3" t="s">
        <v>876</v>
      </c>
    </row>
    <row r="5" spans="1:9">
      <c r="A5" s="155" t="s">
        <v>1141</v>
      </c>
      <c r="B5" s="155" t="s">
        <v>1142</v>
      </c>
      <c r="C5" t="s">
        <v>876</v>
      </c>
      <c r="D5" s="265">
        <f>IF(SUM('1POMCAS'!E57:E59)=1,SUM('1POMCAS'!E57:E59),"ERROR: LA SUMA DE LA COLUMNA DEBE SER 100%")</f>
        <v>1</v>
      </c>
      <c r="E5" s="266" t="str">
        <f ca="1">IF(+'1POMCAS'!G57*'1POMCAS'!$E57+'1POMCAS'!G58*'1POMCAS'!$E58+'1POMCAS'!G59*'1POMCAS'!$E59=0,"N.A.",'1POMCAS'!G57*'1POMCAS'!$E57+'1POMCAS'!G58*'1POMCAS'!$E58+'1POMCAS'!G59*'1POMCAS'!$E59)</f>
        <v>N.A.</v>
      </c>
      <c r="F5" s="266" t="str">
        <f ca="1">IF(+'1POMCAS'!H57*'1POMCAS'!$E57+'1POMCAS'!H58*'1POMCAS'!$E58+'1POMCAS'!H59*'1POMCAS'!$E59=0,"N.A.",'1POMCAS'!H57*'1POMCAS'!$E57+'1POMCAS'!H58*'1POMCAS'!$E58+'1POMCAS'!H59*'1POMCAS'!$E59)</f>
        <v>N.A.</v>
      </c>
      <c r="G5" s="266" t="str">
        <f ca="1">IF(+'1POMCAS'!I57*'1POMCAS'!$E57+'1POMCAS'!I58*'1POMCAS'!$E58+'1POMCAS'!I59*'1POMCAS'!$E59=0,"N.A.",'1POMCAS'!I57*'1POMCAS'!$E57+'1POMCAS'!I58*'1POMCAS'!$E58+'1POMCAS'!I59*'1POMCAS'!$E59)</f>
        <v>N.A.</v>
      </c>
      <c r="H5" s="266">
        <f ca="1">IF(+'1POMCAS'!J57*'1POMCAS'!$E57+'1POMCAS'!J58*'1POMCAS'!$E58+'1POMCAS'!J59*'1POMCAS'!$E59=0,"N.A.",'1POMCAS'!J57*'1POMCAS'!$E57+'1POMCAS'!J58*'1POMCAS'!$E58+'1POMCAS'!J59*'1POMCAS'!$E59)</f>
        <v>1</v>
      </c>
      <c r="I5" s="266"/>
    </row>
    <row r="6" spans="1:9">
      <c r="A6" s="155" t="s">
        <v>1143</v>
      </c>
      <c r="B6" s="155" t="s">
        <v>130</v>
      </c>
      <c r="C6" t="s">
        <v>876</v>
      </c>
      <c r="D6" s="267"/>
      <c r="E6" s="267"/>
      <c r="F6" s="267"/>
      <c r="G6" s="267"/>
      <c r="H6" s="267"/>
      <c r="I6" s="267"/>
    </row>
    <row r="7" spans="1:9">
      <c r="A7" s="155" t="s">
        <v>1144</v>
      </c>
      <c r="B7" s="155" t="s">
        <v>161</v>
      </c>
      <c r="C7" t="s">
        <v>876</v>
      </c>
      <c r="D7" s="267"/>
      <c r="E7" s="267"/>
      <c r="F7" s="267"/>
      <c r="G7" s="267"/>
      <c r="H7" s="267"/>
      <c r="I7" s="267"/>
    </row>
    <row r="8" spans="1:9">
      <c r="A8" s="155" t="s">
        <v>1145</v>
      </c>
      <c r="B8" s="155" t="s">
        <v>182</v>
      </c>
      <c r="C8" t="s">
        <v>876</v>
      </c>
      <c r="D8" s="267"/>
      <c r="E8" s="267"/>
      <c r="F8" s="267"/>
      <c r="G8" s="267"/>
      <c r="H8" s="267"/>
      <c r="I8" s="267"/>
    </row>
    <row r="9" spans="1:9">
      <c r="A9" s="155" t="s">
        <v>1146</v>
      </c>
      <c r="B9" s="155" t="s">
        <v>199</v>
      </c>
      <c r="C9" t="s">
        <v>876</v>
      </c>
      <c r="D9" s="267"/>
      <c r="E9" s="267"/>
      <c r="F9" s="267"/>
      <c r="G9" s="267"/>
      <c r="H9" s="267"/>
      <c r="I9" s="267"/>
    </row>
    <row r="10" spans="1:9">
      <c r="A10" s="155" t="s">
        <v>1147</v>
      </c>
      <c r="B10" s="155" t="s">
        <v>219</v>
      </c>
      <c r="C10" t="s">
        <v>876</v>
      </c>
      <c r="D10" s="267"/>
      <c r="E10" s="267"/>
      <c r="F10" s="267"/>
      <c r="G10" s="267"/>
      <c r="H10" s="267"/>
      <c r="I10" s="267"/>
    </row>
    <row r="11" spans="1:9">
      <c r="A11" s="155" t="s">
        <v>1148</v>
      </c>
      <c r="B11" s="155" t="s">
        <v>279</v>
      </c>
      <c r="C11" t="s">
        <v>876</v>
      </c>
      <c r="D11" s="267"/>
      <c r="E11" s="267"/>
      <c r="F11" s="267"/>
      <c r="G11" s="267"/>
      <c r="H11" s="267"/>
      <c r="I11" s="267"/>
    </row>
    <row r="12" spans="1:9">
      <c r="A12" s="155" t="s">
        <v>1149</v>
      </c>
      <c r="B12" s="155" t="s">
        <v>313</v>
      </c>
      <c r="C12" t="s">
        <v>876</v>
      </c>
      <c r="D12" s="267"/>
      <c r="E12" s="267"/>
      <c r="F12" s="267"/>
      <c r="G12" s="267"/>
      <c r="H12" s="267"/>
      <c r="I12" s="267"/>
    </row>
    <row r="13" spans="1:9">
      <c r="A13" s="155" t="s">
        <v>1150</v>
      </c>
      <c r="B13" s="155" t="s">
        <v>347</v>
      </c>
      <c r="C13" t="s">
        <v>876</v>
      </c>
      <c r="D13" s="267"/>
      <c r="E13" s="267"/>
      <c r="F13" s="267"/>
      <c r="G13" s="267"/>
      <c r="H13" s="267"/>
      <c r="I13" s="267"/>
    </row>
    <row r="14" spans="1:9">
      <c r="A14" s="155" t="s">
        <v>1151</v>
      </c>
      <c r="B14" s="155" t="s">
        <v>395</v>
      </c>
      <c r="C14" t="s">
        <v>876</v>
      </c>
      <c r="D14" s="268"/>
      <c r="E14" s="268"/>
      <c r="F14" s="268"/>
      <c r="G14" s="268"/>
      <c r="H14" s="268"/>
      <c r="I14" s="268"/>
    </row>
    <row r="15" spans="1:9">
      <c r="A15" s="155" t="s">
        <v>1152</v>
      </c>
      <c r="B15" s="155" t="s">
        <v>417</v>
      </c>
      <c r="C15" t="s">
        <v>876</v>
      </c>
      <c r="D15" s="246">
        <f>IF(SUM('11Forest'!E26:E29)='11Forest'!E20,SUM('11Forest'!E26:E29),"ERROR: LA SUMA DE LA COLUMNA DEBE SER IGUAL A LA META ANUAL")</f>
        <v>0</v>
      </c>
      <c r="E15" s="246">
        <f>IF(SUM('11Forest'!F26:F29)='11Forest'!E20,SUM('11Forest'!F26:F29),"ERROR: LA SUMA DE LA COLUMNA DEBE SER IGUAL A LA META ANUAL")</f>
        <v>0</v>
      </c>
      <c r="F15" s="246">
        <f>IF(SUM('11Forest'!G26:G29)='11Forest'!E20,SUM('11Forest'!G26:G29),"ERROR: LA SUMA DE LA COLUMNA DEBE SER IGUAL A LA META ANUAL")</f>
        <v>0</v>
      </c>
      <c r="G15" s="246">
        <f>IF(SUM('11Forest'!H26:H29)='11Forest'!E20,SUM('11Forest'!H26:H29),"ERROR: LA SUMA DE LA COLUMNA DEBE SER IGUAL A LA META ANUAL")</f>
        <v>0</v>
      </c>
      <c r="H15" s="246"/>
      <c r="I15" s="246">
        <f>IF(SUM('11Forest'!E25:H25)='11Forest'!E20,SUM('11Forest'!E25:H25),"ERROR: LA SUMA DE LA COLUMNA DEBE SER IGUAL A LA META ANUAL")</f>
        <v>0</v>
      </c>
    </row>
    <row r="16" spans="1:9">
      <c r="A16" s="155" t="s">
        <v>1153</v>
      </c>
      <c r="B16" s="155" t="s">
        <v>448</v>
      </c>
      <c r="C16" t="s">
        <v>876</v>
      </c>
      <c r="D16" s="269"/>
      <c r="E16" s="269"/>
      <c r="F16" s="269"/>
      <c r="G16" s="269"/>
      <c r="H16" s="269"/>
      <c r="I16" s="269"/>
    </row>
    <row r="17" spans="1:9">
      <c r="A17" s="155" t="s">
        <v>1154</v>
      </c>
      <c r="B17" s="155" t="s">
        <v>479</v>
      </c>
      <c r="C17" t="s">
        <v>876</v>
      </c>
      <c r="D17" s="267"/>
      <c r="E17" s="267"/>
      <c r="F17" s="267"/>
      <c r="G17" s="267"/>
      <c r="H17" s="267"/>
      <c r="I17" s="267"/>
    </row>
    <row r="18" spans="1:9">
      <c r="A18" s="155" t="s">
        <v>1155</v>
      </c>
      <c r="B18" s="155" t="s">
        <v>525</v>
      </c>
      <c r="C18" t="s">
        <v>876</v>
      </c>
      <c r="D18" s="267"/>
      <c r="E18" s="267"/>
      <c r="F18" s="267"/>
      <c r="G18" s="267"/>
      <c r="H18" s="267"/>
      <c r="I18" s="267"/>
    </row>
    <row r="19" spans="1:9">
      <c r="A19" s="155" t="s">
        <v>1156</v>
      </c>
      <c r="B19" s="155" t="s">
        <v>556</v>
      </c>
      <c r="C19" t="s">
        <v>876</v>
      </c>
      <c r="D19" s="267"/>
      <c r="E19" s="267"/>
      <c r="F19" s="267"/>
      <c r="G19" s="267"/>
      <c r="H19" s="267"/>
      <c r="I19" s="267"/>
    </row>
    <row r="20" spans="1:9">
      <c r="A20" s="155" t="s">
        <v>1157</v>
      </c>
      <c r="B20" s="155" t="s">
        <v>584</v>
      </c>
      <c r="C20" t="s">
        <v>876</v>
      </c>
      <c r="D20" s="265">
        <f>IF(SUM('16MIZC'!H22:H26)=1,SUM('16MIZC'!H22:H26),"ERROR: LA SUMA DE LA COLUMNA DEBE SER 100%")</f>
        <v>0.99999999999999989</v>
      </c>
      <c r="E20" s="270">
        <f>SUM('16MIZC'!I22:I26)</f>
        <v>0.99999999999999989</v>
      </c>
      <c r="F20" s="267"/>
      <c r="G20" s="267"/>
      <c r="H20" s="267"/>
      <c r="I20" s="267"/>
    </row>
    <row r="21" spans="1:9">
      <c r="A21" s="155" t="s">
        <v>1158</v>
      </c>
      <c r="B21" s="155" t="s">
        <v>629</v>
      </c>
      <c r="C21" t="s">
        <v>876</v>
      </c>
      <c r="D21" s="267"/>
      <c r="E21" s="267"/>
      <c r="F21" s="267"/>
      <c r="G21" s="267"/>
      <c r="H21" s="267"/>
      <c r="I21" s="267"/>
    </row>
    <row r="22" spans="1:9">
      <c r="A22" s="155" t="s">
        <v>1159</v>
      </c>
      <c r="B22" s="155" t="s">
        <v>649</v>
      </c>
      <c r="C22" t="s">
        <v>876</v>
      </c>
      <c r="D22" s="265">
        <f>IF(SUM('18Sector'!D35:D41)=1,SUM('18Sector'!D35:D41),"ERROR: LA SUMA DE LA COLUMNA DEBE SER 100%")</f>
        <v>1</v>
      </c>
      <c r="E22" s="267"/>
      <c r="F22" s="267"/>
      <c r="G22" s="267"/>
      <c r="H22" s="267"/>
      <c r="I22" s="267"/>
    </row>
    <row r="23" spans="1:9">
      <c r="A23" s="155" t="s">
        <v>1160</v>
      </c>
      <c r="B23" s="155" t="s">
        <v>697</v>
      </c>
      <c r="C23" t="s">
        <v>876</v>
      </c>
      <c r="D23" s="265" t="str">
        <f>IF(SUM('19GAU'!H25:H31)=1,SUM('19GAU'!H25:H31),"ERROR: LA SUMA DE LA COLUMNA DEBE SER 100%")</f>
        <v>ERROR: LA SUMA DE LA COLUMNA DEBE SER 100%</v>
      </c>
      <c r="E23" s="270">
        <f>SUM('19GAU'!I22:I31)</f>
        <v>1</v>
      </c>
      <c r="F23" s="267"/>
      <c r="G23" s="267"/>
      <c r="H23" s="267"/>
      <c r="I23" s="267"/>
    </row>
    <row r="24" spans="1:9">
      <c r="A24" s="155" t="s">
        <v>1161</v>
      </c>
      <c r="B24" s="155" t="s">
        <v>767</v>
      </c>
      <c r="C24" t="s">
        <v>876</v>
      </c>
      <c r="D24" s="265">
        <f>IF(SUM('20Negoc'!D32:D37)=1,SUM('20Negoc'!D32:D37),"ERROR: LA SUMA DE LA COLUMNA DEBE SER 100%")</f>
        <v>1</v>
      </c>
      <c r="E24" s="271">
        <f>+'20Negoc'!J26/'20Negoc'!I26</f>
        <v>1</v>
      </c>
      <c r="F24" s="271">
        <f>+'20Negoc'!K26/'20Negoc'!J26</f>
        <v>0.98055009999999998</v>
      </c>
      <c r="G24" s="267"/>
      <c r="H24" s="267"/>
      <c r="I24" s="267"/>
    </row>
    <row r="25" spans="1:9">
      <c r="A25" s="155" t="s">
        <v>1162</v>
      </c>
      <c r="B25" s="155" t="s">
        <v>828</v>
      </c>
      <c r="C25" t="s">
        <v>876</v>
      </c>
      <c r="D25" s="267"/>
      <c r="E25" s="267"/>
      <c r="F25" s="267"/>
      <c r="G25" s="267"/>
      <c r="H25" s="267"/>
      <c r="I25" s="267"/>
    </row>
    <row r="26" spans="1:9">
      <c r="A26" s="155" t="s">
        <v>1163</v>
      </c>
      <c r="B26" s="155" t="s">
        <v>875</v>
      </c>
      <c r="C26" t="s">
        <v>876</v>
      </c>
      <c r="D26" s="265">
        <f>IF(SUM('22Autor'!F112:F116)=1,SUM('22Autor'!F112:F116),"ERROR: LA SUMA DE LA COLUMNA DEBE SER 100%")</f>
        <v>1</v>
      </c>
      <c r="E26" s="267"/>
      <c r="F26" s="267"/>
      <c r="G26" s="267"/>
      <c r="H26" s="267"/>
      <c r="I26" s="267"/>
    </row>
    <row r="27" spans="1:9">
      <c r="A27" s="155" t="s">
        <v>1164</v>
      </c>
      <c r="B27" s="155" t="s">
        <v>939</v>
      </c>
      <c r="C27" t="s">
        <v>876</v>
      </c>
      <c r="D27" s="267"/>
      <c r="E27" s="267"/>
      <c r="F27" s="267"/>
      <c r="G27" s="267"/>
      <c r="H27" s="267"/>
      <c r="I27" s="267"/>
    </row>
    <row r="28" spans="1:9" ht="15" thickBot="1">
      <c r="A28" s="155" t="s">
        <v>1165</v>
      </c>
      <c r="B28" s="155" t="s">
        <v>960</v>
      </c>
      <c r="C28" t="s">
        <v>876</v>
      </c>
      <c r="D28" s="267"/>
      <c r="E28" s="267"/>
      <c r="F28" s="267"/>
      <c r="G28" s="267"/>
      <c r="H28" s="267"/>
      <c r="I28" s="267"/>
    </row>
    <row r="29" spans="1:9" ht="15" thickBot="1">
      <c r="A29" s="155" t="s">
        <v>1166</v>
      </c>
      <c r="B29" s="155" t="s">
        <v>989</v>
      </c>
      <c r="C29" t="s">
        <v>876</v>
      </c>
      <c r="D29" s="258" t="str">
        <f>IF(SUM('25Redes'!F79:F80)=1,"","ERROR: LA SUMA DE LAS PONDERACIONES DEBE SER 100%")</f>
        <v/>
      </c>
      <c r="E29" s="265" t="e">
        <f>+'25Redes'!E79*'25Redes'!F79+'25Redes'!E80*'25Redes'!F80</f>
        <v>#VALUE!</v>
      </c>
      <c r="F29" s="267"/>
      <c r="G29" s="267"/>
      <c r="H29" s="267"/>
      <c r="I29" s="267"/>
    </row>
    <row r="30" spans="1:9">
      <c r="A30" s="155" t="s">
        <v>1167</v>
      </c>
      <c r="B30" s="155" t="s">
        <v>1060</v>
      </c>
      <c r="C30" t="s">
        <v>876</v>
      </c>
      <c r="D30" s="267"/>
      <c r="E30" s="267"/>
      <c r="F30" s="267"/>
      <c r="G30" s="267"/>
      <c r="H30" s="267"/>
      <c r="I30" s="267"/>
    </row>
    <row r="31" spans="1:9">
      <c r="A31" s="155" t="s">
        <v>1168</v>
      </c>
      <c r="B31" s="155" t="s">
        <v>1107</v>
      </c>
      <c r="C31" t="s">
        <v>876</v>
      </c>
      <c r="D31" s="265">
        <f>IF(SUM('27Educa'!D56:D81)=1,SUM('27Educa'!D56:D81),"ERROR: LA SUMA DE LA COLUMNA DEBE SER 100%")</f>
        <v>1.0000000000000002</v>
      </c>
      <c r="E31" s="267"/>
      <c r="F31" s="267"/>
      <c r="G31" s="267"/>
      <c r="H31" s="267"/>
      <c r="I31" s="267"/>
    </row>
    <row r="32" spans="1:9">
      <c r="C32" t="s">
        <v>876</v>
      </c>
    </row>
    <row r="33" spans="3:6">
      <c r="C33" t="s">
        <v>876</v>
      </c>
      <c r="D33" s="299" t="s">
        <v>1231</v>
      </c>
      <c r="F33" s="303" t="s">
        <v>1233</v>
      </c>
    </row>
    <row r="34" spans="3:6">
      <c r="C34" t="s">
        <v>876</v>
      </c>
      <c r="D34" s="299" t="s">
        <v>1230</v>
      </c>
      <c r="F34" s="303" t="s">
        <v>1232</v>
      </c>
    </row>
    <row r="35" spans="3:6">
      <c r="C35" t="s">
        <v>876</v>
      </c>
    </row>
    <row r="36" spans="3:6">
      <c r="C36" t="s">
        <v>876</v>
      </c>
    </row>
    <row r="37" spans="3:6">
      <c r="C37" t="s">
        <v>876</v>
      </c>
    </row>
    <row r="38" spans="3:6">
      <c r="C38" t="s">
        <v>876</v>
      </c>
    </row>
    <row r="39" spans="3:6">
      <c r="C39" t="s">
        <v>876</v>
      </c>
    </row>
    <row r="40" spans="3:6">
      <c r="C40" t="s">
        <v>876</v>
      </c>
    </row>
    <row r="41" spans="3:6">
      <c r="C41" t="s">
        <v>876</v>
      </c>
    </row>
    <row r="42" spans="3:6">
      <c r="C42" t="s">
        <v>876</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5">
    <cfRule type="containsText" dxfId="6" priority="11" operator="containsText" text="ERROR">
      <formula>NOT(ISERROR(SEARCH("ERROR",D5)))</formula>
    </cfRule>
  </conditionalFormatting>
  <conditionalFormatting sqref="D20">
    <cfRule type="containsText" dxfId="5" priority="10" operator="containsText" text="ERROR">
      <formula>NOT(ISERROR(SEARCH("ERROR",D20)))</formula>
    </cfRule>
  </conditionalFormatting>
  <conditionalFormatting sqref="D22:D24">
    <cfRule type="containsText" dxfId="4" priority="7" operator="containsText" text="ERROR">
      <formula>NOT(ISERROR(SEARCH("ERROR",D22)))</formula>
    </cfRule>
  </conditionalFormatting>
  <conditionalFormatting sqref="D26">
    <cfRule type="containsText" dxfId="3" priority="2" operator="containsText" text="ERROR">
      <formula>NOT(ISERROR(SEARCH("ERROR",D26)))</formula>
    </cfRule>
  </conditionalFormatting>
  <conditionalFormatting sqref="D29">
    <cfRule type="containsText" dxfId="2" priority="3" operator="containsText" text="ERROR">
      <formula>NOT(ISERROR(SEARCH("ERROR",D29)))</formula>
    </cfRule>
  </conditionalFormatting>
  <conditionalFormatting sqref="D31">
    <cfRule type="containsText" dxfId="1" priority="12" operator="containsText" text="ERROR">
      <formula>NOT(ISERROR(SEARCH("ERROR",D31)))</formula>
    </cfRule>
  </conditionalFormatting>
  <conditionalFormatting sqref="D15:I15">
    <cfRule type="containsText" dxfId="0" priority="1" operator="containsText" text="ERROR">
      <formula>NOT(ISERROR(SEARCH("ERROR",D15)))</formula>
    </cfRule>
  </conditionalFormatting>
  <hyperlinks>
    <hyperlink ref="A1" location="'ANEXO 3'!A1" display="VOLVER AL INDICE" xr:uid="{00000000-0004-0000-2100-000000000000}"/>
  </hyperlinks>
  <pageMargins left="0.7" right="0.7" top="0.75" bottom="0.75" header="0.3" footer="0.3"/>
  <pageSetup paperSize="17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
  <sheetViews>
    <sheetView topLeftCell="A7" workbookViewId="0">
      <selection activeCell="C7" sqref="C7"/>
    </sheetView>
  </sheetViews>
  <sheetFormatPr baseColWidth="10" defaultRowHeight="14.4"/>
  <cols>
    <col min="1" max="1" width="5.88671875" customWidth="1"/>
    <col min="2" max="2" width="44.33203125" customWidth="1"/>
    <col min="3" max="3" width="68.5546875" customWidth="1"/>
    <col min="7" max="7" width="11.44140625" customWidth="1"/>
    <col min="8" max="8" width="15.5546875" hidden="1" customWidth="1"/>
    <col min="9" max="9" width="11.44140625" customWidth="1"/>
  </cols>
  <sheetData>
    <row r="1" spans="1:18" s="312" customFormat="1" ht="130.5" customHeight="1" thickBot="1">
      <c r="A1" s="323"/>
      <c r="B1" s="324"/>
      <c r="C1" s="325"/>
      <c r="D1"/>
      <c r="E1"/>
      <c r="F1"/>
      <c r="G1"/>
      <c r="H1"/>
      <c r="I1"/>
      <c r="J1"/>
      <c r="K1"/>
      <c r="L1"/>
      <c r="M1"/>
      <c r="N1"/>
      <c r="O1"/>
      <c r="P1"/>
      <c r="Q1"/>
      <c r="R1"/>
    </row>
    <row r="2" spans="1:18" s="313" customFormat="1" ht="39.75" customHeight="1" thickBot="1">
      <c r="A2" s="1338" t="s">
        <v>1661</v>
      </c>
      <c r="B2" s="1339"/>
      <c r="C2" s="1340"/>
      <c r="D2"/>
      <c r="E2"/>
      <c r="F2"/>
      <c r="G2"/>
      <c r="H2"/>
      <c r="I2"/>
      <c r="J2"/>
      <c r="K2"/>
      <c r="L2"/>
      <c r="M2"/>
      <c r="N2"/>
      <c r="O2"/>
      <c r="P2"/>
      <c r="Q2"/>
      <c r="R2"/>
    </row>
    <row r="4" spans="1:18" ht="15" thickBot="1"/>
    <row r="5" spans="1:18" s="314" customFormat="1" ht="23.25" customHeight="1">
      <c r="B5" s="315" t="s">
        <v>1249</v>
      </c>
      <c r="C5" s="682" t="s">
        <v>1276</v>
      </c>
      <c r="H5" s="314" t="s">
        <v>1250</v>
      </c>
    </row>
    <row r="6" spans="1:18" s="314" customFormat="1" ht="23.25" customHeight="1">
      <c r="B6" s="316" t="s">
        <v>1290</v>
      </c>
      <c r="C6" s="317" t="s">
        <v>1709</v>
      </c>
      <c r="H6" s="314" t="s">
        <v>1251</v>
      </c>
    </row>
    <row r="7" spans="1:18" s="314" customFormat="1" ht="23.25" customHeight="1">
      <c r="B7" s="316" t="s">
        <v>1291</v>
      </c>
      <c r="C7" s="317" t="s">
        <v>1800</v>
      </c>
      <c r="H7" s="314" t="s">
        <v>1252</v>
      </c>
    </row>
    <row r="8" spans="1:18" s="314" customFormat="1" ht="23.25" customHeight="1">
      <c r="B8" s="316" t="s">
        <v>39</v>
      </c>
      <c r="C8" s="317" t="s">
        <v>1954</v>
      </c>
      <c r="H8" s="314" t="s">
        <v>1253</v>
      </c>
    </row>
    <row r="9" spans="1:18" s="314" customFormat="1" ht="23.25" customHeight="1">
      <c r="B9" s="316" t="s">
        <v>41</v>
      </c>
      <c r="C9" s="317" t="s">
        <v>1956</v>
      </c>
      <c r="H9" s="314" t="s">
        <v>1254</v>
      </c>
    </row>
    <row r="10" spans="1:18" s="314" customFormat="1" ht="23.25" customHeight="1">
      <c r="B10" s="316" t="s">
        <v>42</v>
      </c>
      <c r="C10" s="437" t="s">
        <v>1955</v>
      </c>
      <c r="H10" s="314" t="s">
        <v>1255</v>
      </c>
    </row>
    <row r="11" spans="1:18" s="314" customFormat="1" ht="23.25" customHeight="1" thickBot="1">
      <c r="B11" s="318" t="s">
        <v>43</v>
      </c>
      <c r="C11" s="319" t="s">
        <v>1801</v>
      </c>
      <c r="H11" s="314" t="s">
        <v>1256</v>
      </c>
    </row>
    <row r="12" spans="1:18">
      <c r="H12" t="s">
        <v>1257</v>
      </c>
    </row>
    <row r="13" spans="1:18">
      <c r="H13" t="s">
        <v>1258</v>
      </c>
    </row>
    <row r="14" spans="1:18">
      <c r="H14" t="s">
        <v>1259</v>
      </c>
    </row>
    <row r="15" spans="1:18">
      <c r="H15" t="s">
        <v>1260</v>
      </c>
    </row>
    <row r="16" spans="1:18">
      <c r="H16" t="s">
        <v>1261</v>
      </c>
    </row>
    <row r="17" spans="8:8">
      <c r="H17" t="s">
        <v>1262</v>
      </c>
    </row>
    <row r="18" spans="8:8">
      <c r="H18" t="s">
        <v>1263</v>
      </c>
    </row>
    <row r="19" spans="8:8">
      <c r="H19" t="s">
        <v>1264</v>
      </c>
    </row>
    <row r="20" spans="8:8">
      <c r="H20" t="s">
        <v>1265</v>
      </c>
    </row>
    <row r="21" spans="8:8">
      <c r="H21" t="s">
        <v>1266</v>
      </c>
    </row>
    <row r="22" spans="8:8">
      <c r="H22" t="s">
        <v>1267</v>
      </c>
    </row>
    <row r="23" spans="8:8">
      <c r="H23" t="s">
        <v>1268</v>
      </c>
    </row>
    <row r="24" spans="8:8">
      <c r="H24" t="s">
        <v>1269</v>
      </c>
    </row>
    <row r="25" spans="8:8">
      <c r="H25" t="s">
        <v>1270</v>
      </c>
    </row>
    <row r="26" spans="8:8">
      <c r="H26" t="s">
        <v>1271</v>
      </c>
    </row>
    <row r="27" spans="8:8">
      <c r="H27" t="s">
        <v>1272</v>
      </c>
    </row>
    <row r="28" spans="8:8">
      <c r="H28" t="s">
        <v>1714</v>
      </c>
    </row>
    <row r="29" spans="8:8">
      <c r="H29" t="s">
        <v>1273</v>
      </c>
    </row>
    <row r="30" spans="8:8">
      <c r="H30" t="s">
        <v>1274</v>
      </c>
    </row>
    <row r="31" spans="8:8">
      <c r="H31" t="s">
        <v>1275</v>
      </c>
    </row>
    <row r="32" spans="8:8">
      <c r="H32" t="s">
        <v>1276</v>
      </c>
    </row>
    <row r="33" spans="8:8">
      <c r="H33" t="s">
        <v>1277</v>
      </c>
    </row>
    <row r="34" spans="8:8">
      <c r="H34" t="s">
        <v>1278</v>
      </c>
    </row>
    <row r="35" spans="8:8">
      <c r="H35" t="s">
        <v>1279</v>
      </c>
    </row>
    <row r="36" spans="8:8">
      <c r="H36" t="s">
        <v>1280</v>
      </c>
    </row>
    <row r="37" spans="8:8">
      <c r="H37" t="s">
        <v>1281</v>
      </c>
    </row>
    <row r="39" spans="8:8">
      <c r="H39" t="s">
        <v>1282</v>
      </c>
    </row>
    <row r="40" spans="8:8">
      <c r="H40" t="s">
        <v>1283</v>
      </c>
    </row>
    <row r="41" spans="8:8">
      <c r="H41" t="s">
        <v>1284</v>
      </c>
    </row>
    <row r="42" spans="8:8">
      <c r="H42" t="s">
        <v>1285</v>
      </c>
    </row>
    <row r="43" spans="8:8">
      <c r="H43" t="s">
        <v>1286</v>
      </c>
    </row>
    <row r="44" spans="8:8">
      <c r="H44" t="s">
        <v>1287</v>
      </c>
    </row>
    <row r="45" spans="8:8">
      <c r="H45" t="s">
        <v>1288</v>
      </c>
    </row>
    <row r="46" spans="8:8">
      <c r="H46" t="s">
        <v>1289</v>
      </c>
    </row>
    <row r="47" spans="8:8">
      <c r="H47" t="s">
        <v>1702</v>
      </c>
    </row>
    <row r="48" spans="8:8">
      <c r="H48" t="s">
        <v>1703</v>
      </c>
    </row>
    <row r="49" spans="8:8">
      <c r="H49" t="s">
        <v>1704</v>
      </c>
    </row>
    <row r="50" spans="8:8">
      <c r="H50" t="s">
        <v>1705</v>
      </c>
    </row>
    <row r="51" spans="8:8">
      <c r="H51" t="s">
        <v>1706</v>
      </c>
    </row>
    <row r="52" spans="8:8">
      <c r="H52" t="s">
        <v>1707</v>
      </c>
    </row>
    <row r="53" spans="8:8">
      <c r="H53" t="s">
        <v>1708</v>
      </c>
    </row>
    <row r="54" spans="8:8">
      <c r="H54" t="s">
        <v>1709</v>
      </c>
    </row>
    <row r="55" spans="8:8">
      <c r="H55" t="s">
        <v>1710</v>
      </c>
    </row>
    <row r="56" spans="8:8">
      <c r="H56" t="s">
        <v>1711</v>
      </c>
    </row>
    <row r="57" spans="8:8">
      <c r="H57" t="s">
        <v>1712</v>
      </c>
    </row>
    <row r="58" spans="8:8">
      <c r="H58" t="s">
        <v>1713</v>
      </c>
    </row>
  </sheetData>
  <mergeCells count="1">
    <mergeCell ref="A2:C2"/>
  </mergeCells>
  <dataValidations count="2">
    <dataValidation type="list" allowBlank="1" showInputMessage="1" showErrorMessage="1" prompt="Seleccione el perido a reportar" sqref="C6" xr:uid="{00000000-0002-0000-0300-000000000000}">
      <formula1>$H$39:$H$58</formula1>
    </dataValidation>
    <dataValidation type="list" allowBlank="1" showInputMessage="1" showErrorMessage="1" prompt="Seleccione la CAR de la cual incorporara la información" sqref="C5" xr:uid="{00000000-0002-0000-0300-000001000000}">
      <formula1>Lista_CAR</formula1>
    </dataValidation>
  </dataValidations>
  <hyperlinks>
    <hyperlink ref="C10" r:id="rId1" display="gescaf@crautonoma.gov.co" xr:uid="{00000000-0004-0000-0300-000000000000}"/>
  </hyperlinks>
  <pageMargins left="0.7" right="0.7" top="0.75" bottom="0.75" header="0.3" footer="0.3"/>
  <pageSetup paperSize="0" orientation="portrait"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4A1A9-462C-4500-B64F-081FED848C09}">
  <sheetPr>
    <pageSetUpPr fitToPage="1"/>
  </sheetPr>
  <dimension ref="A1:BL313"/>
  <sheetViews>
    <sheetView topLeftCell="A5" zoomScaleNormal="100" workbookViewId="0">
      <pane xSplit="1" ySplit="2" topLeftCell="P237" activePane="bottomRight" state="frozen"/>
      <selection activeCell="A5" sqref="A5"/>
      <selection pane="topRight" activeCell="B5" sqref="B5"/>
      <selection pane="bottomLeft" activeCell="A7" sqref="A7"/>
      <selection pane="bottomRight" activeCell="AZ299" sqref="AZ299"/>
    </sheetView>
  </sheetViews>
  <sheetFormatPr baseColWidth="10" defaultColWidth="11.44140625" defaultRowHeight="47.4" customHeight="1"/>
  <cols>
    <col min="1" max="1" width="67.109375" style="861" customWidth="1"/>
    <col min="2" max="2" width="19.88671875" style="861" customWidth="1"/>
    <col min="3" max="3" width="24.109375" style="861" customWidth="1"/>
    <col min="4" max="4" width="13" style="1242" customWidth="1"/>
    <col min="5" max="7" width="12.33203125" style="1242" customWidth="1"/>
    <col min="8" max="11" width="12.6640625" style="1242" customWidth="1"/>
    <col min="12" max="14" width="16.109375" style="1242" customWidth="1"/>
    <col min="15" max="15" width="15.6640625" style="1242" customWidth="1"/>
    <col min="16" max="18" width="16.33203125" style="1242" customWidth="1"/>
    <col min="19" max="19" width="76.33203125" style="861" customWidth="1"/>
    <col min="20" max="20" width="26.109375" style="861" customWidth="1"/>
    <col min="21" max="21" width="20.88671875" style="861" customWidth="1"/>
    <col min="22" max="22" width="23.44140625" style="861" customWidth="1"/>
    <col min="23" max="24" width="20.88671875" style="861" customWidth="1"/>
    <col min="25" max="25" width="19.44140625" style="1242" customWidth="1"/>
    <col min="26" max="26" width="15.5546875" style="1242" customWidth="1"/>
    <col min="27" max="27" width="28.33203125" style="1242" customWidth="1"/>
    <col min="28" max="29" width="18" style="861" customWidth="1"/>
    <col min="30" max="32" width="21" style="861" customWidth="1"/>
    <col min="33" max="33" width="38.6640625" style="861" customWidth="1"/>
    <col min="34" max="34" width="25" style="861" customWidth="1"/>
    <col min="35" max="35" width="24.6640625" style="861" customWidth="1"/>
    <col min="36" max="36" width="26.88671875" style="861" customWidth="1"/>
    <col min="37" max="37" width="30.5546875" style="861" customWidth="1"/>
    <col min="38" max="38" width="19.33203125" style="1245" customWidth="1"/>
    <col min="39" max="39" width="26.44140625" style="1245" customWidth="1"/>
    <col min="40" max="42" width="27.44140625" style="861" customWidth="1"/>
    <col min="43" max="43" width="20.88671875" style="1242" customWidth="1"/>
    <col min="44" max="44" width="30.5546875" style="861" customWidth="1"/>
    <col min="45" max="45" width="27.88671875" style="861" customWidth="1"/>
    <col min="46" max="50" width="25.5546875" style="861" customWidth="1"/>
    <col min="51" max="51" width="20.6640625" style="861" customWidth="1"/>
    <col min="52" max="52" width="30.6640625" style="861" customWidth="1"/>
    <col min="53" max="53" width="31.88671875" style="861" customWidth="1"/>
    <col min="54" max="56" width="22.109375" style="861" customWidth="1"/>
    <col min="57" max="57" width="25" style="861" customWidth="1"/>
    <col min="58" max="58" width="23" style="861" customWidth="1"/>
    <col min="59" max="59" width="39.109375" style="861" customWidth="1"/>
    <col min="60" max="60" width="20.44140625" style="861" customWidth="1"/>
    <col min="61" max="16384" width="11.44140625" style="861"/>
  </cols>
  <sheetData>
    <row r="1" spans="1:61" ht="82.2" customHeight="1">
      <c r="A1" s="1373"/>
      <c r="B1" s="1374"/>
      <c r="C1" s="1375"/>
      <c r="D1" s="1375"/>
      <c r="E1" s="1375"/>
      <c r="F1" s="1375"/>
      <c r="G1" s="1375"/>
      <c r="H1" s="1375"/>
      <c r="I1" s="1375"/>
      <c r="J1" s="1375"/>
      <c r="K1" s="1375"/>
      <c r="L1" s="1375"/>
      <c r="M1" s="1375"/>
      <c r="N1" s="1375"/>
      <c r="O1" s="1375"/>
      <c r="P1" s="1375"/>
      <c r="Q1" s="1375"/>
      <c r="R1" s="1375"/>
      <c r="S1" s="1375"/>
      <c r="T1" s="1375"/>
      <c r="U1" s="1375"/>
      <c r="V1" s="1375"/>
      <c r="W1" s="1375"/>
      <c r="X1" s="1375"/>
      <c r="Y1" s="1375"/>
      <c r="Z1" s="1375"/>
      <c r="AA1" s="1375"/>
      <c r="AB1" s="1375"/>
      <c r="AC1" s="1375"/>
      <c r="AD1" s="1375"/>
      <c r="AE1" s="1375"/>
      <c r="AF1" s="1375"/>
      <c r="AG1" s="1375"/>
      <c r="AH1" s="1375"/>
      <c r="AI1" s="1375"/>
      <c r="AJ1" s="1375"/>
      <c r="AK1" s="1375"/>
      <c r="AL1" s="1375"/>
      <c r="AM1" s="1375"/>
      <c r="AN1" s="1375"/>
      <c r="AO1" s="1375"/>
      <c r="AP1" s="1375"/>
      <c r="AQ1" s="1375"/>
      <c r="AR1" s="1375"/>
      <c r="AS1" s="1375"/>
      <c r="AT1" s="1375"/>
      <c r="AU1" s="1375"/>
      <c r="AV1" s="1375"/>
      <c r="AW1" s="1375"/>
      <c r="AX1" s="1375"/>
      <c r="AY1" s="1375"/>
      <c r="AZ1" s="1375"/>
      <c r="BA1" s="1375"/>
      <c r="BB1" s="1375"/>
      <c r="BC1" s="1375"/>
      <c r="BD1" s="1375"/>
      <c r="BE1" s="1375"/>
      <c r="BF1" s="1375"/>
      <c r="BG1" s="1375"/>
      <c r="BH1" s="1375"/>
    </row>
    <row r="2" spans="1:61" s="862" customFormat="1" ht="47.4" customHeight="1">
      <c r="A2" s="1376" t="s">
        <v>1709</v>
      </c>
      <c r="B2" s="1377"/>
      <c r="C2" s="1377"/>
      <c r="D2" s="1377"/>
      <c r="E2" s="1377"/>
      <c r="F2" s="1377"/>
      <c r="G2" s="1377"/>
      <c r="H2" s="1377"/>
      <c r="I2" s="1377"/>
      <c r="J2" s="1377"/>
      <c r="K2" s="1377"/>
      <c r="L2" s="1377"/>
      <c r="M2" s="1377"/>
      <c r="N2" s="1377"/>
      <c r="O2" s="1377"/>
      <c r="P2" s="1377"/>
      <c r="Q2" s="1377"/>
      <c r="R2" s="1377"/>
      <c r="S2" s="1377"/>
      <c r="T2" s="1377"/>
      <c r="U2" s="1377"/>
      <c r="V2" s="1377"/>
      <c r="W2" s="1377"/>
      <c r="X2" s="1377"/>
      <c r="Y2" s="1377"/>
      <c r="Z2" s="1377"/>
      <c r="AA2" s="1377"/>
      <c r="AB2" s="1377"/>
      <c r="AC2" s="1377"/>
      <c r="AD2" s="1377"/>
      <c r="AE2" s="1377"/>
      <c r="AF2" s="1377"/>
      <c r="AG2" s="1377"/>
      <c r="AH2" s="1377"/>
      <c r="AI2" s="1377"/>
      <c r="AJ2" s="1377"/>
      <c r="AK2" s="1377"/>
      <c r="AL2" s="1377"/>
      <c r="AM2" s="1377"/>
      <c r="AN2" s="1377"/>
      <c r="AO2" s="1377"/>
      <c r="AP2" s="1377"/>
      <c r="AQ2" s="1377"/>
      <c r="AR2" s="1377"/>
      <c r="AS2" s="1377"/>
      <c r="AT2" s="1377"/>
      <c r="AU2" s="1377"/>
      <c r="AV2" s="1377"/>
      <c r="AW2" s="1377"/>
      <c r="AX2" s="1377"/>
      <c r="AY2" s="1377"/>
      <c r="AZ2" s="1377"/>
      <c r="BA2" s="1377"/>
      <c r="BB2" s="1377"/>
      <c r="BC2" s="1377"/>
      <c r="BD2" s="1377"/>
      <c r="BE2" s="1377"/>
      <c r="BF2" s="1377"/>
      <c r="BG2" s="1377"/>
      <c r="BH2" s="1377"/>
    </row>
    <row r="3" spans="1:61" s="862" customFormat="1" ht="27.6" customHeight="1">
      <c r="A3" s="1378" t="s">
        <v>1276</v>
      </c>
      <c r="B3" s="1379"/>
      <c r="C3" s="1379"/>
      <c r="D3" s="1379"/>
      <c r="E3" s="1379"/>
      <c r="F3" s="1379"/>
      <c r="G3" s="1379"/>
      <c r="H3" s="1379"/>
      <c r="I3" s="1379"/>
      <c r="J3" s="1379"/>
      <c r="K3" s="1379"/>
      <c r="L3" s="1379"/>
      <c r="M3" s="1379"/>
      <c r="N3" s="1379"/>
      <c r="O3" s="1379"/>
      <c r="P3" s="1379"/>
      <c r="Q3" s="1379"/>
      <c r="R3" s="1379"/>
      <c r="S3" s="1379"/>
      <c r="T3" s="1379"/>
      <c r="U3" s="1379"/>
      <c r="V3" s="1379"/>
      <c r="W3" s="1379"/>
      <c r="X3" s="1379"/>
      <c r="Y3" s="1379"/>
      <c r="Z3" s="1379"/>
      <c r="AA3" s="1379"/>
      <c r="AB3" s="1379"/>
      <c r="AC3" s="1379"/>
      <c r="AD3" s="1379"/>
      <c r="AE3" s="1379"/>
      <c r="AF3" s="1379"/>
      <c r="AG3" s="1379"/>
      <c r="AH3" s="1379"/>
      <c r="AI3" s="1379"/>
      <c r="AJ3" s="1379"/>
      <c r="AK3" s="1379"/>
      <c r="AL3" s="1379"/>
      <c r="AM3" s="1379"/>
      <c r="AN3" s="1379"/>
      <c r="AO3" s="1379"/>
      <c r="AP3" s="1379"/>
      <c r="AQ3" s="1379"/>
      <c r="AR3" s="1379"/>
      <c r="AS3" s="1379"/>
      <c r="AT3" s="1379"/>
      <c r="AU3" s="1379"/>
      <c r="AV3" s="1379"/>
      <c r="AW3" s="1379"/>
      <c r="AX3" s="1379"/>
      <c r="AY3" s="1379"/>
      <c r="AZ3" s="1379"/>
      <c r="BA3" s="1379"/>
      <c r="BB3" s="1379"/>
      <c r="BC3" s="1379"/>
      <c r="BD3" s="1379"/>
      <c r="BE3" s="1379"/>
      <c r="BF3" s="1379"/>
      <c r="BG3" s="1379"/>
      <c r="BH3" s="1379"/>
    </row>
    <row r="4" spans="1:61" s="865" customFormat="1" ht="47.4" customHeight="1">
      <c r="A4" s="863"/>
      <c r="B4" s="864"/>
      <c r="C4" s="1380" t="s">
        <v>2037</v>
      </c>
      <c r="D4" s="1380"/>
      <c r="E4" s="1380"/>
      <c r="F4" s="1380"/>
      <c r="G4" s="1380"/>
      <c r="H4" s="1380"/>
      <c r="I4" s="1380"/>
      <c r="J4" s="1380"/>
      <c r="K4" s="1380"/>
      <c r="L4" s="1380"/>
      <c r="M4" s="1380"/>
      <c r="N4" s="1380"/>
      <c r="O4" s="1380"/>
      <c r="P4" s="1380"/>
      <c r="Q4" s="1380"/>
      <c r="R4" s="1380"/>
      <c r="S4" s="1380"/>
      <c r="T4" s="1380"/>
      <c r="U4" s="1380"/>
      <c r="V4" s="1380"/>
      <c r="W4" s="1380"/>
      <c r="X4" s="1380"/>
      <c r="Y4" s="1380"/>
      <c r="Z4" s="1380"/>
      <c r="AA4" s="1380"/>
      <c r="AB4" s="1380"/>
      <c r="AC4" s="1380"/>
      <c r="AD4" s="1380"/>
      <c r="AE4" s="1380"/>
      <c r="AF4" s="1380"/>
      <c r="AG4" s="1381" t="s">
        <v>2038</v>
      </c>
      <c r="AH4" s="1382"/>
      <c r="AI4" s="1382"/>
      <c r="AJ4" s="1382"/>
      <c r="AK4" s="1382"/>
      <c r="AL4" s="1382"/>
      <c r="AM4" s="1382"/>
      <c r="AN4" s="1382"/>
      <c r="AO4" s="1382"/>
      <c r="AP4" s="1382"/>
      <c r="AQ4" s="1382"/>
      <c r="AR4" s="1382"/>
      <c r="AS4" s="1382"/>
      <c r="AT4" s="1382"/>
      <c r="AU4" s="1382"/>
      <c r="AV4" s="1382"/>
      <c r="AW4" s="1382"/>
      <c r="AX4" s="1382"/>
      <c r="AY4" s="1382"/>
      <c r="AZ4" s="1382"/>
      <c r="BA4" s="1382"/>
      <c r="BB4" s="1382"/>
      <c r="BC4" s="1382"/>
      <c r="BD4" s="1382"/>
      <c r="BE4" s="1383"/>
      <c r="BF4" s="1383"/>
      <c r="BG4" s="1383"/>
      <c r="BH4" s="1383"/>
    </row>
    <row r="5" spans="1:61" s="869" customFormat="1" ht="96" customHeight="1">
      <c r="A5" s="1384" t="s">
        <v>2039</v>
      </c>
      <c r="B5" s="1366" t="s">
        <v>2040</v>
      </c>
      <c r="C5" s="1372" t="s">
        <v>2041</v>
      </c>
      <c r="D5" s="1372" t="s">
        <v>2042</v>
      </c>
      <c r="E5" s="1372"/>
      <c r="F5" s="1372"/>
      <c r="G5" s="1372"/>
      <c r="H5" s="1372" t="s">
        <v>2043</v>
      </c>
      <c r="I5" s="1372"/>
      <c r="J5" s="1372"/>
      <c r="K5" s="1372"/>
      <c r="L5" s="1372" t="s">
        <v>2044</v>
      </c>
      <c r="M5" s="1372"/>
      <c r="N5" s="1372"/>
      <c r="O5" s="1372" t="s">
        <v>2045</v>
      </c>
      <c r="P5" s="1372"/>
      <c r="Q5" s="1372"/>
      <c r="R5" s="1372"/>
      <c r="S5" s="1372" t="s">
        <v>2046</v>
      </c>
      <c r="T5" s="1366" t="s">
        <v>2047</v>
      </c>
      <c r="U5" s="1366" t="s">
        <v>2048</v>
      </c>
      <c r="V5" s="1366" t="s">
        <v>2049</v>
      </c>
      <c r="W5" s="1366" t="s">
        <v>2050</v>
      </c>
      <c r="X5" s="1366" t="s">
        <v>2051</v>
      </c>
      <c r="Y5" s="1366" t="s">
        <v>2052</v>
      </c>
      <c r="Z5" s="1366" t="s">
        <v>2053</v>
      </c>
      <c r="AA5" s="1366" t="s">
        <v>2054</v>
      </c>
      <c r="AB5" s="867" t="s">
        <v>2055</v>
      </c>
      <c r="AC5" s="1367" t="s">
        <v>2056</v>
      </c>
      <c r="AD5" s="1367"/>
      <c r="AE5" s="1367"/>
      <c r="AF5" s="1367"/>
      <c r="AG5" s="1369" t="s">
        <v>2057</v>
      </c>
      <c r="AH5" s="1369" t="s">
        <v>2058</v>
      </c>
      <c r="AI5" s="1369"/>
      <c r="AJ5" s="1369"/>
      <c r="AK5" s="1369"/>
      <c r="AL5" s="1369" t="s">
        <v>2059</v>
      </c>
      <c r="AM5" s="1370" t="s">
        <v>2060</v>
      </c>
      <c r="AN5" s="1370"/>
      <c r="AO5" s="1370"/>
      <c r="AP5" s="1370"/>
      <c r="AQ5" s="1371" t="s">
        <v>2061</v>
      </c>
      <c r="AR5" s="1368" t="s">
        <v>2062</v>
      </c>
      <c r="AS5" s="1368" t="s">
        <v>2063</v>
      </c>
      <c r="AT5" s="1368" t="s">
        <v>2064</v>
      </c>
      <c r="AU5" s="1368" t="s">
        <v>2065</v>
      </c>
      <c r="AV5" s="1368" t="s">
        <v>2066</v>
      </c>
      <c r="AW5" s="1368" t="s">
        <v>2067</v>
      </c>
      <c r="AX5" s="1368" t="s">
        <v>2068</v>
      </c>
      <c r="AY5" s="1368" t="s">
        <v>2069</v>
      </c>
      <c r="AZ5" s="1364" t="s">
        <v>2070</v>
      </c>
      <c r="BA5" s="1364" t="s">
        <v>2071</v>
      </c>
      <c r="BB5" s="1364" t="s">
        <v>2072</v>
      </c>
      <c r="BC5" s="1364" t="s">
        <v>2073</v>
      </c>
      <c r="BD5" s="1364" t="s">
        <v>2074</v>
      </c>
      <c r="BE5" s="1365" t="s">
        <v>2075</v>
      </c>
      <c r="BF5" s="1365" t="s">
        <v>2076</v>
      </c>
      <c r="BG5" s="1365" t="s">
        <v>2077</v>
      </c>
      <c r="BH5" s="1365" t="s">
        <v>2078</v>
      </c>
    </row>
    <row r="6" spans="1:61" s="865" customFormat="1" ht="12.75" customHeight="1">
      <c r="A6" s="1384"/>
      <c r="B6" s="1366"/>
      <c r="C6" s="1372"/>
      <c r="D6" s="866">
        <v>2020</v>
      </c>
      <c r="E6" s="866">
        <v>2021</v>
      </c>
      <c r="F6" s="866">
        <v>2022</v>
      </c>
      <c r="G6" s="866">
        <v>2023</v>
      </c>
      <c r="H6" s="866">
        <v>2020</v>
      </c>
      <c r="I6" s="866">
        <v>2021</v>
      </c>
      <c r="J6" s="866">
        <v>2022</v>
      </c>
      <c r="K6" s="866">
        <v>2023</v>
      </c>
      <c r="L6" s="866">
        <v>2020</v>
      </c>
      <c r="M6" s="866">
        <v>2021</v>
      </c>
      <c r="N6" s="866">
        <v>2022</v>
      </c>
      <c r="O6" s="866">
        <v>2020</v>
      </c>
      <c r="P6" s="866">
        <v>2021</v>
      </c>
      <c r="Q6" s="866">
        <v>2022</v>
      </c>
      <c r="R6" s="866">
        <v>2023</v>
      </c>
      <c r="S6" s="1372"/>
      <c r="T6" s="1366"/>
      <c r="U6" s="1366"/>
      <c r="V6" s="1366"/>
      <c r="W6" s="1366"/>
      <c r="X6" s="1366"/>
      <c r="Y6" s="1366"/>
      <c r="Z6" s="1366"/>
      <c r="AA6" s="1366"/>
      <c r="AB6" s="867" t="s">
        <v>2079</v>
      </c>
      <c r="AC6" s="867">
        <v>2020</v>
      </c>
      <c r="AD6" s="867">
        <v>2021</v>
      </c>
      <c r="AE6" s="867">
        <v>2022</v>
      </c>
      <c r="AF6" s="867">
        <v>2023</v>
      </c>
      <c r="AG6" s="1369"/>
      <c r="AH6" s="868">
        <v>2020</v>
      </c>
      <c r="AI6" s="868">
        <v>2021</v>
      </c>
      <c r="AJ6" s="870">
        <v>2022</v>
      </c>
      <c r="AK6" s="870">
        <v>2023</v>
      </c>
      <c r="AL6" s="1369"/>
      <c r="AM6" s="868">
        <v>2020</v>
      </c>
      <c r="AN6" s="868">
        <v>2021</v>
      </c>
      <c r="AO6" s="870">
        <v>2022</v>
      </c>
      <c r="AP6" s="870">
        <v>2023</v>
      </c>
      <c r="AQ6" s="1371"/>
      <c r="AR6" s="1368"/>
      <c r="AS6" s="1368"/>
      <c r="AT6" s="1368"/>
      <c r="AU6" s="1368"/>
      <c r="AV6" s="1368"/>
      <c r="AW6" s="1368"/>
      <c r="AX6" s="1368"/>
      <c r="AY6" s="1368"/>
      <c r="AZ6" s="1364"/>
      <c r="BA6" s="1364"/>
      <c r="BB6" s="1364"/>
      <c r="BC6" s="1364"/>
      <c r="BD6" s="1364"/>
      <c r="BE6" s="1365"/>
      <c r="BF6" s="1365"/>
      <c r="BG6" s="1365"/>
      <c r="BH6" s="1365"/>
    </row>
    <row r="7" spans="1:61" s="865" customFormat="1" ht="47.4" customHeight="1">
      <c r="A7" s="871" t="s">
        <v>2080</v>
      </c>
      <c r="B7" s="871"/>
      <c r="C7" s="872"/>
      <c r="D7" s="873"/>
      <c r="E7" s="873"/>
      <c r="F7" s="873"/>
      <c r="G7" s="873"/>
      <c r="H7" s="873"/>
      <c r="I7" s="873"/>
      <c r="J7" s="873"/>
      <c r="K7" s="873"/>
      <c r="L7" s="873"/>
      <c r="M7" s="873"/>
      <c r="N7" s="873"/>
      <c r="O7" s="874">
        <f>+(O8*AC8)+(O31*AC31)+(O48*AC48)</f>
        <v>0.94078749999999989</v>
      </c>
      <c r="P7" s="874">
        <f t="shared" ref="P7:R7" si="0">+(P8*AD8)+(P31*AD31)+(P48*AD48)</f>
        <v>0.95745000000000002</v>
      </c>
      <c r="Q7" s="874">
        <f t="shared" si="0"/>
        <v>0.94731874999999999</v>
      </c>
      <c r="R7" s="874">
        <f t="shared" si="0"/>
        <v>0.98890070921985807</v>
      </c>
      <c r="S7" s="875"/>
      <c r="T7" s="875"/>
      <c r="U7" s="875"/>
      <c r="V7" s="875"/>
      <c r="W7" s="875"/>
      <c r="X7" s="875"/>
      <c r="Y7" s="876"/>
      <c r="Z7" s="876"/>
      <c r="AA7" s="874">
        <f>+(AA8*AB8)+(AA31*AB31)+(AA48*AB48)</f>
        <v>0.96439527580772244</v>
      </c>
      <c r="AB7" s="877">
        <v>0.4</v>
      </c>
      <c r="AC7" s="877">
        <v>0.4</v>
      </c>
      <c r="AD7" s="877">
        <v>0.4</v>
      </c>
      <c r="AE7" s="877">
        <v>0.4</v>
      </c>
      <c r="AF7" s="877">
        <v>0.4</v>
      </c>
      <c r="AG7" s="878">
        <f t="shared" ref="AG7:AX7" si="1">+AG8+AG31+AG48</f>
        <v>77716179117</v>
      </c>
      <c r="AH7" s="872">
        <f t="shared" si="1"/>
        <v>46412999007.309998</v>
      </c>
      <c r="AI7" s="878">
        <f t="shared" si="1"/>
        <v>68722723175.070007</v>
      </c>
      <c r="AJ7" s="878">
        <f t="shared" si="1"/>
        <v>100589592953.67999</v>
      </c>
      <c r="AK7" s="878">
        <f t="shared" si="1"/>
        <v>77649131157.919998</v>
      </c>
      <c r="AL7" s="879">
        <f>+AK7/AG7</f>
        <v>0.99913727154574772</v>
      </c>
      <c r="AM7" s="872">
        <f t="shared" ref="AM7" si="2">+AM8+AM31+AM48</f>
        <v>32180803193</v>
      </c>
      <c r="AN7" s="878">
        <f t="shared" si="1"/>
        <v>57085007305.610001</v>
      </c>
      <c r="AO7" s="878">
        <f t="shared" si="1"/>
        <v>80228876344.839996</v>
      </c>
      <c r="AP7" s="878">
        <f t="shared" si="1"/>
        <v>62061514810.550003</v>
      </c>
      <c r="AQ7" s="880">
        <f>+AP7/AG7</f>
        <v>0.79856621254009097</v>
      </c>
      <c r="AR7" s="872">
        <f>+AR8+AR31+AR48</f>
        <v>20360716608.839996</v>
      </c>
      <c r="AS7" s="872">
        <f>+AS8+AS31+AS48</f>
        <v>14232195814.309999</v>
      </c>
      <c r="AT7" s="872">
        <f t="shared" si="1"/>
        <v>12033897383.209999</v>
      </c>
      <c r="AU7" s="872">
        <f t="shared" si="1"/>
        <v>11637715869.460001</v>
      </c>
      <c r="AV7" s="872">
        <f t="shared" si="1"/>
        <v>2055747204.24</v>
      </c>
      <c r="AW7" s="872">
        <f t="shared" si="1"/>
        <v>20360716608.84</v>
      </c>
      <c r="AX7" s="872">
        <f t="shared" si="1"/>
        <v>19923117843.84</v>
      </c>
      <c r="AY7" s="881">
        <f>+AX7/AW7</f>
        <v>0.97850769334857257</v>
      </c>
      <c r="AZ7" s="872">
        <f t="shared" ref="AZ7" si="3">+AZ8+AZ31+AZ48</f>
        <v>346486102490</v>
      </c>
      <c r="BA7" s="872">
        <f>+BA8+BA31+BA48</f>
        <v>293374446293.97998</v>
      </c>
      <c r="BB7" s="877">
        <f>+BA7/AZ7</f>
        <v>0.84671345888237215</v>
      </c>
      <c r="BC7" s="872">
        <f>+BC8+BC31+BC48</f>
        <v>265568964085.28998</v>
      </c>
      <c r="BD7" s="877">
        <f>+BC7/AZ7</f>
        <v>0.76646353829719505</v>
      </c>
      <c r="BE7" s="872"/>
      <c r="BF7" s="872"/>
      <c r="BG7" s="872"/>
      <c r="BH7" s="872"/>
      <c r="BI7" s="865" t="s">
        <v>2081</v>
      </c>
    </row>
    <row r="8" spans="1:61" s="892" customFormat="1" ht="47.4" customHeight="1">
      <c r="A8" s="882" t="s">
        <v>2082</v>
      </c>
      <c r="B8" s="882"/>
      <c r="C8" s="883"/>
      <c r="D8" s="884"/>
      <c r="E8" s="884"/>
      <c r="F8" s="884"/>
      <c r="G8" s="884"/>
      <c r="H8" s="884"/>
      <c r="I8" s="884"/>
      <c r="J8" s="884"/>
      <c r="K8" s="884"/>
      <c r="L8" s="884"/>
      <c r="M8" s="884"/>
      <c r="N8" s="884"/>
      <c r="O8" s="885">
        <f>+(O9*AC9)+(O22*AC22)+(O25*AC25)</f>
        <v>0.97399999999999987</v>
      </c>
      <c r="P8" s="885">
        <f t="shared" ref="P8:R8" si="4">+(P9*AD9)+(P22*AD22)+(P25*AD25)</f>
        <v>0.94799999999999984</v>
      </c>
      <c r="Q8" s="885">
        <f t="shared" si="4"/>
        <v>0.94799999999999984</v>
      </c>
      <c r="R8" s="885">
        <f t="shared" si="4"/>
        <v>0.99999999999999989</v>
      </c>
      <c r="S8" s="883"/>
      <c r="T8" s="883"/>
      <c r="U8" s="883"/>
      <c r="V8" s="883"/>
      <c r="W8" s="883"/>
      <c r="X8" s="883"/>
      <c r="Y8" s="886"/>
      <c r="Z8" s="886"/>
      <c r="AA8" s="887">
        <f>+(AA9*AB9)+(AA22*AB22)+(AA25*AB25)</f>
        <v>0.97066666666666657</v>
      </c>
      <c r="AB8" s="885">
        <v>0.65</v>
      </c>
      <c r="AC8" s="885">
        <v>0.65</v>
      </c>
      <c r="AD8" s="885">
        <v>0.65</v>
      </c>
      <c r="AE8" s="885">
        <v>0.65</v>
      </c>
      <c r="AF8" s="885">
        <v>0.65</v>
      </c>
      <c r="AG8" s="883">
        <f t="shared" ref="AG8:AX8" si="5">+AG9+AG22+AG25</f>
        <v>24558793652</v>
      </c>
      <c r="AH8" s="883">
        <f t="shared" si="5"/>
        <v>6179050696.4099998</v>
      </c>
      <c r="AI8" s="883">
        <f t="shared" si="5"/>
        <v>16991407463.370001</v>
      </c>
      <c r="AJ8" s="883">
        <f t="shared" si="5"/>
        <v>48628750589.679993</v>
      </c>
      <c r="AK8" s="883">
        <f t="shared" si="5"/>
        <v>24501680805.82</v>
      </c>
      <c r="AL8" s="888">
        <f>+AK8/AG8</f>
        <v>0.99767444415270168</v>
      </c>
      <c r="AM8" s="883">
        <f t="shared" ref="AM8" si="6">+AM9+AM22+AM25</f>
        <v>847340921</v>
      </c>
      <c r="AN8" s="889">
        <f t="shared" si="5"/>
        <v>15592621123.110001</v>
      </c>
      <c r="AO8" s="889">
        <f t="shared" si="5"/>
        <v>35287727541.839996</v>
      </c>
      <c r="AP8" s="883">
        <f t="shared" si="5"/>
        <v>19560252759.549999</v>
      </c>
      <c r="AQ8" s="890">
        <f>+AP8/AG8</f>
        <v>0.79646635077928862</v>
      </c>
      <c r="AR8" s="883">
        <f t="shared" si="5"/>
        <v>13341023047.839996</v>
      </c>
      <c r="AS8" s="889">
        <f t="shared" si="5"/>
        <v>5331709775.4099998</v>
      </c>
      <c r="AT8" s="883">
        <f t="shared" si="5"/>
        <v>4541923144.3299999</v>
      </c>
      <c r="AU8" s="883">
        <f t="shared" si="5"/>
        <v>1398786340.26</v>
      </c>
      <c r="AV8" s="883">
        <f t="shared" si="5"/>
        <v>1174273412.04</v>
      </c>
      <c r="AW8" s="883">
        <f t="shared" si="5"/>
        <v>13341023047.84</v>
      </c>
      <c r="AX8" s="883">
        <f t="shared" si="5"/>
        <v>13333077585.84</v>
      </c>
      <c r="AY8" s="891">
        <f t="shared" ref="AY8:AY71" si="7">+AX8/AW8</f>
        <v>0.9994044338300363</v>
      </c>
      <c r="AZ8" s="883">
        <f t="shared" ref="AZ8" si="8">+AZ9+AZ22+AZ25</f>
        <v>137333165496</v>
      </c>
      <c r="BA8" s="883">
        <f>+BA9+BA22+BA25</f>
        <v>96300889555.279999</v>
      </c>
      <c r="BB8" s="885">
        <f t="shared" ref="BB8:BB73" si="9">+BA8/AZ8</f>
        <v>0.70122092655094947</v>
      </c>
      <c r="BC8" s="883">
        <f>+BC9+BC22+BC25</f>
        <v>90337216487.709991</v>
      </c>
      <c r="BD8" s="885">
        <f>+BC8/AZ8</f>
        <v>0.65779606959064219</v>
      </c>
      <c r="BE8" s="883"/>
      <c r="BF8" s="883" t="s">
        <v>1694</v>
      </c>
      <c r="BG8" s="883"/>
      <c r="BH8" s="883"/>
    </row>
    <row r="9" spans="1:61" s="865" customFormat="1" ht="47.4" customHeight="1">
      <c r="A9" s="893" t="s">
        <v>2083</v>
      </c>
      <c r="B9" s="893"/>
      <c r="C9" s="894"/>
      <c r="D9" s="895"/>
      <c r="E9" s="895"/>
      <c r="F9" s="895"/>
      <c r="G9" s="895"/>
      <c r="H9" s="895"/>
      <c r="I9" s="895"/>
      <c r="J9" s="895"/>
      <c r="K9" s="895"/>
      <c r="L9" s="895"/>
      <c r="M9" s="895"/>
      <c r="N9" s="895"/>
      <c r="O9" s="896">
        <f>+SUMPRODUCT(O10:O21,AC10:AC21)</f>
        <v>0.87</v>
      </c>
      <c r="P9" s="896">
        <f t="shared" ref="P9:R9" si="10">+SUMPRODUCT(P10:P21,AD10:AD21)</f>
        <v>0.74</v>
      </c>
      <c r="Q9" s="896">
        <f t="shared" si="10"/>
        <v>0.74</v>
      </c>
      <c r="R9" s="896">
        <f t="shared" si="10"/>
        <v>1</v>
      </c>
      <c r="S9" s="894"/>
      <c r="T9" s="894"/>
      <c r="U9" s="894"/>
      <c r="V9" s="894"/>
      <c r="W9" s="894"/>
      <c r="X9" s="894"/>
      <c r="Y9" s="897"/>
      <c r="Z9" s="897"/>
      <c r="AA9" s="898">
        <f>+SUMPRODUCT(AA10:AA21,AB10:AB21)</f>
        <v>0.85333333333333328</v>
      </c>
      <c r="AB9" s="896">
        <v>0.2</v>
      </c>
      <c r="AC9" s="896">
        <v>0.2</v>
      </c>
      <c r="AD9" s="896">
        <v>0.2</v>
      </c>
      <c r="AE9" s="896">
        <v>0.2</v>
      </c>
      <c r="AF9" s="896">
        <v>0.2</v>
      </c>
      <c r="AG9" s="894">
        <f>+SUM(AG10:AG21)</f>
        <v>2954655121</v>
      </c>
      <c r="AH9" s="894">
        <f>SUM(AH10:AH21)</f>
        <v>1022391740</v>
      </c>
      <c r="AI9" s="894">
        <f t="shared" ref="AI9:BA9" si="11">SUM(AI10:AI21)</f>
        <v>783124557.20000005</v>
      </c>
      <c r="AJ9" s="894">
        <f t="shared" si="11"/>
        <v>1621263065.8400002</v>
      </c>
      <c r="AK9" s="899">
        <f t="shared" si="11"/>
        <v>2921624540.3199997</v>
      </c>
      <c r="AL9" s="900">
        <f>+AK9/AG9</f>
        <v>0.98882083379368446</v>
      </c>
      <c r="AM9" s="894">
        <f>SUM(AM10:AM21)</f>
        <v>185112600</v>
      </c>
      <c r="AN9" s="894">
        <f t="shared" si="11"/>
        <v>574476365</v>
      </c>
      <c r="AO9" s="894">
        <f t="shared" si="11"/>
        <v>1302767654</v>
      </c>
      <c r="AP9" s="894">
        <f t="shared" si="11"/>
        <v>2312180612.75</v>
      </c>
      <c r="AQ9" s="901">
        <f>+AP9/AG9</f>
        <v>0.78255516060617081</v>
      </c>
      <c r="AR9" s="902">
        <f t="shared" si="11"/>
        <v>318495411.84000003</v>
      </c>
      <c r="AS9" s="894">
        <f t="shared" si="11"/>
        <v>837279140</v>
      </c>
      <c r="AT9" s="894">
        <f t="shared" si="11"/>
        <v>817292444</v>
      </c>
      <c r="AU9" s="894">
        <f t="shared" si="11"/>
        <v>208648192.19999999</v>
      </c>
      <c r="AV9" s="894">
        <f t="shared" si="11"/>
        <v>196202465.19999999</v>
      </c>
      <c r="AW9" s="894">
        <f t="shared" si="11"/>
        <v>318495411.84000003</v>
      </c>
      <c r="AX9" s="894">
        <f t="shared" si="11"/>
        <v>316477720.84000003</v>
      </c>
      <c r="AY9" s="903">
        <f t="shared" si="7"/>
        <v>0.99366492914813598</v>
      </c>
      <c r="AZ9" s="894">
        <f t="shared" ref="AZ9" si="12">SUM(AZ10:AZ21)</f>
        <v>8386553948</v>
      </c>
      <c r="BA9" s="894">
        <f t="shared" si="11"/>
        <v>6348403903.3599997</v>
      </c>
      <c r="BB9" s="896">
        <f t="shared" si="9"/>
        <v>0.75697407334677047</v>
      </c>
      <c r="BC9" s="894">
        <f t="shared" ref="BC9" si="13">SUM(BC10:BC21)</f>
        <v>5704509861.79</v>
      </c>
      <c r="BD9" s="896">
        <f>+BC9/AZ9</f>
        <v>0.68019712234133956</v>
      </c>
      <c r="BE9" s="902"/>
      <c r="BF9" s="902"/>
      <c r="BG9" s="902"/>
      <c r="BH9" s="902"/>
    </row>
    <row r="10" spans="1:61" s="865" customFormat="1" ht="99" customHeight="1">
      <c r="A10" s="904" t="s">
        <v>2084</v>
      </c>
      <c r="B10" s="905" t="s">
        <v>2085</v>
      </c>
      <c r="C10" s="905" t="s">
        <v>2086</v>
      </c>
      <c r="D10" s="906">
        <v>1</v>
      </c>
      <c r="E10" s="906">
        <v>0</v>
      </c>
      <c r="F10" s="906">
        <v>0</v>
      </c>
      <c r="G10" s="906">
        <v>0</v>
      </c>
      <c r="H10" s="906">
        <v>0</v>
      </c>
      <c r="I10" s="906" t="s">
        <v>1905</v>
      </c>
      <c r="J10" s="906" t="s">
        <v>1905</v>
      </c>
      <c r="K10" s="906"/>
      <c r="L10" s="906">
        <v>1</v>
      </c>
      <c r="M10" s="907"/>
      <c r="N10" s="907"/>
      <c r="O10" s="908">
        <f>+IFERROR(IF((H10+L10)/D10&gt;=100%,100%,(H10+L10)/D10),0)</f>
        <v>1</v>
      </c>
      <c r="P10" s="908">
        <f>+IFERROR(IF((I10+M10)/E10&gt;=100%,100%,(I10+M10)/E10),0)</f>
        <v>0</v>
      </c>
      <c r="Q10" s="908">
        <f>+IFERROR(IF((J10+N10)/F10&gt;=100%,100%,(J10+N10)/F10),0)</f>
        <v>0</v>
      </c>
      <c r="R10" s="908">
        <f>+IFERROR(IF(K10/G10&gt;=100%,100%,K10/G10),0)</f>
        <v>0</v>
      </c>
      <c r="S10" s="909"/>
      <c r="T10" s="910"/>
      <c r="U10" s="911"/>
      <c r="V10" s="869"/>
      <c r="W10" s="910"/>
      <c r="X10" s="910"/>
      <c r="Y10" s="912">
        <f>SUM(D10:G10)</f>
        <v>1</v>
      </c>
      <c r="Z10" s="913">
        <f>SUM(H10:N10)</f>
        <v>1</v>
      </c>
      <c r="AA10" s="914">
        <f>IF(Z10/Y10&gt;=100%,100%,Z10/Y10)</f>
        <v>1</v>
      </c>
      <c r="AB10" s="908">
        <v>0.15</v>
      </c>
      <c r="AC10" s="908">
        <v>0.21</v>
      </c>
      <c r="AD10" s="908">
        <v>0</v>
      </c>
      <c r="AE10" s="908">
        <v>0</v>
      </c>
      <c r="AF10" s="908">
        <v>0</v>
      </c>
      <c r="AG10" s="915">
        <v>0</v>
      </c>
      <c r="AH10" s="915">
        <v>100000000</v>
      </c>
      <c r="AI10" s="915">
        <v>0</v>
      </c>
      <c r="AJ10" s="915"/>
      <c r="AK10" s="915"/>
      <c r="AL10" s="916" t="e">
        <f>+AK10/AG10</f>
        <v>#DIV/0!</v>
      </c>
      <c r="AM10" s="915">
        <v>92612600</v>
      </c>
      <c r="AN10" s="915">
        <v>0</v>
      </c>
      <c r="AO10" s="915"/>
      <c r="AP10" s="915"/>
      <c r="AQ10" s="917" t="e">
        <f>+AP10/AG10</f>
        <v>#DIV/0!</v>
      </c>
      <c r="AR10" s="915">
        <f t="shared" ref="AR10:AR23" si="14">+AJ10-AO10</f>
        <v>0</v>
      </c>
      <c r="AS10" s="918">
        <v>7387400</v>
      </c>
      <c r="AT10" s="919">
        <v>7357400</v>
      </c>
      <c r="AU10" s="919"/>
      <c r="AV10" s="919"/>
      <c r="AW10" s="919"/>
      <c r="AX10" s="919"/>
      <c r="AY10" s="920" t="e">
        <f t="shared" si="7"/>
        <v>#DIV/0!</v>
      </c>
      <c r="AZ10" s="921">
        <v>1330000000</v>
      </c>
      <c r="BA10" s="922">
        <f>SUM(AH10:AK10)</f>
        <v>100000000</v>
      </c>
      <c r="BB10" s="923">
        <f>+BA10/AZ10</f>
        <v>7.5187969924812026E-2</v>
      </c>
      <c r="BC10" s="922">
        <f>SUM(AM10:AP10)+AT10+AV10+AX10</f>
        <v>99970000</v>
      </c>
      <c r="BD10" s="924">
        <f>+BC10/AZ10</f>
        <v>7.5165413533834588E-2</v>
      </c>
      <c r="BE10" s="925"/>
      <c r="BF10" s="926"/>
      <c r="BG10" s="910" t="s">
        <v>1142</v>
      </c>
      <c r="BH10" s="1363" t="s">
        <v>2087</v>
      </c>
    </row>
    <row r="11" spans="1:61" s="865" customFormat="1" ht="93" customHeight="1">
      <c r="A11" s="904" t="s">
        <v>2088</v>
      </c>
      <c r="B11" s="905" t="s">
        <v>2089</v>
      </c>
      <c r="C11" s="905" t="s">
        <v>2086</v>
      </c>
      <c r="D11" s="906">
        <v>1</v>
      </c>
      <c r="E11" s="906">
        <v>1</v>
      </c>
      <c r="F11" s="906">
        <v>0</v>
      </c>
      <c r="G11" s="906">
        <v>0</v>
      </c>
      <c r="H11" s="906">
        <v>0</v>
      </c>
      <c r="I11" s="906">
        <v>0</v>
      </c>
      <c r="J11" s="906">
        <v>0</v>
      </c>
      <c r="K11" s="906"/>
      <c r="L11" s="907"/>
      <c r="M11" s="907"/>
      <c r="N11" s="907"/>
      <c r="O11" s="908">
        <f t="shared" ref="O11:Q21" si="15">+IFERROR(IF((H11+L11)/D11&gt;=100%,100%,(H11+L11)/D11),0)</f>
        <v>0</v>
      </c>
      <c r="P11" s="908">
        <f t="shared" si="15"/>
        <v>0</v>
      </c>
      <c r="Q11" s="908">
        <f t="shared" si="15"/>
        <v>0</v>
      </c>
      <c r="R11" s="908">
        <f t="shared" ref="R11:R21" si="16">+IFERROR(IF(K11/G11&gt;=100%,100%,K11/G11),0)</f>
        <v>0</v>
      </c>
      <c r="S11" s="910"/>
      <c r="T11" s="910"/>
      <c r="U11" s="911"/>
      <c r="V11" s="869"/>
      <c r="W11" s="910"/>
      <c r="X11" s="910"/>
      <c r="Y11" s="906">
        <f t="shared" ref="Y11:Y21" si="17">SUM(D11:G11)</f>
        <v>2</v>
      </c>
      <c r="Z11" s="913">
        <f t="shared" ref="Z11:Z21" si="18">SUM(H11:N11)</f>
        <v>0</v>
      </c>
      <c r="AA11" s="914">
        <f t="shared" ref="AA11:AA13" si="19">IF(Z11/Y11&gt;=100%,100%,Z11/Y11)</f>
        <v>0</v>
      </c>
      <c r="AB11" s="908">
        <v>0.08</v>
      </c>
      <c r="AC11" s="908">
        <v>0.13</v>
      </c>
      <c r="AD11" s="908">
        <v>0.12</v>
      </c>
      <c r="AE11" s="908">
        <v>0</v>
      </c>
      <c r="AF11" s="908">
        <v>0</v>
      </c>
      <c r="AG11" s="918">
        <v>0</v>
      </c>
      <c r="AH11" s="915">
        <v>60000000</v>
      </c>
      <c r="AI11" s="915">
        <v>277196619.19999999</v>
      </c>
      <c r="AJ11" s="915"/>
      <c r="AK11" s="915"/>
      <c r="AL11" s="916" t="e">
        <f t="shared" ref="AL11:AL74" si="20">+AK11/AG11</f>
        <v>#DIV/0!</v>
      </c>
      <c r="AM11" s="915">
        <v>30000000</v>
      </c>
      <c r="AN11" s="915">
        <v>265944498</v>
      </c>
      <c r="AO11" s="915"/>
      <c r="AP11" s="915"/>
      <c r="AQ11" s="928" t="e">
        <f t="shared" ref="AQ11:AQ74" si="21">+AP11/AG11</f>
        <v>#DIV/0!</v>
      </c>
      <c r="AR11" s="915">
        <f t="shared" si="14"/>
        <v>0</v>
      </c>
      <c r="AS11" s="918">
        <v>30000000</v>
      </c>
      <c r="AT11" s="919">
        <v>30000000</v>
      </c>
      <c r="AU11" s="919">
        <v>11252121.199999999</v>
      </c>
      <c r="AV11" s="919">
        <v>9623548.1999999993</v>
      </c>
      <c r="AW11" s="919"/>
      <c r="AX11" s="919"/>
      <c r="AY11" s="920" t="e">
        <f t="shared" si="7"/>
        <v>#DIV/0!</v>
      </c>
      <c r="AZ11" s="921">
        <v>577196620</v>
      </c>
      <c r="BA11" s="922">
        <f t="shared" ref="BA11:BA74" si="22">SUM(AH11:AK11)</f>
        <v>337196619.19999999</v>
      </c>
      <c r="BB11" s="923">
        <f t="shared" si="9"/>
        <v>0.5841971479320166</v>
      </c>
      <c r="BC11" s="929">
        <f t="shared" ref="BC11:BC74" si="23">SUM(AM11:AP11)+AT11+AV11+AX11</f>
        <v>335568046.19999999</v>
      </c>
      <c r="BD11" s="923">
        <f t="shared" ref="BD11:BD74" si="24">+BC11/AZ11</f>
        <v>0.58137562586558456</v>
      </c>
      <c r="BE11" s="925"/>
      <c r="BF11" s="926"/>
      <c r="BG11" s="910" t="s">
        <v>1142</v>
      </c>
      <c r="BH11" s="1345"/>
    </row>
    <row r="12" spans="1:61" s="865" customFormat="1" ht="47.4" customHeight="1">
      <c r="A12" s="904" t="s">
        <v>2090</v>
      </c>
      <c r="B12" s="905" t="s">
        <v>2091</v>
      </c>
      <c r="C12" s="905" t="s">
        <v>1054</v>
      </c>
      <c r="D12" s="908">
        <v>0.1</v>
      </c>
      <c r="E12" s="908">
        <v>0.1</v>
      </c>
      <c r="F12" s="908">
        <v>0.1</v>
      </c>
      <c r="G12" s="908">
        <v>0.1</v>
      </c>
      <c r="H12" s="908">
        <v>0.1</v>
      </c>
      <c r="I12" s="908">
        <v>0.1</v>
      </c>
      <c r="J12" s="908">
        <v>0.1</v>
      </c>
      <c r="K12" s="908">
        <v>0.1</v>
      </c>
      <c r="L12" s="906"/>
      <c r="M12" s="906"/>
      <c r="N12" s="906"/>
      <c r="O12" s="908">
        <f t="shared" si="15"/>
        <v>1</v>
      </c>
      <c r="P12" s="908">
        <f t="shared" si="15"/>
        <v>1</v>
      </c>
      <c r="Q12" s="930">
        <f t="shared" si="15"/>
        <v>1</v>
      </c>
      <c r="R12" s="908">
        <f t="shared" si="16"/>
        <v>1</v>
      </c>
      <c r="S12" s="910" t="s">
        <v>2682</v>
      </c>
      <c r="T12" s="931">
        <v>45291</v>
      </c>
      <c r="U12" s="932" t="s">
        <v>2092</v>
      </c>
      <c r="V12" s="869"/>
      <c r="W12" s="909" t="s">
        <v>2683</v>
      </c>
      <c r="X12" s="933">
        <v>267</v>
      </c>
      <c r="Y12" s="908">
        <f t="shared" si="17"/>
        <v>0.4</v>
      </c>
      <c r="Z12" s="934">
        <f t="shared" si="18"/>
        <v>0.4</v>
      </c>
      <c r="AA12" s="914">
        <f t="shared" si="19"/>
        <v>1</v>
      </c>
      <c r="AB12" s="908">
        <v>0.08</v>
      </c>
      <c r="AC12" s="908">
        <v>0.14000000000000001</v>
      </c>
      <c r="AD12" s="908">
        <v>0.13</v>
      </c>
      <c r="AE12" s="935">
        <v>0.17</v>
      </c>
      <c r="AF12" s="908">
        <v>0.125</v>
      </c>
      <c r="AG12" s="915">
        <v>150019282</v>
      </c>
      <c r="AH12" s="915">
        <v>199891740</v>
      </c>
      <c r="AI12" s="915">
        <v>77543235</v>
      </c>
      <c r="AJ12" s="915">
        <v>115778932</v>
      </c>
      <c r="AK12" s="915">
        <v>149962984.75</v>
      </c>
      <c r="AL12" s="916">
        <f t="shared" si="20"/>
        <v>0.99962473323929124</v>
      </c>
      <c r="AM12" s="915">
        <v>0</v>
      </c>
      <c r="AN12" s="915">
        <v>62702998</v>
      </c>
      <c r="AO12" s="915">
        <v>112969093</v>
      </c>
      <c r="AP12" s="915">
        <v>138839270.75</v>
      </c>
      <c r="AQ12" s="928">
        <f t="shared" si="21"/>
        <v>0.92547617145641314</v>
      </c>
      <c r="AR12" s="915">
        <f t="shared" si="14"/>
        <v>2809839</v>
      </c>
      <c r="AS12" s="918">
        <v>199891740</v>
      </c>
      <c r="AT12" s="918">
        <v>189967522</v>
      </c>
      <c r="AU12" s="918">
        <v>14840237</v>
      </c>
      <c r="AV12" s="918">
        <v>10438002</v>
      </c>
      <c r="AW12" s="918">
        <v>2809839</v>
      </c>
      <c r="AX12" s="918">
        <v>2636344</v>
      </c>
      <c r="AY12" s="920">
        <f t="shared" si="7"/>
        <v>0.93825446938418888</v>
      </c>
      <c r="AZ12" s="921">
        <v>570019282</v>
      </c>
      <c r="BA12" s="922">
        <f t="shared" si="22"/>
        <v>543176891.75</v>
      </c>
      <c r="BB12" s="923">
        <f t="shared" si="9"/>
        <v>0.95290968025534262</v>
      </c>
      <c r="BC12" s="929">
        <f t="shared" si="23"/>
        <v>517553229.75</v>
      </c>
      <c r="BD12" s="923">
        <f t="shared" si="24"/>
        <v>0.90795740792150958</v>
      </c>
      <c r="BE12" s="925"/>
      <c r="BF12" s="926"/>
      <c r="BG12" s="910" t="s">
        <v>219</v>
      </c>
      <c r="BH12" s="1363" t="s">
        <v>2087</v>
      </c>
    </row>
    <row r="13" spans="1:61" s="865" customFormat="1" ht="47.4" customHeight="1">
      <c r="A13" s="904" t="s">
        <v>2093</v>
      </c>
      <c r="B13" s="905" t="s">
        <v>2094</v>
      </c>
      <c r="C13" s="905" t="s">
        <v>1054</v>
      </c>
      <c r="D13" s="908">
        <v>0</v>
      </c>
      <c r="E13" s="908">
        <v>0.1</v>
      </c>
      <c r="F13" s="908">
        <v>0.1</v>
      </c>
      <c r="G13" s="908">
        <v>0.1</v>
      </c>
      <c r="H13" s="908">
        <v>0</v>
      </c>
      <c r="I13" s="908">
        <v>0</v>
      </c>
      <c r="J13" s="908">
        <v>0</v>
      </c>
      <c r="K13" s="908">
        <v>0.1</v>
      </c>
      <c r="L13" s="906"/>
      <c r="M13" s="906"/>
      <c r="N13" s="906"/>
      <c r="O13" s="908">
        <f t="shared" si="15"/>
        <v>0</v>
      </c>
      <c r="P13" s="908">
        <f t="shared" si="15"/>
        <v>0</v>
      </c>
      <c r="Q13" s="930">
        <f t="shared" si="15"/>
        <v>0</v>
      </c>
      <c r="R13" s="908">
        <f t="shared" si="16"/>
        <v>1</v>
      </c>
      <c r="S13" s="910" t="s">
        <v>2684</v>
      </c>
      <c r="T13" s="931">
        <v>45291</v>
      </c>
      <c r="U13" s="911"/>
      <c r="V13" s="869"/>
      <c r="W13" s="910"/>
      <c r="X13" s="910"/>
      <c r="Y13" s="908">
        <f t="shared" si="17"/>
        <v>0.30000000000000004</v>
      </c>
      <c r="Z13" s="934">
        <f t="shared" si="18"/>
        <v>0.1</v>
      </c>
      <c r="AA13" s="914">
        <f t="shared" si="19"/>
        <v>0.33333333333333331</v>
      </c>
      <c r="AB13" s="908">
        <v>0.05</v>
      </c>
      <c r="AC13" s="908">
        <v>0</v>
      </c>
      <c r="AD13" s="908">
        <v>7.0000000000000007E-2</v>
      </c>
      <c r="AE13" s="935">
        <v>0.13</v>
      </c>
      <c r="AF13" s="908">
        <v>0.125</v>
      </c>
      <c r="AG13" s="915">
        <v>140000000</v>
      </c>
      <c r="AH13" s="915" t="s">
        <v>2095</v>
      </c>
      <c r="AI13" s="915">
        <v>79052654</v>
      </c>
      <c r="AJ13" s="915">
        <v>116938086.84</v>
      </c>
      <c r="AK13" s="915">
        <v>139994089</v>
      </c>
      <c r="AL13" s="916">
        <f t="shared" si="20"/>
        <v>0.99995777857142853</v>
      </c>
      <c r="AM13" s="915" t="s">
        <v>2095</v>
      </c>
      <c r="AN13" s="915">
        <v>35880412</v>
      </c>
      <c r="AO13" s="915">
        <v>113037976</v>
      </c>
      <c r="AP13" s="915">
        <v>139094089</v>
      </c>
      <c r="AQ13" s="928">
        <f t="shared" si="21"/>
        <v>0.9935292071428572</v>
      </c>
      <c r="AR13" s="915">
        <f t="shared" si="14"/>
        <v>3900110.8400000036</v>
      </c>
      <c r="AS13" s="918">
        <v>0</v>
      </c>
      <c r="AT13" s="918">
        <v>0</v>
      </c>
      <c r="AU13" s="918">
        <v>43172242</v>
      </c>
      <c r="AV13" s="918">
        <v>41441633</v>
      </c>
      <c r="AW13" s="918">
        <v>3900110.84</v>
      </c>
      <c r="AX13" s="918">
        <v>3643672.84</v>
      </c>
      <c r="AY13" s="920">
        <f t="shared" si="7"/>
        <v>0.93424853535701047</v>
      </c>
      <c r="AZ13" s="921">
        <v>360000000</v>
      </c>
      <c r="BA13" s="922">
        <f t="shared" si="22"/>
        <v>335984829.84000003</v>
      </c>
      <c r="BB13" s="923">
        <f t="shared" si="9"/>
        <v>0.93329119400000005</v>
      </c>
      <c r="BC13" s="929">
        <f t="shared" si="23"/>
        <v>333097782.83999997</v>
      </c>
      <c r="BD13" s="923">
        <f t="shared" si="24"/>
        <v>0.92527161899999988</v>
      </c>
      <c r="BE13" s="925"/>
      <c r="BF13" s="926"/>
      <c r="BG13" s="910" t="s">
        <v>219</v>
      </c>
      <c r="BH13" s="1345"/>
    </row>
    <row r="14" spans="1:61" s="865" customFormat="1" ht="47.4" customHeight="1">
      <c r="A14" s="904" t="s">
        <v>2096</v>
      </c>
      <c r="B14" s="905" t="s">
        <v>2097</v>
      </c>
      <c r="C14" s="905" t="s">
        <v>1054</v>
      </c>
      <c r="D14" s="1175">
        <v>0</v>
      </c>
      <c r="E14" s="908">
        <v>0.1</v>
      </c>
      <c r="F14" s="908">
        <v>0.1</v>
      </c>
      <c r="G14" s="908">
        <v>0.1</v>
      </c>
      <c r="H14" s="908">
        <v>0</v>
      </c>
      <c r="I14" s="908">
        <v>0</v>
      </c>
      <c r="J14" s="908">
        <v>0</v>
      </c>
      <c r="K14" s="908">
        <v>0.1</v>
      </c>
      <c r="L14" s="906"/>
      <c r="M14" s="906"/>
      <c r="N14" s="906"/>
      <c r="O14" s="908">
        <f t="shared" si="15"/>
        <v>0</v>
      </c>
      <c r="P14" s="908">
        <f t="shared" si="15"/>
        <v>0</v>
      </c>
      <c r="Q14" s="930">
        <f t="shared" si="15"/>
        <v>0</v>
      </c>
      <c r="R14" s="908">
        <f t="shared" si="16"/>
        <v>1</v>
      </c>
      <c r="S14" s="910" t="s">
        <v>2685</v>
      </c>
      <c r="T14" s="931">
        <v>45291</v>
      </c>
      <c r="U14" s="911"/>
      <c r="V14" s="869"/>
      <c r="W14" s="910"/>
      <c r="X14" s="910"/>
      <c r="Y14" s="908">
        <f t="shared" si="17"/>
        <v>0.30000000000000004</v>
      </c>
      <c r="Z14" s="934">
        <f t="shared" si="18"/>
        <v>0.1</v>
      </c>
      <c r="AA14" s="914">
        <f>IF(Z14/Y14&gt;=100%,100%,Z14/Y14)</f>
        <v>0.33333333333333331</v>
      </c>
      <c r="AB14" s="908">
        <v>0.05</v>
      </c>
      <c r="AC14" s="908">
        <v>0</v>
      </c>
      <c r="AD14" s="908">
        <v>7.0000000000000007E-2</v>
      </c>
      <c r="AE14" s="935">
        <v>0.13</v>
      </c>
      <c r="AF14" s="908">
        <v>0.125</v>
      </c>
      <c r="AG14" s="915">
        <v>147980718</v>
      </c>
      <c r="AH14" s="915" t="s">
        <v>2095</v>
      </c>
      <c r="AI14" s="915">
        <v>84506072</v>
      </c>
      <c r="AJ14" s="915">
        <v>114367577</v>
      </c>
      <c r="AK14" s="915">
        <v>115974788.56999999</v>
      </c>
      <c r="AL14" s="916">
        <f t="shared" si="20"/>
        <v>0.78371554170996782</v>
      </c>
      <c r="AM14" s="915" t="s">
        <v>2095</v>
      </c>
      <c r="AN14" s="915">
        <v>51587902</v>
      </c>
      <c r="AO14" s="915">
        <v>110411467</v>
      </c>
      <c r="AP14" s="915">
        <v>111183964</v>
      </c>
      <c r="AQ14" s="928">
        <f t="shared" si="21"/>
        <v>0.7513408875337394</v>
      </c>
      <c r="AR14" s="915">
        <f t="shared" si="14"/>
        <v>3956110</v>
      </c>
      <c r="AS14" s="918">
        <v>0</v>
      </c>
      <c r="AT14" s="918">
        <v>0</v>
      </c>
      <c r="AU14" s="918">
        <v>32918170</v>
      </c>
      <c r="AV14" s="918">
        <v>30718985</v>
      </c>
      <c r="AW14" s="918">
        <v>3956110</v>
      </c>
      <c r="AX14" s="918">
        <v>3659814</v>
      </c>
      <c r="AY14" s="920">
        <f t="shared" si="7"/>
        <v>0.92510420589922926</v>
      </c>
      <c r="AZ14" s="921">
        <v>367980718</v>
      </c>
      <c r="BA14" s="922">
        <f t="shared" si="22"/>
        <v>314848437.56999999</v>
      </c>
      <c r="BB14" s="923">
        <f t="shared" si="9"/>
        <v>0.85561123767903513</v>
      </c>
      <c r="BC14" s="929">
        <f t="shared" si="23"/>
        <v>307562132</v>
      </c>
      <c r="BD14" s="923">
        <f t="shared" si="24"/>
        <v>0.83581045678594501</v>
      </c>
      <c r="BE14" s="925"/>
      <c r="BF14" s="926"/>
      <c r="BG14" s="910" t="s">
        <v>219</v>
      </c>
      <c r="BH14" s="1345"/>
    </row>
    <row r="15" spans="1:61" s="865" customFormat="1" ht="57.75" customHeight="1">
      <c r="A15" s="904" t="s">
        <v>2098</v>
      </c>
      <c r="B15" s="936" t="s">
        <v>2099</v>
      </c>
      <c r="C15" s="937" t="s">
        <v>2086</v>
      </c>
      <c r="D15" s="906">
        <v>1</v>
      </c>
      <c r="E15" s="906">
        <v>0</v>
      </c>
      <c r="F15" s="906">
        <v>0</v>
      </c>
      <c r="G15" s="906">
        <v>0</v>
      </c>
      <c r="H15" s="906">
        <v>0</v>
      </c>
      <c r="I15" s="906">
        <v>0</v>
      </c>
      <c r="J15" s="906"/>
      <c r="K15" s="906"/>
      <c r="L15" s="906">
        <v>1</v>
      </c>
      <c r="M15" s="906"/>
      <c r="N15" s="906"/>
      <c r="O15" s="908">
        <f t="shared" si="15"/>
        <v>1</v>
      </c>
      <c r="P15" s="908">
        <f t="shared" si="15"/>
        <v>0</v>
      </c>
      <c r="Q15" s="908">
        <f t="shared" si="15"/>
        <v>0</v>
      </c>
      <c r="R15" s="908">
        <f t="shared" si="16"/>
        <v>0</v>
      </c>
      <c r="S15" s="910"/>
      <c r="T15" s="910"/>
      <c r="U15" s="911"/>
      <c r="V15" s="869"/>
      <c r="W15" s="910"/>
      <c r="X15" s="910"/>
      <c r="Y15" s="906">
        <f t="shared" si="17"/>
        <v>1</v>
      </c>
      <c r="Z15" s="913">
        <f t="shared" si="18"/>
        <v>1</v>
      </c>
      <c r="AA15" s="914">
        <f t="shared" ref="AA15" si="25">IF(Z15/Y15&gt;=100%,100%,Z15/Y15)</f>
        <v>1</v>
      </c>
      <c r="AB15" s="908">
        <v>0.08</v>
      </c>
      <c r="AC15" s="908">
        <v>0.13</v>
      </c>
      <c r="AD15" s="908">
        <v>0</v>
      </c>
      <c r="AE15" s="928">
        <v>0</v>
      </c>
      <c r="AF15" s="908">
        <v>0</v>
      </c>
      <c r="AG15" s="915"/>
      <c r="AH15" s="915">
        <v>600000000</v>
      </c>
      <c r="AI15" s="915">
        <v>0</v>
      </c>
      <c r="AJ15" s="915"/>
      <c r="AK15" s="915"/>
      <c r="AL15" s="916" t="e">
        <f t="shared" si="20"/>
        <v>#DIV/0!</v>
      </c>
      <c r="AM15" s="915">
        <v>0</v>
      </c>
      <c r="AN15" s="915">
        <v>0</v>
      </c>
      <c r="AO15" s="915"/>
      <c r="AP15" s="915"/>
      <c r="AQ15" s="928" t="e">
        <f t="shared" si="21"/>
        <v>#DIV/0!</v>
      </c>
      <c r="AR15" s="915">
        <f t="shared" si="14"/>
        <v>0</v>
      </c>
      <c r="AS15" s="918">
        <v>600000000</v>
      </c>
      <c r="AT15" s="918">
        <v>589967522</v>
      </c>
      <c r="AU15" s="918"/>
      <c r="AV15" s="918"/>
      <c r="AW15" s="918"/>
      <c r="AX15" s="918"/>
      <c r="AY15" s="920" t="e">
        <f t="shared" si="7"/>
        <v>#DIV/0!</v>
      </c>
      <c r="AZ15" s="921">
        <v>600000000</v>
      </c>
      <c r="BA15" s="922">
        <f t="shared" si="22"/>
        <v>600000000</v>
      </c>
      <c r="BB15" s="923">
        <f t="shared" si="9"/>
        <v>1</v>
      </c>
      <c r="BC15" s="929">
        <f t="shared" si="23"/>
        <v>589967522</v>
      </c>
      <c r="BD15" s="923">
        <f t="shared" si="24"/>
        <v>0.9832792033333333</v>
      </c>
      <c r="BE15" s="925"/>
      <c r="BF15" s="926"/>
      <c r="BG15" s="910" t="s">
        <v>1701</v>
      </c>
      <c r="BH15" s="1363" t="s">
        <v>2087</v>
      </c>
    </row>
    <row r="16" spans="1:61" s="865" customFormat="1" ht="47.4" customHeight="1">
      <c r="A16" s="904" t="s">
        <v>2100</v>
      </c>
      <c r="B16" s="1284" t="s">
        <v>2101</v>
      </c>
      <c r="C16" s="937" t="s">
        <v>2086</v>
      </c>
      <c r="D16" s="906">
        <v>0</v>
      </c>
      <c r="E16" s="906">
        <v>0</v>
      </c>
      <c r="F16" s="906">
        <v>0</v>
      </c>
      <c r="G16" s="1285">
        <v>1</v>
      </c>
      <c r="H16" s="906">
        <v>0</v>
      </c>
      <c r="I16" s="906">
        <v>0</v>
      </c>
      <c r="J16" s="906">
        <v>0</v>
      </c>
      <c r="K16" s="1276">
        <v>1</v>
      </c>
      <c r="L16" s="906"/>
      <c r="M16" s="906"/>
      <c r="N16" s="906"/>
      <c r="O16" s="908">
        <f t="shared" si="15"/>
        <v>0</v>
      </c>
      <c r="P16" s="908">
        <f t="shared" si="15"/>
        <v>0</v>
      </c>
      <c r="Q16" s="908">
        <f t="shared" si="15"/>
        <v>0</v>
      </c>
      <c r="R16" s="908">
        <f t="shared" si="16"/>
        <v>1</v>
      </c>
      <c r="S16" s="910" t="s">
        <v>2686</v>
      </c>
      <c r="T16" s="931">
        <v>45291</v>
      </c>
      <c r="U16" s="911" t="s">
        <v>2092</v>
      </c>
      <c r="V16" s="869"/>
      <c r="W16" s="910" t="s">
        <v>2687</v>
      </c>
      <c r="X16" s="910">
        <v>296</v>
      </c>
      <c r="Y16" s="906">
        <f t="shared" si="17"/>
        <v>1</v>
      </c>
      <c r="Z16" s="913">
        <f t="shared" si="18"/>
        <v>1</v>
      </c>
      <c r="AA16" s="914">
        <f>IF(Z16/Y16&gt;=100%,100%,Z16/Y16)</f>
        <v>1</v>
      </c>
      <c r="AB16" s="908">
        <v>0.08</v>
      </c>
      <c r="AC16" s="908">
        <v>0</v>
      </c>
      <c r="AD16" s="908">
        <v>0</v>
      </c>
      <c r="AE16" s="928">
        <v>0</v>
      </c>
      <c r="AF16" s="908">
        <v>0.125</v>
      </c>
      <c r="AG16" s="915">
        <v>705366669</v>
      </c>
      <c r="AH16" s="915" t="s">
        <v>2095</v>
      </c>
      <c r="AI16" s="915">
        <v>0</v>
      </c>
      <c r="AJ16" s="915"/>
      <c r="AK16" s="915">
        <v>704404306</v>
      </c>
      <c r="AL16" s="916">
        <f t="shared" si="20"/>
        <v>0.99863565569186263</v>
      </c>
      <c r="AM16" s="915" t="s">
        <v>2095</v>
      </c>
      <c r="AN16" s="915">
        <v>0</v>
      </c>
      <c r="AO16" s="915"/>
      <c r="AP16" s="915">
        <v>260051699</v>
      </c>
      <c r="AQ16" s="928">
        <f t="shared" si="21"/>
        <v>0.36867591059934246</v>
      </c>
      <c r="AR16" s="915">
        <f t="shared" si="14"/>
        <v>0</v>
      </c>
      <c r="AS16" s="918">
        <v>0</v>
      </c>
      <c r="AT16" s="918">
        <v>0</v>
      </c>
      <c r="AU16" s="918"/>
      <c r="AV16" s="918"/>
      <c r="AW16" s="918"/>
      <c r="AX16" s="918"/>
      <c r="AY16" s="920" t="e">
        <f t="shared" si="7"/>
        <v>#DIV/0!</v>
      </c>
      <c r="AZ16" s="921">
        <v>705366669</v>
      </c>
      <c r="BA16" s="922">
        <f t="shared" si="22"/>
        <v>704404306</v>
      </c>
      <c r="BB16" s="923">
        <f t="shared" si="9"/>
        <v>0.99863565569186263</v>
      </c>
      <c r="BC16" s="929">
        <f t="shared" si="23"/>
        <v>260051699</v>
      </c>
      <c r="BD16" s="923">
        <f t="shared" si="24"/>
        <v>0.36867591059934246</v>
      </c>
      <c r="BE16" s="925"/>
      <c r="BF16" s="926"/>
      <c r="BG16" s="910" t="s">
        <v>1142</v>
      </c>
      <c r="BH16" s="1345"/>
    </row>
    <row r="17" spans="1:61" s="865" customFormat="1" ht="47.4" customHeight="1">
      <c r="A17" s="904" t="s">
        <v>2102</v>
      </c>
      <c r="B17" s="905" t="s">
        <v>2103</v>
      </c>
      <c r="C17" s="937" t="s">
        <v>2086</v>
      </c>
      <c r="D17" s="906">
        <v>3</v>
      </c>
      <c r="E17" s="906">
        <v>1</v>
      </c>
      <c r="F17" s="938">
        <v>0.1</v>
      </c>
      <c r="G17" s="938">
        <v>1</v>
      </c>
      <c r="H17" s="906">
        <v>3</v>
      </c>
      <c r="I17" s="906">
        <v>0</v>
      </c>
      <c r="J17" s="939">
        <v>0.08</v>
      </c>
      <c r="K17" s="938">
        <v>1</v>
      </c>
      <c r="L17" s="906"/>
      <c r="M17" s="940">
        <v>1</v>
      </c>
      <c r="N17" s="938">
        <v>0.02</v>
      </c>
      <c r="O17" s="908">
        <f t="shared" si="15"/>
        <v>1</v>
      </c>
      <c r="P17" s="908">
        <f t="shared" si="15"/>
        <v>1</v>
      </c>
      <c r="Q17" s="908">
        <f t="shared" si="15"/>
        <v>1</v>
      </c>
      <c r="R17" s="908">
        <f>+IFERROR(IF(K17/G17&gt;=100%,100%,K17/G17),0)</f>
        <v>1</v>
      </c>
      <c r="S17" s="910" t="s">
        <v>2688</v>
      </c>
      <c r="T17" s="931">
        <v>45291</v>
      </c>
      <c r="U17" s="941" t="s">
        <v>2092</v>
      </c>
      <c r="V17" s="942"/>
      <c r="W17" s="909" t="s">
        <v>2683</v>
      </c>
      <c r="X17" s="909" t="s">
        <v>2689</v>
      </c>
      <c r="Y17" s="906">
        <f t="shared" si="17"/>
        <v>5.0999999999999996</v>
      </c>
      <c r="Z17" s="913">
        <f t="shared" si="18"/>
        <v>5.0999999999999996</v>
      </c>
      <c r="AA17" s="914">
        <f t="shared" ref="AA17:AA18" si="26">IF(Z17/Y17&gt;=100%,100%,Z17/Y17)</f>
        <v>1</v>
      </c>
      <c r="AB17" s="908">
        <v>0.1</v>
      </c>
      <c r="AC17" s="908">
        <v>0.16</v>
      </c>
      <c r="AD17" s="908">
        <v>0.15</v>
      </c>
      <c r="AE17" s="935">
        <v>0.18</v>
      </c>
      <c r="AF17" s="908">
        <v>0.125</v>
      </c>
      <c r="AG17" s="915">
        <v>583188080</v>
      </c>
      <c r="AH17" s="915">
        <v>0</v>
      </c>
      <c r="AI17" s="915">
        <v>38011318</v>
      </c>
      <c r="AJ17" s="915">
        <v>544866789</v>
      </c>
      <c r="AK17" s="915">
        <v>583188000</v>
      </c>
      <c r="AL17" s="916">
        <f t="shared" si="20"/>
        <v>0.99999986282298503</v>
      </c>
      <c r="AM17" s="915">
        <v>0</v>
      </c>
      <c r="AN17" s="915">
        <v>37199404</v>
      </c>
      <c r="AO17" s="915">
        <v>359608367</v>
      </c>
      <c r="AP17" s="915">
        <v>583187998</v>
      </c>
      <c r="AQ17" s="928">
        <f t="shared" si="21"/>
        <v>0.99999985939355962</v>
      </c>
      <c r="AR17" s="915">
        <f t="shared" si="14"/>
        <v>185258422</v>
      </c>
      <c r="AS17" s="918">
        <v>0</v>
      </c>
      <c r="AT17" s="918">
        <v>0</v>
      </c>
      <c r="AU17" s="918">
        <v>811914</v>
      </c>
      <c r="AV17" s="918">
        <v>604590</v>
      </c>
      <c r="AW17" s="918">
        <v>185258422</v>
      </c>
      <c r="AX17" s="918">
        <v>184702223</v>
      </c>
      <c r="AY17" s="920">
        <f t="shared" si="7"/>
        <v>0.99699771274096249</v>
      </c>
      <c r="AZ17" s="921">
        <v>1282890287</v>
      </c>
      <c r="BA17" s="922">
        <f t="shared" si="22"/>
        <v>1166066107</v>
      </c>
      <c r="BB17" s="923">
        <f t="shared" si="9"/>
        <v>0.90893673357431848</v>
      </c>
      <c r="BC17" s="929">
        <f t="shared" si="23"/>
        <v>1165302582</v>
      </c>
      <c r="BD17" s="923">
        <f t="shared" si="24"/>
        <v>0.90834157356123157</v>
      </c>
      <c r="BE17" s="925"/>
      <c r="BF17" s="926"/>
      <c r="BG17" s="910" t="s">
        <v>130</v>
      </c>
      <c r="BH17" s="1345"/>
    </row>
    <row r="18" spans="1:61" s="865" customFormat="1" ht="47.4" customHeight="1">
      <c r="A18" s="904" t="s">
        <v>2104</v>
      </c>
      <c r="B18" s="936" t="s">
        <v>2105</v>
      </c>
      <c r="C18" s="937" t="s">
        <v>2086</v>
      </c>
      <c r="D18" s="906">
        <v>0</v>
      </c>
      <c r="E18" s="938">
        <v>0.1</v>
      </c>
      <c r="F18" s="906">
        <v>0</v>
      </c>
      <c r="G18" s="906">
        <v>1</v>
      </c>
      <c r="H18" s="906">
        <v>0</v>
      </c>
      <c r="I18" s="938">
        <v>0</v>
      </c>
      <c r="J18" s="906">
        <v>0</v>
      </c>
      <c r="K18" s="939">
        <v>1</v>
      </c>
      <c r="L18" s="906"/>
      <c r="M18" s="906">
        <v>0.1</v>
      </c>
      <c r="N18" s="906"/>
      <c r="O18" s="930">
        <f t="shared" si="15"/>
        <v>0</v>
      </c>
      <c r="P18" s="908">
        <f t="shared" si="15"/>
        <v>1</v>
      </c>
      <c r="Q18" s="908">
        <f t="shared" si="15"/>
        <v>0</v>
      </c>
      <c r="R18" s="908">
        <f t="shared" si="16"/>
        <v>1</v>
      </c>
      <c r="S18" s="909" t="s">
        <v>2690</v>
      </c>
      <c r="T18" s="931">
        <v>45291</v>
      </c>
      <c r="U18" s="941" t="s">
        <v>2092</v>
      </c>
      <c r="V18" s="942"/>
      <c r="W18" s="909" t="s">
        <v>2683</v>
      </c>
      <c r="X18" s="909" t="s">
        <v>2106</v>
      </c>
      <c r="Y18" s="907">
        <f t="shared" si="17"/>
        <v>1.1000000000000001</v>
      </c>
      <c r="Z18" s="913">
        <f t="shared" si="18"/>
        <v>1.1000000000000001</v>
      </c>
      <c r="AA18" s="914">
        <f t="shared" si="26"/>
        <v>1</v>
      </c>
      <c r="AB18" s="908">
        <v>0.08</v>
      </c>
      <c r="AC18" s="908">
        <v>0</v>
      </c>
      <c r="AD18" s="930">
        <v>0.12</v>
      </c>
      <c r="AE18" s="928">
        <v>0</v>
      </c>
      <c r="AF18" s="908">
        <v>0.125</v>
      </c>
      <c r="AG18" s="915">
        <v>371100372</v>
      </c>
      <c r="AH18" s="944">
        <v>0</v>
      </c>
      <c r="AI18" s="915">
        <v>42093925</v>
      </c>
      <c r="AJ18" s="915"/>
      <c r="AK18" s="915">
        <v>371100372</v>
      </c>
      <c r="AL18" s="916">
        <f t="shared" si="20"/>
        <v>1</v>
      </c>
      <c r="AM18" s="944">
        <v>0</v>
      </c>
      <c r="AN18" s="915">
        <v>41733074</v>
      </c>
      <c r="AO18" s="915"/>
      <c r="AP18" s="915">
        <v>251100372</v>
      </c>
      <c r="AQ18" s="928">
        <f t="shared" si="21"/>
        <v>0.67663734920750762</v>
      </c>
      <c r="AR18" s="915">
        <f t="shared" si="14"/>
        <v>0</v>
      </c>
      <c r="AS18" s="918">
        <v>0</v>
      </c>
      <c r="AT18" s="918">
        <v>0</v>
      </c>
      <c r="AU18" s="918">
        <v>360851</v>
      </c>
      <c r="AV18" s="918">
        <v>268707</v>
      </c>
      <c r="AW18" s="918"/>
      <c r="AX18" s="918"/>
      <c r="AY18" s="920" t="e">
        <f t="shared" si="7"/>
        <v>#DIV/0!</v>
      </c>
      <c r="AZ18" s="921">
        <v>571100372</v>
      </c>
      <c r="BA18" s="922">
        <f t="shared" si="22"/>
        <v>413194297</v>
      </c>
      <c r="BB18" s="923">
        <f t="shared" si="9"/>
        <v>0.72350556444743486</v>
      </c>
      <c r="BC18" s="929">
        <f t="shared" si="23"/>
        <v>293102153</v>
      </c>
      <c r="BD18" s="923">
        <f t="shared" si="24"/>
        <v>0.51322353717535307</v>
      </c>
      <c r="BE18" s="925"/>
      <c r="BF18" s="926"/>
      <c r="BG18" s="910" t="s">
        <v>1701</v>
      </c>
      <c r="BH18" s="927" t="s">
        <v>2107</v>
      </c>
    </row>
    <row r="19" spans="1:61" s="865" customFormat="1" ht="63" customHeight="1">
      <c r="A19" s="904" t="s">
        <v>2108</v>
      </c>
      <c r="B19" s="936" t="s">
        <v>2109</v>
      </c>
      <c r="C19" s="937" t="s">
        <v>2086</v>
      </c>
      <c r="D19" s="906">
        <v>1</v>
      </c>
      <c r="E19" s="906">
        <v>0</v>
      </c>
      <c r="F19" s="906">
        <v>0</v>
      </c>
      <c r="G19" s="906">
        <v>0</v>
      </c>
      <c r="H19" s="906">
        <v>1</v>
      </c>
      <c r="I19" s="906">
        <v>0</v>
      </c>
      <c r="J19" s="906"/>
      <c r="K19" s="906"/>
      <c r="L19" s="906"/>
      <c r="M19" s="906"/>
      <c r="N19" s="906"/>
      <c r="O19" s="908">
        <f t="shared" si="15"/>
        <v>1</v>
      </c>
      <c r="P19" s="908">
        <f t="shared" si="15"/>
        <v>0</v>
      </c>
      <c r="Q19" s="908">
        <f t="shared" si="15"/>
        <v>0</v>
      </c>
      <c r="R19" s="908">
        <f t="shared" si="16"/>
        <v>0</v>
      </c>
      <c r="S19" s="909"/>
      <c r="T19" s="910"/>
      <c r="U19" s="911"/>
      <c r="V19" s="869"/>
      <c r="W19" s="910"/>
      <c r="X19" s="910"/>
      <c r="Y19" s="906">
        <f t="shared" si="17"/>
        <v>1</v>
      </c>
      <c r="Z19" s="913">
        <f t="shared" si="18"/>
        <v>1</v>
      </c>
      <c r="AA19" s="914">
        <f>IF(Z19/Y19&gt;=100%,100%,Z19/Y19)</f>
        <v>1</v>
      </c>
      <c r="AB19" s="908">
        <v>0.02</v>
      </c>
      <c r="AC19" s="908">
        <v>0.1</v>
      </c>
      <c r="AD19" s="908">
        <v>0</v>
      </c>
      <c r="AE19" s="928">
        <v>0</v>
      </c>
      <c r="AF19" s="908">
        <v>0</v>
      </c>
      <c r="AG19" s="915"/>
      <c r="AH19" s="915">
        <v>27500000</v>
      </c>
      <c r="AI19" s="915">
        <v>0</v>
      </c>
      <c r="AJ19" s="915"/>
      <c r="AK19" s="915"/>
      <c r="AL19" s="916" t="e">
        <f t="shared" si="20"/>
        <v>#DIV/0!</v>
      </c>
      <c r="AM19" s="915">
        <v>27500000</v>
      </c>
      <c r="AN19" s="915">
        <v>0</v>
      </c>
      <c r="AO19" s="915"/>
      <c r="AP19" s="915"/>
      <c r="AQ19" s="928" t="e">
        <f t="shared" si="21"/>
        <v>#DIV/0!</v>
      </c>
      <c r="AR19" s="915">
        <f t="shared" si="14"/>
        <v>0</v>
      </c>
      <c r="AS19" s="918">
        <v>0</v>
      </c>
      <c r="AT19" s="918">
        <v>0</v>
      </c>
      <c r="AU19" s="918"/>
      <c r="AV19" s="918"/>
      <c r="AW19" s="918"/>
      <c r="AX19" s="918"/>
      <c r="AY19" s="920" t="e">
        <f t="shared" si="7"/>
        <v>#DIV/0!</v>
      </c>
      <c r="AZ19" s="921">
        <v>100000000</v>
      </c>
      <c r="BA19" s="922">
        <f t="shared" si="22"/>
        <v>27500000</v>
      </c>
      <c r="BB19" s="923">
        <f t="shared" si="9"/>
        <v>0.27500000000000002</v>
      </c>
      <c r="BC19" s="929">
        <f t="shared" si="23"/>
        <v>27500000</v>
      </c>
      <c r="BD19" s="923">
        <f t="shared" si="24"/>
        <v>0.27500000000000002</v>
      </c>
      <c r="BE19" s="925"/>
      <c r="BF19" s="926"/>
      <c r="BG19" s="910" t="s">
        <v>1701</v>
      </c>
      <c r="BH19" s="927" t="s">
        <v>2087</v>
      </c>
    </row>
    <row r="20" spans="1:61" s="865" customFormat="1" ht="140.25" customHeight="1">
      <c r="A20" s="904" t="s">
        <v>2110</v>
      </c>
      <c r="B20" s="936" t="s">
        <v>2111</v>
      </c>
      <c r="C20" s="937" t="s">
        <v>2086</v>
      </c>
      <c r="D20" s="906">
        <v>0</v>
      </c>
      <c r="E20" s="906">
        <v>1</v>
      </c>
      <c r="F20" s="938">
        <v>0.1</v>
      </c>
      <c r="G20" s="938">
        <v>1</v>
      </c>
      <c r="H20" s="906">
        <v>0</v>
      </c>
      <c r="I20" s="906">
        <v>0</v>
      </c>
      <c r="J20" s="939">
        <v>0.08</v>
      </c>
      <c r="K20" s="939">
        <v>1</v>
      </c>
      <c r="L20" s="906"/>
      <c r="M20" s="906">
        <v>1</v>
      </c>
      <c r="N20" s="938">
        <v>0.02</v>
      </c>
      <c r="O20" s="908">
        <f t="shared" si="15"/>
        <v>0</v>
      </c>
      <c r="P20" s="908">
        <f t="shared" si="15"/>
        <v>1</v>
      </c>
      <c r="Q20" s="930">
        <f t="shared" si="15"/>
        <v>1</v>
      </c>
      <c r="R20" s="908">
        <f t="shared" si="16"/>
        <v>1</v>
      </c>
      <c r="S20" s="910" t="s">
        <v>2691</v>
      </c>
      <c r="T20" s="931">
        <v>45291</v>
      </c>
      <c r="U20" s="941" t="s">
        <v>2092</v>
      </c>
      <c r="V20" s="942"/>
      <c r="W20" s="909" t="s">
        <v>2683</v>
      </c>
      <c r="X20" s="909">
        <v>257</v>
      </c>
      <c r="Y20" s="906">
        <f t="shared" si="17"/>
        <v>2.1</v>
      </c>
      <c r="Z20" s="913">
        <f t="shared" si="18"/>
        <v>2.1</v>
      </c>
      <c r="AA20" s="914">
        <f t="shared" ref="AA20" si="27">IF(Z20/Y20&gt;=100%,100%,Z20/Y20)</f>
        <v>1</v>
      </c>
      <c r="AB20" s="908">
        <v>0.15</v>
      </c>
      <c r="AC20" s="908">
        <v>0</v>
      </c>
      <c r="AD20" s="908">
        <v>0.22</v>
      </c>
      <c r="AE20" s="935">
        <v>0.23</v>
      </c>
      <c r="AF20" s="908">
        <v>0.125</v>
      </c>
      <c r="AG20" s="944">
        <v>700000000</v>
      </c>
      <c r="AH20" s="915">
        <v>0</v>
      </c>
      <c r="AI20" s="915">
        <v>16893925</v>
      </c>
      <c r="AJ20" s="915">
        <v>559570543</v>
      </c>
      <c r="AK20" s="915">
        <v>700000000</v>
      </c>
      <c r="AL20" s="916">
        <f t="shared" si="20"/>
        <v>1</v>
      </c>
      <c r="AM20" s="915">
        <v>0</v>
      </c>
      <c r="AN20" s="915">
        <v>16533074</v>
      </c>
      <c r="AO20" s="915">
        <v>442650348</v>
      </c>
      <c r="AP20" s="915">
        <v>700000000</v>
      </c>
      <c r="AQ20" s="928">
        <f t="shared" si="21"/>
        <v>1</v>
      </c>
      <c r="AR20" s="915">
        <f>+AJ20-AO20</f>
        <v>116920195</v>
      </c>
      <c r="AS20" s="918">
        <v>0</v>
      </c>
      <c r="AT20" s="918">
        <v>0</v>
      </c>
      <c r="AU20" s="918">
        <v>360851</v>
      </c>
      <c r="AV20" s="918">
        <v>268707</v>
      </c>
      <c r="AW20" s="918">
        <v>116920195</v>
      </c>
      <c r="AX20" s="918">
        <v>116352758</v>
      </c>
      <c r="AY20" s="920">
        <f t="shared" si="7"/>
        <v>0.99514680077295459</v>
      </c>
      <c r="AZ20" s="921">
        <v>1290000000</v>
      </c>
      <c r="BA20" s="922">
        <f t="shared" si="22"/>
        <v>1276464468</v>
      </c>
      <c r="BB20" s="923">
        <f t="shared" si="9"/>
        <v>0.98950733953488368</v>
      </c>
      <c r="BC20" s="929">
        <f t="shared" si="23"/>
        <v>1275804887</v>
      </c>
      <c r="BD20" s="923">
        <f t="shared" si="24"/>
        <v>0.98899603643410849</v>
      </c>
      <c r="BE20" s="925"/>
      <c r="BF20" s="926"/>
      <c r="BG20" s="910" t="s">
        <v>1701</v>
      </c>
      <c r="BH20" s="927" t="s">
        <v>2087</v>
      </c>
    </row>
    <row r="21" spans="1:61" s="865" customFormat="1" ht="47.4" customHeight="1">
      <c r="A21" s="904" t="s">
        <v>2112</v>
      </c>
      <c r="B21" s="936" t="s">
        <v>2113</v>
      </c>
      <c r="C21" s="937" t="s">
        <v>2086</v>
      </c>
      <c r="D21" s="906">
        <v>1</v>
      </c>
      <c r="E21" s="906">
        <v>2</v>
      </c>
      <c r="F21" s="906">
        <v>2</v>
      </c>
      <c r="G21" s="906">
        <v>2</v>
      </c>
      <c r="H21" s="906">
        <v>1</v>
      </c>
      <c r="I21" s="906">
        <v>2</v>
      </c>
      <c r="J21" s="906">
        <v>2</v>
      </c>
      <c r="K21" s="938">
        <v>2</v>
      </c>
      <c r="L21" s="906"/>
      <c r="M21" s="908"/>
      <c r="N21" s="906"/>
      <c r="O21" s="908">
        <f t="shared" si="15"/>
        <v>1</v>
      </c>
      <c r="P21" s="908">
        <f t="shared" si="15"/>
        <v>1</v>
      </c>
      <c r="Q21" s="930">
        <f t="shared" si="15"/>
        <v>1</v>
      </c>
      <c r="R21" s="908">
        <f t="shared" si="16"/>
        <v>1</v>
      </c>
      <c r="S21" s="945" t="s">
        <v>2692</v>
      </c>
      <c r="T21" s="931">
        <v>45291</v>
      </c>
      <c r="U21" s="941" t="s">
        <v>2092</v>
      </c>
      <c r="V21" s="942"/>
      <c r="W21" s="909" t="s">
        <v>2683</v>
      </c>
      <c r="X21" s="909" t="s">
        <v>2114</v>
      </c>
      <c r="Y21" s="906">
        <f t="shared" si="17"/>
        <v>7</v>
      </c>
      <c r="Z21" s="913">
        <f t="shared" si="18"/>
        <v>7</v>
      </c>
      <c r="AA21" s="914">
        <f>IF(Z21/Y21&gt;=100%,100%,Z21/Y21)</f>
        <v>1</v>
      </c>
      <c r="AB21" s="908">
        <v>0.08</v>
      </c>
      <c r="AC21" s="908">
        <v>0.13</v>
      </c>
      <c r="AD21" s="908">
        <v>0.12</v>
      </c>
      <c r="AE21" s="935">
        <v>0.16</v>
      </c>
      <c r="AF21" s="908">
        <v>0.125</v>
      </c>
      <c r="AG21" s="915">
        <v>157000000</v>
      </c>
      <c r="AH21" s="915">
        <v>35000000</v>
      </c>
      <c r="AI21" s="915">
        <v>167826809</v>
      </c>
      <c r="AJ21" s="915">
        <v>169741138</v>
      </c>
      <c r="AK21" s="915">
        <v>157000000</v>
      </c>
      <c r="AL21" s="916">
        <f t="shared" si="20"/>
        <v>1</v>
      </c>
      <c r="AM21" s="915">
        <v>35000000</v>
      </c>
      <c r="AN21" s="915">
        <v>62895003</v>
      </c>
      <c r="AO21" s="915">
        <v>164090403</v>
      </c>
      <c r="AP21" s="915">
        <v>128723220</v>
      </c>
      <c r="AQ21" s="928">
        <f t="shared" si="21"/>
        <v>0.81989312101910827</v>
      </c>
      <c r="AR21" s="915">
        <f t="shared" si="14"/>
        <v>5650735</v>
      </c>
      <c r="AS21" s="918">
        <v>0</v>
      </c>
      <c r="AT21" s="918">
        <v>0</v>
      </c>
      <c r="AU21" s="918">
        <v>104931806</v>
      </c>
      <c r="AV21" s="918">
        <v>102838293</v>
      </c>
      <c r="AW21" s="918">
        <v>5650735</v>
      </c>
      <c r="AX21" s="918">
        <v>5482909</v>
      </c>
      <c r="AY21" s="920">
        <f t="shared" si="7"/>
        <v>0.97030014679506293</v>
      </c>
      <c r="AZ21" s="921">
        <v>632000000</v>
      </c>
      <c r="BA21" s="922">
        <f t="shared" si="22"/>
        <v>529567947</v>
      </c>
      <c r="BB21" s="923">
        <f t="shared" si="9"/>
        <v>0.83792396677215186</v>
      </c>
      <c r="BC21" s="929">
        <f t="shared" si="23"/>
        <v>499029828</v>
      </c>
      <c r="BD21" s="923">
        <f t="shared" si="24"/>
        <v>0.78960415822784813</v>
      </c>
      <c r="BE21" s="925"/>
      <c r="BF21" s="926"/>
      <c r="BG21" s="910" t="s">
        <v>1701</v>
      </c>
      <c r="BH21" s="927" t="s">
        <v>2087</v>
      </c>
    </row>
    <row r="22" spans="1:61" s="865" customFormat="1" ht="47.4" customHeight="1">
      <c r="A22" s="893" t="s">
        <v>2115</v>
      </c>
      <c r="B22" s="894"/>
      <c r="C22" s="894"/>
      <c r="D22" s="895"/>
      <c r="E22" s="895"/>
      <c r="F22" s="895"/>
      <c r="G22" s="895"/>
      <c r="H22" s="895"/>
      <c r="I22" s="895"/>
      <c r="J22" s="895"/>
      <c r="K22" s="895"/>
      <c r="L22" s="895"/>
      <c r="M22" s="895"/>
      <c r="N22" s="895"/>
      <c r="O22" s="896">
        <f>+SUMPRODUCT(O23:O24,AC23:AC24)</f>
        <v>1</v>
      </c>
      <c r="P22" s="896">
        <f t="shared" ref="P22:R22" si="28">+SUMPRODUCT(P23:P24,AD23:AD24)</f>
        <v>1</v>
      </c>
      <c r="Q22" s="896">
        <f t="shared" si="28"/>
        <v>1</v>
      </c>
      <c r="R22" s="896">
        <f t="shared" si="28"/>
        <v>1</v>
      </c>
      <c r="S22" s="894"/>
      <c r="T22" s="894"/>
      <c r="U22" s="894"/>
      <c r="V22" s="894"/>
      <c r="W22" s="894"/>
      <c r="X22" s="894"/>
      <c r="Y22" s="897"/>
      <c r="Z22" s="897"/>
      <c r="AA22" s="898">
        <f>+SUMPRODUCT(AA23:AA24,AB23:AB24)</f>
        <v>1</v>
      </c>
      <c r="AB22" s="896">
        <v>0.1</v>
      </c>
      <c r="AC22" s="896">
        <v>0.1</v>
      </c>
      <c r="AD22" s="896">
        <v>0.1</v>
      </c>
      <c r="AE22" s="896">
        <v>0.1</v>
      </c>
      <c r="AF22" s="896">
        <v>0.1</v>
      </c>
      <c r="AG22" s="894">
        <f>+SUM(AG23:AG24)</f>
        <v>550000000</v>
      </c>
      <c r="AH22" s="894">
        <f>SUM(AH23:AH24)</f>
        <v>191150000</v>
      </c>
      <c r="AI22" s="894">
        <f>SUM(AI23:AI24)</f>
        <v>567479073</v>
      </c>
      <c r="AJ22" s="894">
        <f>SUM(AJ23:AJ24)</f>
        <v>549542227</v>
      </c>
      <c r="AK22" s="894">
        <f>SUM(AK23:AK24)</f>
        <v>525950195</v>
      </c>
      <c r="AL22" s="900">
        <f t="shared" si="20"/>
        <v>0.95627308181818182</v>
      </c>
      <c r="AM22" s="894">
        <f>SUM(AM23:AM24)</f>
        <v>158650000</v>
      </c>
      <c r="AN22" s="894">
        <f>SUM(AN23:AN24)</f>
        <v>523178398</v>
      </c>
      <c r="AO22" s="894">
        <f>SUM(AO23:AO24)</f>
        <v>500440377</v>
      </c>
      <c r="AP22" s="894">
        <f>SUM(AP23:AP24)</f>
        <v>520620976</v>
      </c>
      <c r="AQ22" s="901">
        <f t="shared" si="21"/>
        <v>0.94658359272727277</v>
      </c>
      <c r="AR22" s="902">
        <f t="shared" ref="AR22:AX22" si="29">SUM(AR23:AR24)</f>
        <v>49101850</v>
      </c>
      <c r="AS22" s="946">
        <f t="shared" si="29"/>
        <v>32500000</v>
      </c>
      <c r="AT22" s="946">
        <f t="shared" si="29"/>
        <v>32500000</v>
      </c>
      <c r="AU22" s="946">
        <f t="shared" si="29"/>
        <v>44300675</v>
      </c>
      <c r="AV22" s="946">
        <f t="shared" si="29"/>
        <v>40318115</v>
      </c>
      <c r="AW22" s="946">
        <f t="shared" si="29"/>
        <v>49101850</v>
      </c>
      <c r="AX22" s="946">
        <f t="shared" si="29"/>
        <v>48743415</v>
      </c>
      <c r="AY22" s="947">
        <f t="shared" si="7"/>
        <v>0.99270017321139636</v>
      </c>
      <c r="AZ22" s="946">
        <f>SUM(AZ23:AZ24)</f>
        <v>2000000000</v>
      </c>
      <c r="BA22" s="946">
        <f t="shared" si="22"/>
        <v>1834121495</v>
      </c>
      <c r="BB22" s="948">
        <f t="shared" si="9"/>
        <v>0.9170607475</v>
      </c>
      <c r="BC22" s="949">
        <f t="shared" si="23"/>
        <v>1824451281</v>
      </c>
      <c r="BD22" s="948">
        <f t="shared" si="24"/>
        <v>0.91222564049999999</v>
      </c>
      <c r="BE22" s="950"/>
      <c r="BF22" s="902"/>
      <c r="BG22" s="902"/>
      <c r="BH22" s="902"/>
    </row>
    <row r="23" spans="1:61" s="865" customFormat="1" ht="47.4" customHeight="1">
      <c r="A23" s="951" t="s">
        <v>2116</v>
      </c>
      <c r="B23" s="952" t="s">
        <v>2117</v>
      </c>
      <c r="C23" s="937" t="s">
        <v>2086</v>
      </c>
      <c r="D23" s="906">
        <v>1</v>
      </c>
      <c r="E23" s="906">
        <v>1</v>
      </c>
      <c r="F23" s="906">
        <v>1</v>
      </c>
      <c r="G23" s="906">
        <v>1</v>
      </c>
      <c r="H23" s="906">
        <v>1</v>
      </c>
      <c r="I23" s="906">
        <v>1</v>
      </c>
      <c r="J23" s="906">
        <v>1</v>
      </c>
      <c r="K23" s="906">
        <v>1</v>
      </c>
      <c r="L23" s="906"/>
      <c r="M23" s="906"/>
      <c r="N23" s="906"/>
      <c r="O23" s="908">
        <f t="shared" ref="O23:Q24" si="30">+IFERROR(IF((H23+L23)/D23&gt;=100%,100%,(H23+L23)/D23),0)</f>
        <v>1</v>
      </c>
      <c r="P23" s="914">
        <f t="shared" si="30"/>
        <v>1</v>
      </c>
      <c r="Q23" s="930">
        <f t="shared" si="30"/>
        <v>1</v>
      </c>
      <c r="R23" s="908">
        <f t="shared" ref="R23:R24" si="31">+IFERROR(IF(K23/G23&gt;=100%,100%,K23/G23),0)</f>
        <v>1</v>
      </c>
      <c r="S23" s="910" t="s">
        <v>2693</v>
      </c>
      <c r="T23" s="931">
        <v>45291</v>
      </c>
      <c r="U23" s="869"/>
      <c r="V23" s="869"/>
      <c r="W23" s="910"/>
      <c r="X23" s="869"/>
      <c r="Y23" s="906">
        <f t="shared" ref="Y23:Y24" si="32">SUM(D23:G23)</f>
        <v>4</v>
      </c>
      <c r="Z23" s="913">
        <f t="shared" ref="Z23:Z24" si="33">SUM(H23:N23)</f>
        <v>4</v>
      </c>
      <c r="AA23" s="914">
        <f>IF(Z23/Y23&gt;=100%,100%,Z23/Y23)</f>
        <v>1</v>
      </c>
      <c r="AB23" s="953">
        <v>0.5</v>
      </c>
      <c r="AC23" s="953">
        <v>0.5</v>
      </c>
      <c r="AD23" s="953">
        <v>0.5</v>
      </c>
      <c r="AE23" s="953">
        <v>0.5</v>
      </c>
      <c r="AF23" s="953">
        <v>0.5</v>
      </c>
      <c r="AG23" s="954">
        <v>400000000</v>
      </c>
      <c r="AH23" s="915">
        <v>151150000</v>
      </c>
      <c r="AI23" s="915">
        <v>370950000</v>
      </c>
      <c r="AJ23" s="915">
        <v>489109181</v>
      </c>
      <c r="AK23" s="915">
        <v>400000000</v>
      </c>
      <c r="AL23" s="916">
        <f t="shared" si="20"/>
        <v>1</v>
      </c>
      <c r="AM23" s="915">
        <v>138650000</v>
      </c>
      <c r="AN23" s="955">
        <v>368950000</v>
      </c>
      <c r="AO23" s="955">
        <v>476709597</v>
      </c>
      <c r="AP23" s="915">
        <v>399713004</v>
      </c>
      <c r="AQ23" s="928">
        <f t="shared" si="21"/>
        <v>0.99928251000000001</v>
      </c>
      <c r="AR23" s="915">
        <f t="shared" si="14"/>
        <v>12399584</v>
      </c>
      <c r="AS23" s="915">
        <v>12500000</v>
      </c>
      <c r="AT23" s="915">
        <v>12500000</v>
      </c>
      <c r="AU23" s="915">
        <v>2000000</v>
      </c>
      <c r="AV23" s="915">
        <v>2000000</v>
      </c>
      <c r="AW23" s="915">
        <v>12399584</v>
      </c>
      <c r="AX23" s="915">
        <v>12195578</v>
      </c>
      <c r="AY23" s="956">
        <f t="shared" si="7"/>
        <v>0.98354735126597792</v>
      </c>
      <c r="AZ23" s="921">
        <v>1489400000</v>
      </c>
      <c r="BA23" s="957">
        <f t="shared" si="22"/>
        <v>1411209181</v>
      </c>
      <c r="BB23" s="908">
        <f t="shared" si="9"/>
        <v>0.94750180005371287</v>
      </c>
      <c r="BC23" s="958">
        <f t="shared" si="23"/>
        <v>1410718179</v>
      </c>
      <c r="BD23" s="908">
        <f t="shared" si="24"/>
        <v>0.94717213575936621</v>
      </c>
      <c r="BE23" s="926"/>
      <c r="BF23" s="926"/>
      <c r="BG23" s="910" t="s">
        <v>1701</v>
      </c>
      <c r="BH23" s="1356" t="s">
        <v>2118</v>
      </c>
    </row>
    <row r="24" spans="1:61" s="865" customFormat="1" ht="47.4" customHeight="1">
      <c r="A24" s="951" t="s">
        <v>1827</v>
      </c>
      <c r="B24" s="905" t="s">
        <v>2119</v>
      </c>
      <c r="C24" s="937" t="s">
        <v>2086</v>
      </c>
      <c r="D24" s="906">
        <v>3</v>
      </c>
      <c r="E24" s="906">
        <v>3</v>
      </c>
      <c r="F24" s="906">
        <v>3</v>
      </c>
      <c r="G24" s="906">
        <v>3</v>
      </c>
      <c r="H24" s="906">
        <v>3</v>
      </c>
      <c r="I24" s="906">
        <v>3</v>
      </c>
      <c r="J24" s="906">
        <v>3</v>
      </c>
      <c r="K24" s="906">
        <v>3</v>
      </c>
      <c r="L24" s="906"/>
      <c r="M24" s="906"/>
      <c r="N24" s="906"/>
      <c r="O24" s="908">
        <f t="shared" si="30"/>
        <v>1</v>
      </c>
      <c r="P24" s="914">
        <f t="shared" si="30"/>
        <v>1</v>
      </c>
      <c r="Q24" s="930">
        <f t="shared" si="30"/>
        <v>1</v>
      </c>
      <c r="R24" s="908">
        <f t="shared" si="31"/>
        <v>1</v>
      </c>
      <c r="S24" s="910" t="s">
        <v>2694</v>
      </c>
      <c r="T24" s="931">
        <v>45291</v>
      </c>
      <c r="U24" s="869" t="s">
        <v>2120</v>
      </c>
      <c r="V24" s="910" t="s">
        <v>2121</v>
      </c>
      <c r="W24" s="910"/>
      <c r="X24" s="910"/>
      <c r="Y24" s="906">
        <f t="shared" si="32"/>
        <v>12</v>
      </c>
      <c r="Z24" s="913">
        <f t="shared" si="33"/>
        <v>12</v>
      </c>
      <c r="AA24" s="914">
        <f>IF(Z24/Y24&gt;=100%,100%,Z24/Y24)</f>
        <v>1</v>
      </c>
      <c r="AB24" s="953">
        <v>0.5</v>
      </c>
      <c r="AC24" s="953">
        <v>0.5</v>
      </c>
      <c r="AD24" s="953">
        <v>0.5</v>
      </c>
      <c r="AE24" s="953">
        <v>0.5</v>
      </c>
      <c r="AF24" s="953">
        <v>0.5</v>
      </c>
      <c r="AG24" s="954">
        <v>150000000</v>
      </c>
      <c r="AH24" s="915">
        <v>40000000</v>
      </c>
      <c r="AI24" s="915">
        <v>196529073</v>
      </c>
      <c r="AJ24" s="915">
        <v>60433046</v>
      </c>
      <c r="AK24" s="915">
        <v>125950195</v>
      </c>
      <c r="AL24" s="916">
        <f t="shared" si="20"/>
        <v>0.83966796666666665</v>
      </c>
      <c r="AM24" s="915">
        <v>20000000</v>
      </c>
      <c r="AN24" s="955">
        <v>154228398</v>
      </c>
      <c r="AO24" s="955">
        <v>23730780</v>
      </c>
      <c r="AP24" s="915">
        <v>120907972</v>
      </c>
      <c r="AQ24" s="928">
        <f t="shared" si="21"/>
        <v>0.80605314666666672</v>
      </c>
      <c r="AR24" s="915">
        <f>+AJ24-AO24</f>
        <v>36702266</v>
      </c>
      <c r="AS24" s="915">
        <v>20000000</v>
      </c>
      <c r="AT24" s="915">
        <v>20000000</v>
      </c>
      <c r="AU24" s="915">
        <v>42300675</v>
      </c>
      <c r="AV24" s="915">
        <v>38318115</v>
      </c>
      <c r="AW24" s="915">
        <v>36702266</v>
      </c>
      <c r="AX24" s="915">
        <v>36547837</v>
      </c>
      <c r="AY24" s="956">
        <f t="shared" si="7"/>
        <v>0.99579238513502133</v>
      </c>
      <c r="AZ24" s="921">
        <v>510600000</v>
      </c>
      <c r="BA24" s="957">
        <f t="shared" si="22"/>
        <v>422912314</v>
      </c>
      <c r="BB24" s="908">
        <f t="shared" si="9"/>
        <v>0.82826540148844496</v>
      </c>
      <c r="BC24" s="958">
        <f t="shared" si="23"/>
        <v>413733102</v>
      </c>
      <c r="BD24" s="908">
        <f t="shared" si="24"/>
        <v>0.81028809635722676</v>
      </c>
      <c r="BE24" s="926"/>
      <c r="BF24" s="926"/>
      <c r="BG24" s="910" t="s">
        <v>219</v>
      </c>
      <c r="BH24" s="1345"/>
    </row>
    <row r="25" spans="1:61" s="865" customFormat="1" ht="47.4" customHeight="1">
      <c r="A25" s="893" t="s">
        <v>2122</v>
      </c>
      <c r="B25" s="894"/>
      <c r="C25" s="894"/>
      <c r="D25" s="895"/>
      <c r="E25" s="895"/>
      <c r="F25" s="895"/>
      <c r="G25" s="895"/>
      <c r="H25" s="895"/>
      <c r="I25" s="895"/>
      <c r="J25" s="895"/>
      <c r="K25" s="895"/>
      <c r="L25" s="895"/>
      <c r="M25" s="895"/>
      <c r="N25" s="895"/>
      <c r="O25" s="896">
        <f>+SUMPRODUCT(O26:O30,AC26:AC30)</f>
        <v>0.99999999999999989</v>
      </c>
      <c r="P25" s="896">
        <f t="shared" ref="P25:R25" si="34">+SUMPRODUCT(P26:P30,AD26:AD30)</f>
        <v>0.99999999999999989</v>
      </c>
      <c r="Q25" s="896">
        <f t="shared" si="34"/>
        <v>0.99999999999999989</v>
      </c>
      <c r="R25" s="896">
        <f t="shared" si="34"/>
        <v>0.99999999999999989</v>
      </c>
      <c r="S25" s="894"/>
      <c r="T25" s="894"/>
      <c r="U25" s="894"/>
      <c r="V25" s="894"/>
      <c r="W25" s="894"/>
      <c r="X25" s="894"/>
      <c r="Y25" s="897"/>
      <c r="Z25" s="897"/>
      <c r="AA25" s="960">
        <f>+SUMPRODUCT(AA26:AA30,AB26:AB30)</f>
        <v>0.99999999999999989</v>
      </c>
      <c r="AB25" s="896">
        <v>0.7</v>
      </c>
      <c r="AC25" s="896">
        <v>0.7</v>
      </c>
      <c r="AD25" s="896">
        <v>0.7</v>
      </c>
      <c r="AE25" s="896">
        <v>0.7</v>
      </c>
      <c r="AF25" s="896">
        <v>0.7</v>
      </c>
      <c r="AG25" s="894">
        <f>+SUM(AG26:AG30)</f>
        <v>21054138531</v>
      </c>
      <c r="AH25" s="899">
        <f>SUM(AH26:AH30)</f>
        <v>4965508956.4099998</v>
      </c>
      <c r="AI25" s="894">
        <f>SUM(AI26:AI30)</f>
        <v>15640803833.17</v>
      </c>
      <c r="AJ25" s="894">
        <f>SUM(AJ26:AJ30)</f>
        <v>46457945296.839996</v>
      </c>
      <c r="AK25" s="894">
        <f>+SUM(AK26:AK30)</f>
        <v>21054106070.5</v>
      </c>
      <c r="AL25" s="900">
        <f t="shared" si="20"/>
        <v>0.99999845823660982</v>
      </c>
      <c r="AM25" s="899">
        <f>SUM(AM26:AM30)</f>
        <v>503578321</v>
      </c>
      <c r="AN25" s="961">
        <f>SUM(AN26:AN30)</f>
        <v>14494966360.110001</v>
      </c>
      <c r="AO25" s="961">
        <f>SUM(AO26:AO30)</f>
        <v>33484519510.84</v>
      </c>
      <c r="AP25" s="894">
        <f>+SUM(AP26:AP30)</f>
        <v>16727451170.799999</v>
      </c>
      <c r="AQ25" s="901">
        <f t="shared" si="21"/>
        <v>0.79449706033664547</v>
      </c>
      <c r="AR25" s="902">
        <f t="shared" ref="AR25:AX25" si="35">SUM(AR26:AR30)</f>
        <v>12973425785.999996</v>
      </c>
      <c r="AS25" s="899">
        <f t="shared" si="35"/>
        <v>4461930635.4099998</v>
      </c>
      <c r="AT25" s="894">
        <f t="shared" si="35"/>
        <v>3692130700.3299999</v>
      </c>
      <c r="AU25" s="894">
        <f t="shared" si="35"/>
        <v>1145837473.0599999</v>
      </c>
      <c r="AV25" s="894">
        <f t="shared" si="35"/>
        <v>937752831.84000003</v>
      </c>
      <c r="AW25" s="894">
        <f t="shared" si="35"/>
        <v>12973425786</v>
      </c>
      <c r="AX25" s="894">
        <f t="shared" si="35"/>
        <v>12967856450</v>
      </c>
      <c r="AY25" s="903">
        <f t="shared" si="7"/>
        <v>0.99957071200067993</v>
      </c>
      <c r="AZ25" s="946">
        <f>SUM(AZ26:AZ30)</f>
        <v>126946611548</v>
      </c>
      <c r="BA25" s="894">
        <f t="shared" si="22"/>
        <v>88118364156.919998</v>
      </c>
      <c r="BB25" s="896">
        <f t="shared" si="9"/>
        <v>0.6941371895034899</v>
      </c>
      <c r="BC25" s="962">
        <f t="shared" si="23"/>
        <v>82808255344.919998</v>
      </c>
      <c r="BD25" s="896">
        <f t="shared" si="24"/>
        <v>0.65230772476041421</v>
      </c>
      <c r="BE25" s="902"/>
      <c r="BF25" s="902"/>
      <c r="BG25" s="902"/>
      <c r="BH25" s="902"/>
    </row>
    <row r="26" spans="1:61" s="865" customFormat="1" ht="47.4" customHeight="1">
      <c r="A26" s="904" t="s">
        <v>2123</v>
      </c>
      <c r="B26" s="936" t="s">
        <v>2124</v>
      </c>
      <c r="C26" s="937" t="s">
        <v>2086</v>
      </c>
      <c r="D26" s="906">
        <v>1</v>
      </c>
      <c r="E26" s="906">
        <v>1</v>
      </c>
      <c r="F26" s="906">
        <v>1</v>
      </c>
      <c r="G26" s="906">
        <v>1</v>
      </c>
      <c r="H26" s="906">
        <v>0</v>
      </c>
      <c r="I26" s="906">
        <v>0</v>
      </c>
      <c r="J26" s="906">
        <v>1</v>
      </c>
      <c r="K26" s="938">
        <v>1</v>
      </c>
      <c r="L26" s="906">
        <v>1</v>
      </c>
      <c r="M26" s="906">
        <v>1</v>
      </c>
      <c r="N26" s="906"/>
      <c r="O26" s="908">
        <f t="shared" ref="O26:Q30" si="36">+IFERROR(IF((H26+L26)/D26&gt;=100%,100%,(H26+L26)/D26),0)</f>
        <v>1</v>
      </c>
      <c r="P26" s="914">
        <f t="shared" si="36"/>
        <v>1</v>
      </c>
      <c r="Q26" s="930">
        <f t="shared" si="36"/>
        <v>1</v>
      </c>
      <c r="R26" s="908">
        <f t="shared" ref="R26:R30" si="37">+IFERROR(IF(K26/G26&gt;=100%,100%,K26/G26),0)</f>
        <v>1</v>
      </c>
      <c r="S26" s="910" t="s">
        <v>2695</v>
      </c>
      <c r="T26" s="931">
        <v>45291</v>
      </c>
      <c r="U26" s="869" t="s">
        <v>2092</v>
      </c>
      <c r="V26" s="869"/>
      <c r="W26" s="910" t="s">
        <v>2687</v>
      </c>
      <c r="X26" s="910" t="s">
        <v>2125</v>
      </c>
      <c r="Y26" s="906">
        <f t="shared" ref="Y26:Y30" si="38">SUM(D26:G26)</f>
        <v>4</v>
      </c>
      <c r="Z26" s="913">
        <f t="shared" ref="Z26:Z30" si="39">SUM(H26:N26)</f>
        <v>4</v>
      </c>
      <c r="AA26" s="914">
        <f t="shared" ref="AA26:AA35" si="40">IF(Z26/Y26&gt;=100%,100%,Z26/Y26)</f>
        <v>1</v>
      </c>
      <c r="AB26" s="953">
        <v>0.1</v>
      </c>
      <c r="AC26" s="953">
        <v>0.1</v>
      </c>
      <c r="AD26" s="953">
        <v>0.1</v>
      </c>
      <c r="AE26" s="953">
        <v>0.1</v>
      </c>
      <c r="AF26" s="953">
        <v>0.1</v>
      </c>
      <c r="AG26" s="915">
        <v>423105792</v>
      </c>
      <c r="AH26" s="963">
        <v>399801255.61000001</v>
      </c>
      <c r="AI26" s="963">
        <v>242056750.25999999</v>
      </c>
      <c r="AJ26" s="963">
        <v>360796121</v>
      </c>
      <c r="AK26" s="963">
        <v>423105790.39999998</v>
      </c>
      <c r="AL26" s="916">
        <f t="shared" si="20"/>
        <v>0.99999999621843982</v>
      </c>
      <c r="AM26" s="963">
        <v>13000000</v>
      </c>
      <c r="AN26" s="963">
        <v>55048034</v>
      </c>
      <c r="AO26" s="963">
        <v>330425585</v>
      </c>
      <c r="AP26" s="963">
        <v>421005790.39999998</v>
      </c>
      <c r="AQ26" s="928">
        <f t="shared" si="21"/>
        <v>0.99503669852857979</v>
      </c>
      <c r="AR26" s="915">
        <f t="shared" ref="AR26:AR30" si="41">+AJ26-AO26</f>
        <v>30370536</v>
      </c>
      <c r="AS26" s="963">
        <v>386801255.61000001</v>
      </c>
      <c r="AT26" s="963">
        <v>386801255</v>
      </c>
      <c r="AU26" s="963">
        <v>187008716.25999999</v>
      </c>
      <c r="AV26" s="963">
        <v>133453604.84</v>
      </c>
      <c r="AW26" s="963">
        <v>30370536</v>
      </c>
      <c r="AX26" s="963">
        <v>29086652</v>
      </c>
      <c r="AY26" s="956">
        <f t="shared" si="7"/>
        <v>0.95772600127966134</v>
      </c>
      <c r="AZ26" s="921">
        <v>1445105792</v>
      </c>
      <c r="BA26" s="957">
        <f t="shared" si="22"/>
        <v>1425759917.27</v>
      </c>
      <c r="BB26" s="908">
        <f t="shared" si="9"/>
        <v>0.98661283150541823</v>
      </c>
      <c r="BC26" s="958">
        <f t="shared" si="23"/>
        <v>1368820921.24</v>
      </c>
      <c r="BD26" s="908">
        <f t="shared" si="24"/>
        <v>0.94721156666708595</v>
      </c>
      <c r="BE26" s="926"/>
      <c r="BF26" s="926"/>
      <c r="BG26" s="910" t="s">
        <v>1701</v>
      </c>
      <c r="BH26" s="1357" t="s">
        <v>2126</v>
      </c>
    </row>
    <row r="27" spans="1:61" s="865" customFormat="1" ht="47.4" customHeight="1">
      <c r="A27" s="904" t="s">
        <v>2127</v>
      </c>
      <c r="B27" s="936" t="s">
        <v>2128</v>
      </c>
      <c r="C27" s="937" t="s">
        <v>2086</v>
      </c>
      <c r="D27" s="906">
        <v>1</v>
      </c>
      <c r="E27" s="906">
        <v>1</v>
      </c>
      <c r="F27" s="906">
        <v>1</v>
      </c>
      <c r="G27" s="906">
        <v>1</v>
      </c>
      <c r="H27" s="906">
        <v>1</v>
      </c>
      <c r="I27" s="906">
        <v>1</v>
      </c>
      <c r="J27" s="939">
        <v>1</v>
      </c>
      <c r="K27" s="939">
        <v>1</v>
      </c>
      <c r="L27" s="906"/>
      <c r="M27" s="906"/>
      <c r="N27" s="906"/>
      <c r="O27" s="908">
        <f t="shared" si="36"/>
        <v>1</v>
      </c>
      <c r="P27" s="914">
        <f t="shared" si="36"/>
        <v>1</v>
      </c>
      <c r="Q27" s="930">
        <f t="shared" si="36"/>
        <v>1</v>
      </c>
      <c r="R27" s="908">
        <f t="shared" si="37"/>
        <v>1</v>
      </c>
      <c r="S27" s="909" t="s">
        <v>2696</v>
      </c>
      <c r="T27" s="931">
        <v>45291</v>
      </c>
      <c r="U27" s="869" t="s">
        <v>2092</v>
      </c>
      <c r="V27" s="869"/>
      <c r="W27" s="909" t="s">
        <v>2683</v>
      </c>
      <c r="X27" s="869">
        <v>261</v>
      </c>
      <c r="Y27" s="906">
        <f t="shared" si="38"/>
        <v>4</v>
      </c>
      <c r="Z27" s="913">
        <f t="shared" si="39"/>
        <v>4</v>
      </c>
      <c r="AA27" s="914">
        <f t="shared" si="40"/>
        <v>1</v>
      </c>
      <c r="AB27" s="953">
        <v>0.4</v>
      </c>
      <c r="AC27" s="953">
        <v>0.4</v>
      </c>
      <c r="AD27" s="953">
        <v>0.4</v>
      </c>
      <c r="AE27" s="953">
        <v>0.4</v>
      </c>
      <c r="AF27" s="953">
        <v>0.4</v>
      </c>
      <c r="AG27" s="915">
        <v>12195214490</v>
      </c>
      <c r="AH27" s="963">
        <v>149750000</v>
      </c>
      <c r="AI27" s="963">
        <v>11776505702.950001</v>
      </c>
      <c r="AJ27" s="963">
        <v>35196179335.839996</v>
      </c>
      <c r="AK27" s="963">
        <v>12195214449.200001</v>
      </c>
      <c r="AL27" s="916">
        <f t="shared" si="20"/>
        <v>0.9999999966544254</v>
      </c>
      <c r="AM27" s="963">
        <v>28000000</v>
      </c>
      <c r="AN27" s="963">
        <v>11545338771.700001</v>
      </c>
      <c r="AO27" s="963">
        <v>29249454735.84</v>
      </c>
      <c r="AP27" s="963">
        <v>9824221281.2000008</v>
      </c>
      <c r="AQ27" s="928">
        <f t="shared" si="21"/>
        <v>0.80558003217211149</v>
      </c>
      <c r="AR27" s="915">
        <f t="shared" si="41"/>
        <v>5946724599.9999962</v>
      </c>
      <c r="AS27" s="963">
        <v>121750000</v>
      </c>
      <c r="AT27" s="963">
        <v>121750000</v>
      </c>
      <c r="AU27" s="963">
        <v>231166931.25</v>
      </c>
      <c r="AV27" s="963">
        <v>230358446</v>
      </c>
      <c r="AW27" s="963">
        <v>5946724600</v>
      </c>
      <c r="AX27" s="963">
        <v>5944852234</v>
      </c>
      <c r="AY27" s="956">
        <f t="shared" si="7"/>
        <v>0.99968514331401859</v>
      </c>
      <c r="AZ27" s="921">
        <v>97228875497</v>
      </c>
      <c r="BA27" s="957">
        <f t="shared" si="22"/>
        <v>59317649487.98999</v>
      </c>
      <c r="BB27" s="908">
        <f t="shared" si="9"/>
        <v>0.61008264453105021</v>
      </c>
      <c r="BC27" s="958">
        <f t="shared" si="23"/>
        <v>56943975468.740005</v>
      </c>
      <c r="BD27" s="908">
        <f t="shared" si="24"/>
        <v>0.58566938245107047</v>
      </c>
      <c r="BE27" s="926"/>
      <c r="BF27" s="926"/>
      <c r="BG27" s="910" t="s">
        <v>1701</v>
      </c>
      <c r="BH27" s="1345"/>
    </row>
    <row r="28" spans="1:61" s="865" customFormat="1" ht="47.4" customHeight="1">
      <c r="A28" s="904" t="s">
        <v>2129</v>
      </c>
      <c r="B28" s="936" t="s">
        <v>2130</v>
      </c>
      <c r="C28" s="937" t="s">
        <v>2086</v>
      </c>
      <c r="D28" s="906">
        <v>1</v>
      </c>
      <c r="E28" s="906">
        <v>1</v>
      </c>
      <c r="F28" s="906">
        <v>1</v>
      </c>
      <c r="G28" s="906">
        <v>1</v>
      </c>
      <c r="H28" s="906">
        <v>0</v>
      </c>
      <c r="I28" s="906">
        <v>1</v>
      </c>
      <c r="J28" s="939">
        <v>1</v>
      </c>
      <c r="K28" s="939">
        <v>1</v>
      </c>
      <c r="L28" s="906">
        <v>1</v>
      </c>
      <c r="M28" s="906"/>
      <c r="N28" s="906"/>
      <c r="O28" s="908">
        <f t="shared" si="36"/>
        <v>1</v>
      </c>
      <c r="P28" s="914">
        <f t="shared" si="36"/>
        <v>1</v>
      </c>
      <c r="Q28" s="930">
        <f t="shared" si="36"/>
        <v>1</v>
      </c>
      <c r="R28" s="908">
        <f t="shared" si="37"/>
        <v>1</v>
      </c>
      <c r="S28" s="909" t="s">
        <v>2697</v>
      </c>
      <c r="T28" s="931">
        <v>45291</v>
      </c>
      <c r="U28" s="869" t="s">
        <v>2092</v>
      </c>
      <c r="V28" s="869"/>
      <c r="W28" s="910" t="s">
        <v>2683</v>
      </c>
      <c r="X28" s="869">
        <v>176</v>
      </c>
      <c r="Y28" s="906">
        <f t="shared" si="38"/>
        <v>4</v>
      </c>
      <c r="Z28" s="913">
        <f t="shared" si="39"/>
        <v>4</v>
      </c>
      <c r="AA28" s="914">
        <f t="shared" si="40"/>
        <v>1</v>
      </c>
      <c r="AB28" s="953">
        <v>0.2</v>
      </c>
      <c r="AC28" s="953">
        <v>0.2</v>
      </c>
      <c r="AD28" s="953">
        <v>0.2</v>
      </c>
      <c r="AE28" s="953">
        <v>0.2</v>
      </c>
      <c r="AF28" s="953">
        <v>0.2</v>
      </c>
      <c r="AG28" s="915">
        <v>1785818249</v>
      </c>
      <c r="AH28" s="963">
        <v>2817080389.8000002</v>
      </c>
      <c r="AI28" s="963">
        <v>2196156222.4000001</v>
      </c>
      <c r="AJ28" s="963">
        <v>801196031</v>
      </c>
      <c r="AK28" s="963">
        <v>1785818249</v>
      </c>
      <c r="AL28" s="916">
        <f t="shared" si="20"/>
        <v>1</v>
      </c>
      <c r="AM28" s="963">
        <v>426743180</v>
      </c>
      <c r="AN28" s="963">
        <v>1748051434.4100001</v>
      </c>
      <c r="AO28" s="963">
        <v>726805330</v>
      </c>
      <c r="AP28" s="963">
        <v>1770617601</v>
      </c>
      <c r="AQ28" s="928">
        <f t="shared" si="21"/>
        <v>0.99148813267614899</v>
      </c>
      <c r="AR28" s="915">
        <f t="shared" si="41"/>
        <v>74390701</v>
      </c>
      <c r="AS28" s="963">
        <v>2390337209.8000002</v>
      </c>
      <c r="AT28" s="963">
        <v>1770537275.3299999</v>
      </c>
      <c r="AU28" s="963">
        <v>448104787.99000001</v>
      </c>
      <c r="AV28" s="963">
        <v>447482815</v>
      </c>
      <c r="AW28" s="963">
        <v>74390701</v>
      </c>
      <c r="AX28" s="963">
        <v>73640689</v>
      </c>
      <c r="AY28" s="956">
        <f t="shared" si="7"/>
        <v>0.98991793342557699</v>
      </c>
      <c r="AZ28" s="921">
        <v>7790855949</v>
      </c>
      <c r="BA28" s="957">
        <f t="shared" si="22"/>
        <v>7600250892.2000008</v>
      </c>
      <c r="BB28" s="908">
        <f t="shared" si="9"/>
        <v>0.97553477332301797</v>
      </c>
      <c r="BC28" s="958">
        <f t="shared" si="23"/>
        <v>6963878324.7399998</v>
      </c>
      <c r="BD28" s="908">
        <f t="shared" si="24"/>
        <v>0.89385278977386984</v>
      </c>
      <c r="BE28" s="926"/>
      <c r="BF28" s="926"/>
      <c r="BG28" s="910" t="s">
        <v>1701</v>
      </c>
      <c r="BH28" s="1345"/>
    </row>
    <row r="29" spans="1:61" s="865" customFormat="1" ht="47.4" customHeight="1">
      <c r="A29" s="904" t="s">
        <v>2131</v>
      </c>
      <c r="B29" s="936" t="s">
        <v>2132</v>
      </c>
      <c r="C29" s="937" t="s">
        <v>2086</v>
      </c>
      <c r="D29" s="906">
        <v>1</v>
      </c>
      <c r="E29" s="906">
        <v>1</v>
      </c>
      <c r="F29" s="906">
        <v>1</v>
      </c>
      <c r="G29" s="906">
        <v>1</v>
      </c>
      <c r="H29" s="906">
        <v>1</v>
      </c>
      <c r="I29" s="906">
        <v>1</v>
      </c>
      <c r="J29" s="939">
        <v>1</v>
      </c>
      <c r="K29" s="939">
        <v>1</v>
      </c>
      <c r="L29" s="906"/>
      <c r="M29" s="906"/>
      <c r="N29" s="906"/>
      <c r="O29" s="908">
        <f t="shared" si="36"/>
        <v>1</v>
      </c>
      <c r="P29" s="914">
        <f t="shared" si="36"/>
        <v>1</v>
      </c>
      <c r="Q29" s="930">
        <f t="shared" si="36"/>
        <v>1</v>
      </c>
      <c r="R29" s="908">
        <f t="shared" si="37"/>
        <v>1</v>
      </c>
      <c r="S29" s="910" t="s">
        <v>2698</v>
      </c>
      <c r="T29" s="931">
        <v>45291</v>
      </c>
      <c r="U29" s="869" t="s">
        <v>2092</v>
      </c>
      <c r="V29" s="869"/>
      <c r="W29" s="909" t="s">
        <v>2683</v>
      </c>
      <c r="X29" s="869">
        <v>267</v>
      </c>
      <c r="Y29" s="906">
        <f t="shared" si="38"/>
        <v>4</v>
      </c>
      <c r="Z29" s="913">
        <f t="shared" si="39"/>
        <v>4</v>
      </c>
      <c r="AA29" s="914">
        <f t="shared" si="40"/>
        <v>1</v>
      </c>
      <c r="AB29" s="953">
        <v>0.2</v>
      </c>
      <c r="AC29" s="953">
        <v>0.2</v>
      </c>
      <c r="AD29" s="953">
        <v>0.2</v>
      </c>
      <c r="AE29" s="953">
        <v>0.2</v>
      </c>
      <c r="AF29" s="953">
        <v>0.2</v>
      </c>
      <c r="AG29" s="915">
        <v>6350000000</v>
      </c>
      <c r="AH29" s="915">
        <v>1573877311</v>
      </c>
      <c r="AI29" s="963">
        <v>1130744278.5599999</v>
      </c>
      <c r="AJ29" s="963">
        <v>9777717102</v>
      </c>
      <c r="AK29" s="963">
        <v>6349967581.8999996</v>
      </c>
      <c r="AL29" s="916">
        <f t="shared" si="20"/>
        <v>0.99999489478740156</v>
      </c>
      <c r="AM29" s="915">
        <v>20835141</v>
      </c>
      <c r="AN29" s="963">
        <v>851728517</v>
      </c>
      <c r="AO29" s="963">
        <v>2866821057</v>
      </c>
      <c r="AP29" s="963">
        <v>4411606498.1999998</v>
      </c>
      <c r="AQ29" s="928">
        <f t="shared" si="21"/>
        <v>0.69474118081889757</v>
      </c>
      <c r="AR29" s="915">
        <f t="shared" si="41"/>
        <v>6910896045</v>
      </c>
      <c r="AS29" s="915">
        <v>1553042170</v>
      </c>
      <c r="AT29" s="915">
        <v>1403042170</v>
      </c>
      <c r="AU29" s="915">
        <v>279015761.56</v>
      </c>
      <c r="AV29" s="915">
        <v>126054906</v>
      </c>
      <c r="AW29" s="915">
        <v>6910896045</v>
      </c>
      <c r="AX29" s="915">
        <v>6909644568</v>
      </c>
      <c r="AY29" s="956">
        <f t="shared" si="7"/>
        <v>0.99981891248372845</v>
      </c>
      <c r="AZ29" s="921">
        <v>19159274310</v>
      </c>
      <c r="BA29" s="957">
        <f t="shared" si="22"/>
        <v>18832306273.459999</v>
      </c>
      <c r="BB29" s="908">
        <f t="shared" si="9"/>
        <v>0.98293421602250652</v>
      </c>
      <c r="BC29" s="958">
        <f t="shared" si="23"/>
        <v>16589732857.200001</v>
      </c>
      <c r="BD29" s="908">
        <f t="shared" si="24"/>
        <v>0.86588524120358501</v>
      </c>
      <c r="BE29" s="926"/>
      <c r="BF29" s="926"/>
      <c r="BG29" s="910" t="s">
        <v>1701</v>
      </c>
      <c r="BH29" s="1345"/>
    </row>
    <row r="30" spans="1:61" s="865" customFormat="1" ht="47.4" customHeight="1">
      <c r="A30" s="904" t="s">
        <v>2133</v>
      </c>
      <c r="B30" s="936" t="s">
        <v>2134</v>
      </c>
      <c r="C30" s="937" t="s">
        <v>2086</v>
      </c>
      <c r="D30" s="906">
        <v>1</v>
      </c>
      <c r="E30" s="906">
        <v>1</v>
      </c>
      <c r="F30" s="906">
        <v>1</v>
      </c>
      <c r="G30" s="906">
        <v>1</v>
      </c>
      <c r="H30" s="906">
        <v>1</v>
      </c>
      <c r="I30" s="906">
        <v>2</v>
      </c>
      <c r="J30" s="906">
        <v>2</v>
      </c>
      <c r="K30" s="906">
        <v>2</v>
      </c>
      <c r="L30" s="906"/>
      <c r="M30" s="906"/>
      <c r="N30" s="906"/>
      <c r="O30" s="908">
        <f t="shared" si="36"/>
        <v>1</v>
      </c>
      <c r="P30" s="914">
        <f t="shared" si="36"/>
        <v>1</v>
      </c>
      <c r="Q30" s="930">
        <f t="shared" si="36"/>
        <v>1</v>
      </c>
      <c r="R30" s="908">
        <f t="shared" si="37"/>
        <v>1</v>
      </c>
      <c r="S30" s="910" t="s">
        <v>2135</v>
      </c>
      <c r="T30" s="931">
        <v>45291</v>
      </c>
      <c r="U30" s="869"/>
      <c r="V30" s="869"/>
      <c r="W30" s="910"/>
      <c r="X30" s="869"/>
      <c r="Y30" s="906">
        <f t="shared" si="38"/>
        <v>4</v>
      </c>
      <c r="Z30" s="913">
        <f t="shared" si="39"/>
        <v>7</v>
      </c>
      <c r="AA30" s="914">
        <f t="shared" si="40"/>
        <v>1</v>
      </c>
      <c r="AB30" s="953">
        <v>0.1</v>
      </c>
      <c r="AC30" s="953">
        <v>0.1</v>
      </c>
      <c r="AD30" s="953">
        <v>0.1</v>
      </c>
      <c r="AE30" s="953">
        <v>0.1</v>
      </c>
      <c r="AF30" s="953">
        <v>0.1</v>
      </c>
      <c r="AG30" s="915">
        <v>300000000</v>
      </c>
      <c r="AH30" s="915">
        <v>25000000</v>
      </c>
      <c r="AI30" s="963">
        <v>295340879</v>
      </c>
      <c r="AJ30" s="963">
        <v>322056707</v>
      </c>
      <c r="AK30" s="963">
        <v>300000000</v>
      </c>
      <c r="AL30" s="916">
        <f t="shared" si="20"/>
        <v>1</v>
      </c>
      <c r="AM30" s="915">
        <v>15000000</v>
      </c>
      <c r="AN30" s="963">
        <v>294799603</v>
      </c>
      <c r="AO30" s="963">
        <v>311012803</v>
      </c>
      <c r="AP30" s="963">
        <v>300000000</v>
      </c>
      <c r="AQ30" s="928">
        <f t="shared" si="21"/>
        <v>1</v>
      </c>
      <c r="AR30" s="915">
        <f t="shared" si="41"/>
        <v>11043904</v>
      </c>
      <c r="AS30" s="915">
        <v>10000000</v>
      </c>
      <c r="AT30" s="915">
        <v>10000000</v>
      </c>
      <c r="AU30" s="915">
        <v>541276</v>
      </c>
      <c r="AV30" s="915">
        <v>403060</v>
      </c>
      <c r="AW30" s="915">
        <v>11043904</v>
      </c>
      <c r="AX30" s="915">
        <v>10632307</v>
      </c>
      <c r="AY30" s="956">
        <f t="shared" si="7"/>
        <v>0.96273084228185979</v>
      </c>
      <c r="AZ30" s="921">
        <v>1322500000</v>
      </c>
      <c r="BA30" s="957">
        <f t="shared" si="22"/>
        <v>942397586</v>
      </c>
      <c r="BB30" s="908">
        <f t="shared" si="9"/>
        <v>0.71258796672967861</v>
      </c>
      <c r="BC30" s="958">
        <f t="shared" si="23"/>
        <v>941847773</v>
      </c>
      <c r="BD30" s="908">
        <f t="shared" si="24"/>
        <v>0.71217222911153122</v>
      </c>
      <c r="BE30" s="926"/>
      <c r="BF30" s="926"/>
      <c r="BG30" s="910" t="s">
        <v>1701</v>
      </c>
      <c r="BH30" s="927" t="s">
        <v>2136</v>
      </c>
    </row>
    <row r="31" spans="1:61" s="892" customFormat="1" ht="47.4" customHeight="1">
      <c r="A31" s="882" t="s">
        <v>2137</v>
      </c>
      <c r="B31" s="883"/>
      <c r="C31" s="883"/>
      <c r="D31" s="884"/>
      <c r="E31" s="884"/>
      <c r="F31" s="884"/>
      <c r="G31" s="884"/>
      <c r="H31" s="884"/>
      <c r="I31" s="884"/>
      <c r="J31" s="884"/>
      <c r="K31" s="884"/>
      <c r="L31" s="884"/>
      <c r="M31" s="884"/>
      <c r="N31" s="884"/>
      <c r="O31" s="890">
        <f>+(O32*AC32)+(O36*AC36)+(O44*AC44)</f>
        <v>0.8307500000000001</v>
      </c>
      <c r="P31" s="890">
        <f t="shared" ref="P31:R31" si="42">+(P32*AD32)+(P36*AD36)+(P44*AD44)</f>
        <v>0.96500000000000008</v>
      </c>
      <c r="Q31" s="890">
        <f t="shared" si="42"/>
        <v>0.92447500000000005</v>
      </c>
      <c r="R31" s="890">
        <f t="shared" si="42"/>
        <v>0.9556028368794327</v>
      </c>
      <c r="S31" s="883"/>
      <c r="T31" s="883"/>
      <c r="U31" s="965"/>
      <c r="V31" s="965"/>
      <c r="W31" s="965"/>
      <c r="X31" s="883"/>
      <c r="Y31" s="886"/>
      <c r="Z31" s="886">
        <f>SUM(H31:M31)</f>
        <v>0</v>
      </c>
      <c r="AA31" s="890">
        <f>+(AA32*AB32)+(AA36*AB36)+(AA44*AB44)</f>
        <v>0.93384776989755713</v>
      </c>
      <c r="AB31" s="885">
        <v>0.25</v>
      </c>
      <c r="AC31" s="885">
        <v>0.25</v>
      </c>
      <c r="AD31" s="885">
        <v>0.25</v>
      </c>
      <c r="AE31" s="885">
        <v>0.25</v>
      </c>
      <c r="AF31" s="885">
        <v>0.25</v>
      </c>
      <c r="AG31" s="883">
        <f>+AG32+AG36+AG44</f>
        <v>14000370369</v>
      </c>
      <c r="AH31" s="883">
        <f>+AH32+AH36+AH44</f>
        <v>1659050070</v>
      </c>
      <c r="AI31" s="883">
        <f>+AI32+AI36+AI44</f>
        <v>19181525696.200001</v>
      </c>
      <c r="AJ31" s="883">
        <f>+AJ32+AJ36+AJ44</f>
        <v>14721169038</v>
      </c>
      <c r="AK31" s="883">
        <f>+AK32+AK36+AK44</f>
        <v>13990435256.1</v>
      </c>
      <c r="AL31" s="888">
        <f t="shared" si="20"/>
        <v>0.99929036785183922</v>
      </c>
      <c r="AM31" s="883">
        <f>+AM32+AM36+AM44</f>
        <v>262300000</v>
      </c>
      <c r="AN31" s="883">
        <f>+AN32+AN36+AN44</f>
        <v>8942596167</v>
      </c>
      <c r="AO31" s="883">
        <f>+AO32+AO36+AO44</f>
        <v>7735525918</v>
      </c>
      <c r="AP31" s="883">
        <f>+AP32+AP36+AP44</f>
        <v>4810886546</v>
      </c>
      <c r="AQ31" s="890">
        <f t="shared" si="21"/>
        <v>0.34362566269335243</v>
      </c>
      <c r="AR31" s="883">
        <f t="shared" ref="AR31:AX31" si="43">+AR32+AR36+AR44</f>
        <v>6985643120</v>
      </c>
      <c r="AS31" s="889">
        <f t="shared" si="43"/>
        <v>1396750070</v>
      </c>
      <c r="AT31" s="883">
        <f t="shared" si="43"/>
        <v>911842980</v>
      </c>
      <c r="AU31" s="883">
        <f t="shared" si="43"/>
        <v>10238929529.200001</v>
      </c>
      <c r="AV31" s="883">
        <f t="shared" si="43"/>
        <v>881473792.20000005</v>
      </c>
      <c r="AW31" s="883">
        <f t="shared" si="43"/>
        <v>6985643120</v>
      </c>
      <c r="AX31" s="883">
        <f t="shared" si="43"/>
        <v>6556382096</v>
      </c>
      <c r="AY31" s="891">
        <f t="shared" si="7"/>
        <v>0.93855096565539986</v>
      </c>
      <c r="AZ31" s="966">
        <f>+AZ32+AZ36+AZ44</f>
        <v>59728949256</v>
      </c>
      <c r="BA31" s="883">
        <f t="shared" si="22"/>
        <v>49552180060.299995</v>
      </c>
      <c r="BB31" s="885">
        <f t="shared" si="9"/>
        <v>0.82961747490179216</v>
      </c>
      <c r="BC31" s="967">
        <f t="shared" si="23"/>
        <v>30101007499.200001</v>
      </c>
      <c r="BD31" s="885">
        <f t="shared" si="24"/>
        <v>0.50396010434046334</v>
      </c>
      <c r="BE31" s="883"/>
      <c r="BF31" s="883" t="s">
        <v>1694</v>
      </c>
      <c r="BG31" s="883"/>
      <c r="BH31" s="883"/>
      <c r="BI31" s="892" t="s">
        <v>2081</v>
      </c>
    </row>
    <row r="32" spans="1:61" s="865" customFormat="1" ht="47.4" customHeight="1">
      <c r="A32" s="893" t="s">
        <v>2138</v>
      </c>
      <c r="B32" s="894"/>
      <c r="C32" s="894"/>
      <c r="D32" s="895"/>
      <c r="E32" s="895"/>
      <c r="F32" s="895"/>
      <c r="G32" s="895"/>
      <c r="H32" s="895"/>
      <c r="I32" s="895"/>
      <c r="J32" s="895"/>
      <c r="K32" s="895"/>
      <c r="L32" s="895"/>
      <c r="M32" s="895"/>
      <c r="N32" s="895"/>
      <c r="O32" s="896">
        <f>+SUMPRODUCT(O33:O35,AC33:AC35)</f>
        <v>0.38749999999999996</v>
      </c>
      <c r="P32" s="896">
        <f t="shared" ref="P32:R32" si="44">+SUMPRODUCT(P33:P35,AD33:AD35)</f>
        <v>0.64999999999999991</v>
      </c>
      <c r="Q32" s="896">
        <f t="shared" si="44"/>
        <v>0.24475</v>
      </c>
      <c r="R32" s="896">
        <f t="shared" si="44"/>
        <v>0.55602836879432627</v>
      </c>
      <c r="S32" s="894"/>
      <c r="T32" s="894"/>
      <c r="U32" s="894"/>
      <c r="V32" s="894"/>
      <c r="W32" s="894"/>
      <c r="X32" s="894"/>
      <c r="Y32" s="897"/>
      <c r="Z32" s="897">
        <f>SUM(H32:M32)</f>
        <v>0</v>
      </c>
      <c r="AA32" s="896">
        <f>+SUMPRODUCT(AA33:AA35,AB33:AB35)</f>
        <v>0.5384776989755713</v>
      </c>
      <c r="AB32" s="896">
        <v>0.1</v>
      </c>
      <c r="AC32" s="896">
        <v>0.1</v>
      </c>
      <c r="AD32" s="896">
        <v>0.1</v>
      </c>
      <c r="AE32" s="896">
        <v>0.1</v>
      </c>
      <c r="AF32" s="896">
        <v>0.1</v>
      </c>
      <c r="AG32" s="894">
        <f>+SUM(AG33:AG35)</f>
        <v>600000000</v>
      </c>
      <c r="AH32" s="894">
        <f>SUM(AH33:AH35)</f>
        <v>162750000</v>
      </c>
      <c r="AI32" s="894">
        <f>SUM(AI33:AI35)</f>
        <v>695340879</v>
      </c>
      <c r="AJ32" s="894">
        <f>SUM(AJ33:AJ35)</f>
        <v>538263960</v>
      </c>
      <c r="AK32" s="894">
        <f>+SUM(AK33:AK35)</f>
        <v>600000000</v>
      </c>
      <c r="AL32" s="900">
        <f t="shared" si="20"/>
        <v>1</v>
      </c>
      <c r="AM32" s="894">
        <f>SUM(AM33:AM35)</f>
        <v>120400000</v>
      </c>
      <c r="AN32" s="894">
        <f>SUM(AN33:AN35)</f>
        <v>665439603</v>
      </c>
      <c r="AO32" s="894">
        <f>SUM(AO33:AO35)</f>
        <v>517582917</v>
      </c>
      <c r="AP32" s="894">
        <f>+SUM(AP33:AP35)</f>
        <v>474076000</v>
      </c>
      <c r="AQ32" s="901">
        <f t="shared" si="21"/>
        <v>0.79012666666666664</v>
      </c>
      <c r="AR32" s="902">
        <f t="shared" ref="AR32:AX32" si="45">SUM(AR33:AR35)</f>
        <v>20681043</v>
      </c>
      <c r="AS32" s="899">
        <f t="shared" si="45"/>
        <v>42350000</v>
      </c>
      <c r="AT32" s="894">
        <f t="shared" si="45"/>
        <v>42350000</v>
      </c>
      <c r="AU32" s="894">
        <f t="shared" si="45"/>
        <v>29901276</v>
      </c>
      <c r="AV32" s="894">
        <f t="shared" si="45"/>
        <v>27003060</v>
      </c>
      <c r="AW32" s="894">
        <f t="shared" si="45"/>
        <v>20681043</v>
      </c>
      <c r="AX32" s="894">
        <f t="shared" si="45"/>
        <v>20221387</v>
      </c>
      <c r="AY32" s="903">
        <f t="shared" si="7"/>
        <v>0.9777740416670474</v>
      </c>
      <c r="AZ32" s="946">
        <f>SUM(AZ33:AZ35)</f>
        <v>2045400000</v>
      </c>
      <c r="BA32" s="894">
        <f t="shared" si="22"/>
        <v>1996354839</v>
      </c>
      <c r="BB32" s="896">
        <f t="shared" si="9"/>
        <v>0.97602172631270168</v>
      </c>
      <c r="BC32" s="962">
        <f t="shared" si="23"/>
        <v>1867072967</v>
      </c>
      <c r="BD32" s="896">
        <f t="shared" si="24"/>
        <v>0.91281557005964609</v>
      </c>
      <c r="BE32" s="902"/>
      <c r="BF32" s="902"/>
      <c r="BG32" s="902"/>
      <c r="BH32" s="902"/>
    </row>
    <row r="33" spans="1:61" s="865" customFormat="1" ht="104.25" customHeight="1">
      <c r="A33" s="951" t="s">
        <v>2139</v>
      </c>
      <c r="B33" s="968" t="s">
        <v>2140</v>
      </c>
      <c r="C33" s="905" t="s">
        <v>1054</v>
      </c>
      <c r="D33" s="908">
        <v>0.4</v>
      </c>
      <c r="E33" s="908">
        <v>0.6</v>
      </c>
      <c r="F33" s="908">
        <v>0.8</v>
      </c>
      <c r="G33" s="908">
        <v>0.9</v>
      </c>
      <c r="H33" s="908">
        <v>0.16</v>
      </c>
      <c r="I33" s="908">
        <v>0.52</v>
      </c>
      <c r="J33" s="908">
        <v>0.3916</v>
      </c>
      <c r="K33" s="908">
        <f>88/188*1</f>
        <v>0.46808510638297873</v>
      </c>
      <c r="L33" s="908">
        <v>0.15</v>
      </c>
      <c r="M33" s="908">
        <v>0.15</v>
      </c>
      <c r="N33" s="908"/>
      <c r="O33" s="908">
        <f t="shared" ref="O33:Q35" si="46">+IFERROR(IF((H33+L33)/D33&gt;=100%,100%,(H33+L33)/D33),0)</f>
        <v>0.77499999999999991</v>
      </c>
      <c r="P33" s="914">
        <f t="shared" si="46"/>
        <v>1</v>
      </c>
      <c r="Q33" s="930">
        <f t="shared" si="46"/>
        <v>0.48949999999999999</v>
      </c>
      <c r="R33" s="908">
        <f t="shared" ref="R33:R35" si="47">+IFERROR(IF(K33/G33&gt;=100%,100%,K33/G33),0)</f>
        <v>0.52009456264775411</v>
      </c>
      <c r="S33" s="909" t="s">
        <v>2699</v>
      </c>
      <c r="T33" s="1299">
        <v>45291</v>
      </c>
      <c r="U33" s="942"/>
      <c r="V33" s="942"/>
      <c r="W33" s="909"/>
      <c r="X33" s="942"/>
      <c r="Y33" s="930">
        <f t="shared" ref="Y33:Y35" si="48">SUM(D33:G33)</f>
        <v>2.7</v>
      </c>
      <c r="Z33" s="934">
        <f t="shared" ref="Z33:Z35" si="49">SUM(H33:N33)</f>
        <v>1.8396851063829787</v>
      </c>
      <c r="AA33" s="914">
        <f t="shared" si="40"/>
        <v>0.68136485421591797</v>
      </c>
      <c r="AB33" s="953">
        <v>0.35</v>
      </c>
      <c r="AC33" s="953">
        <v>0.5</v>
      </c>
      <c r="AD33" s="953">
        <v>0.35</v>
      </c>
      <c r="AE33" s="953">
        <v>0.5</v>
      </c>
      <c r="AF33" s="953">
        <v>0.3</v>
      </c>
      <c r="AG33" s="954">
        <v>175000000</v>
      </c>
      <c r="AH33" s="915">
        <v>77150000</v>
      </c>
      <c r="AI33" s="915">
        <v>200000000</v>
      </c>
      <c r="AJ33" s="915">
        <v>293075474</v>
      </c>
      <c r="AK33" s="915">
        <v>175000000</v>
      </c>
      <c r="AL33" s="916">
        <f t="shared" si="20"/>
        <v>1</v>
      </c>
      <c r="AM33" s="915">
        <v>56300000</v>
      </c>
      <c r="AN33" s="915">
        <v>188000000</v>
      </c>
      <c r="AO33" s="915">
        <v>278874807</v>
      </c>
      <c r="AP33" s="915">
        <v>172000000</v>
      </c>
      <c r="AQ33" s="928">
        <f t="shared" si="21"/>
        <v>0.98285714285714287</v>
      </c>
      <c r="AR33" s="915">
        <f>+AJ33-AO33</f>
        <v>14200667</v>
      </c>
      <c r="AS33" s="915">
        <v>20850000</v>
      </c>
      <c r="AT33" s="915">
        <v>20850000</v>
      </c>
      <c r="AU33" s="915">
        <v>12000000</v>
      </c>
      <c r="AV33" s="915">
        <v>12000000</v>
      </c>
      <c r="AW33" s="915">
        <v>14200667</v>
      </c>
      <c r="AX33" s="915">
        <v>14043986</v>
      </c>
      <c r="AY33" s="956">
        <f t="shared" si="7"/>
        <v>0.9889666450174488</v>
      </c>
      <c r="AZ33" s="921">
        <v>770700000</v>
      </c>
      <c r="BA33" s="957">
        <f t="shared" si="22"/>
        <v>745225474</v>
      </c>
      <c r="BB33" s="908">
        <f t="shared" si="9"/>
        <v>0.96694624886466851</v>
      </c>
      <c r="BC33" s="958">
        <f t="shared" si="23"/>
        <v>742068793</v>
      </c>
      <c r="BD33" s="908">
        <f t="shared" si="24"/>
        <v>0.9628503866614766</v>
      </c>
      <c r="BE33" s="926"/>
      <c r="BF33" s="926"/>
      <c r="BG33" s="910" t="s">
        <v>1701</v>
      </c>
      <c r="BH33" s="1358" t="s">
        <v>2141</v>
      </c>
    </row>
    <row r="34" spans="1:61" s="865" customFormat="1" ht="63.75" customHeight="1">
      <c r="A34" s="951" t="s">
        <v>2142</v>
      </c>
      <c r="B34" s="970" t="s">
        <v>2143</v>
      </c>
      <c r="C34" s="905" t="s">
        <v>1054</v>
      </c>
      <c r="D34" s="908">
        <v>1</v>
      </c>
      <c r="E34" s="908">
        <v>1</v>
      </c>
      <c r="F34" s="908">
        <v>1</v>
      </c>
      <c r="G34" s="908">
        <v>1</v>
      </c>
      <c r="H34" s="908">
        <v>0.87</v>
      </c>
      <c r="I34" s="908">
        <v>0.2</v>
      </c>
      <c r="J34" s="908">
        <v>0.875</v>
      </c>
      <c r="K34" s="908">
        <v>0.56999999999999995</v>
      </c>
      <c r="L34" s="906"/>
      <c r="M34" s="906"/>
      <c r="N34" s="906"/>
      <c r="O34" s="908">
        <f t="shared" si="46"/>
        <v>0.87</v>
      </c>
      <c r="P34" s="914">
        <f t="shared" si="46"/>
        <v>0.2</v>
      </c>
      <c r="Q34" s="930">
        <f t="shared" si="46"/>
        <v>0.875</v>
      </c>
      <c r="R34" s="908">
        <f t="shared" si="47"/>
        <v>0.56999999999999995</v>
      </c>
      <c r="S34" s="910" t="s">
        <v>2700</v>
      </c>
      <c r="T34" s="1299">
        <v>45291</v>
      </c>
      <c r="U34" s="909"/>
      <c r="V34" s="909"/>
      <c r="W34" s="909"/>
      <c r="X34" s="909"/>
      <c r="Y34" s="930">
        <f t="shared" ref="Y34" si="50">SUM(D34:G34)</f>
        <v>4</v>
      </c>
      <c r="Z34" s="934">
        <f t="shared" si="49"/>
        <v>2.5150000000000001</v>
      </c>
      <c r="AA34" s="914">
        <f t="shared" si="40"/>
        <v>0.62875000000000003</v>
      </c>
      <c r="AB34" s="909"/>
      <c r="AC34" s="909"/>
      <c r="AD34" s="909"/>
      <c r="AE34" s="909"/>
      <c r="AF34" s="909"/>
      <c r="AG34" s="954">
        <v>175000000</v>
      </c>
      <c r="AH34" s="915">
        <v>85600000</v>
      </c>
      <c r="AI34" s="915">
        <v>200000000</v>
      </c>
      <c r="AJ34" s="915">
        <v>245188486</v>
      </c>
      <c r="AK34" s="915">
        <v>175000000</v>
      </c>
      <c r="AL34" s="916">
        <f t="shared" si="20"/>
        <v>1</v>
      </c>
      <c r="AM34" s="915">
        <v>64100000</v>
      </c>
      <c r="AN34" s="915">
        <v>182640000</v>
      </c>
      <c r="AO34" s="915">
        <v>238708110</v>
      </c>
      <c r="AP34" s="915">
        <v>175000000</v>
      </c>
      <c r="AQ34" s="928">
        <f t="shared" si="21"/>
        <v>1</v>
      </c>
      <c r="AR34" s="915">
        <f t="shared" ref="AR34:AR47" si="51">+AJ34-AO34</f>
        <v>6480376</v>
      </c>
      <c r="AS34" s="915">
        <v>21500000</v>
      </c>
      <c r="AT34" s="915">
        <v>21500000</v>
      </c>
      <c r="AU34" s="915">
        <v>17360000</v>
      </c>
      <c r="AV34" s="915">
        <v>14600000</v>
      </c>
      <c r="AW34" s="915">
        <v>6480376</v>
      </c>
      <c r="AX34" s="915">
        <v>6177401</v>
      </c>
      <c r="AY34" s="956">
        <f t="shared" si="7"/>
        <v>0.95324731157574805</v>
      </c>
      <c r="AZ34" s="921">
        <v>724700000</v>
      </c>
      <c r="BA34" s="957">
        <f t="shared" si="22"/>
        <v>705788486</v>
      </c>
      <c r="BB34" s="908">
        <f t="shared" si="9"/>
        <v>0.97390435490547811</v>
      </c>
      <c r="BC34" s="958">
        <f t="shared" si="23"/>
        <v>702725511</v>
      </c>
      <c r="BD34" s="908">
        <f t="shared" si="24"/>
        <v>0.96967781288809163</v>
      </c>
      <c r="BE34" s="926"/>
      <c r="BF34" s="926"/>
      <c r="BG34" s="910" t="s">
        <v>199</v>
      </c>
      <c r="BH34" s="1345"/>
    </row>
    <row r="35" spans="1:61" s="865" customFormat="1" ht="47.4" customHeight="1">
      <c r="A35" s="951" t="s">
        <v>2144</v>
      </c>
      <c r="B35" s="968" t="s">
        <v>2145</v>
      </c>
      <c r="C35" s="937" t="s">
        <v>2086</v>
      </c>
      <c r="D35" s="906">
        <v>0</v>
      </c>
      <c r="E35" s="906">
        <v>1</v>
      </c>
      <c r="F35" s="906">
        <v>0</v>
      </c>
      <c r="G35" s="906">
        <v>1</v>
      </c>
      <c r="H35" s="906">
        <v>0</v>
      </c>
      <c r="I35" s="906">
        <v>0</v>
      </c>
      <c r="J35" s="906">
        <v>0</v>
      </c>
      <c r="K35" s="939">
        <v>1</v>
      </c>
      <c r="L35" s="906"/>
      <c r="M35" s="906">
        <v>1</v>
      </c>
      <c r="N35" s="906"/>
      <c r="O35" s="908">
        <f t="shared" si="46"/>
        <v>0</v>
      </c>
      <c r="P35" s="914">
        <f t="shared" si="46"/>
        <v>1</v>
      </c>
      <c r="Q35" s="908">
        <f t="shared" si="46"/>
        <v>0</v>
      </c>
      <c r="R35" s="908">
        <f t="shared" si="47"/>
        <v>1</v>
      </c>
      <c r="S35" s="945" t="s">
        <v>2701</v>
      </c>
      <c r="T35" s="931">
        <v>45291</v>
      </c>
      <c r="U35" s="911" t="s">
        <v>2092</v>
      </c>
      <c r="V35" s="869"/>
      <c r="W35" s="909" t="s">
        <v>2683</v>
      </c>
      <c r="X35" s="910" t="s">
        <v>2146</v>
      </c>
      <c r="Y35" s="906">
        <f t="shared" si="48"/>
        <v>2</v>
      </c>
      <c r="Z35" s="908">
        <f t="shared" si="49"/>
        <v>2</v>
      </c>
      <c r="AA35" s="914">
        <f t="shared" si="40"/>
        <v>1</v>
      </c>
      <c r="AB35" s="953">
        <v>0.3</v>
      </c>
      <c r="AC35" s="953">
        <v>0</v>
      </c>
      <c r="AD35" s="953">
        <v>0.3</v>
      </c>
      <c r="AE35" s="953">
        <v>0</v>
      </c>
      <c r="AF35" s="953">
        <v>0.4</v>
      </c>
      <c r="AG35" s="954">
        <v>250000000</v>
      </c>
      <c r="AH35" s="954" t="s">
        <v>2095</v>
      </c>
      <c r="AI35" s="915">
        <v>295340879</v>
      </c>
      <c r="AJ35" s="915">
        <v>0</v>
      </c>
      <c r="AK35" s="915">
        <v>250000000</v>
      </c>
      <c r="AL35" s="916">
        <f t="shared" si="20"/>
        <v>1</v>
      </c>
      <c r="AM35" s="954" t="s">
        <v>2095</v>
      </c>
      <c r="AN35" s="915">
        <v>294799603</v>
      </c>
      <c r="AO35" s="915"/>
      <c r="AP35" s="915">
        <v>127076000</v>
      </c>
      <c r="AQ35" s="928">
        <f t="shared" si="21"/>
        <v>0.50830399999999998</v>
      </c>
      <c r="AR35" s="915">
        <f t="shared" si="51"/>
        <v>0</v>
      </c>
      <c r="AS35" s="954">
        <v>0</v>
      </c>
      <c r="AT35" s="954">
        <v>0</v>
      </c>
      <c r="AU35" s="954">
        <v>541276</v>
      </c>
      <c r="AV35" s="954">
        <v>403060</v>
      </c>
      <c r="AW35" s="954"/>
      <c r="AX35" s="954"/>
      <c r="AY35" s="956" t="e">
        <f t="shared" si="7"/>
        <v>#DIV/0!</v>
      </c>
      <c r="AZ35" s="971">
        <v>550000000</v>
      </c>
      <c r="BA35" s="957">
        <f t="shared" si="22"/>
        <v>545340879</v>
      </c>
      <c r="BB35" s="908">
        <f t="shared" si="9"/>
        <v>0.99152887090909092</v>
      </c>
      <c r="BC35" s="958">
        <f t="shared" si="23"/>
        <v>422278663</v>
      </c>
      <c r="BD35" s="908">
        <f t="shared" si="24"/>
        <v>0.76777938727272732</v>
      </c>
      <c r="BE35" s="926"/>
      <c r="BF35" s="926"/>
      <c r="BG35" s="910" t="s">
        <v>1701</v>
      </c>
      <c r="BH35" s="969" t="s">
        <v>2126</v>
      </c>
    </row>
    <row r="36" spans="1:61" s="865" customFormat="1" ht="47.4" customHeight="1">
      <c r="A36" s="893" t="s">
        <v>2147</v>
      </c>
      <c r="B36" s="894"/>
      <c r="C36" s="894"/>
      <c r="D36" s="895"/>
      <c r="E36" s="895"/>
      <c r="F36" s="895"/>
      <c r="G36" s="895"/>
      <c r="H36" s="895"/>
      <c r="I36" s="895"/>
      <c r="J36" s="895"/>
      <c r="K36" s="895"/>
      <c r="L36" s="895"/>
      <c r="M36" s="895"/>
      <c r="N36" s="895"/>
      <c r="O36" s="896">
        <f>+SUMPRODUCT(O37:O43,AC37:AC43)</f>
        <v>0.73000000000000009</v>
      </c>
      <c r="P36" s="896">
        <f t="shared" ref="P36:R36" si="52">+SUMPRODUCT(P37:P43,AD37:AD43)</f>
        <v>1</v>
      </c>
      <c r="Q36" s="896">
        <f t="shared" si="52"/>
        <v>1</v>
      </c>
      <c r="R36" s="896">
        <f t="shared" si="52"/>
        <v>1</v>
      </c>
      <c r="S36" s="894"/>
      <c r="T36" s="894"/>
      <c r="U36" s="972"/>
      <c r="V36" s="972"/>
      <c r="W36" s="972"/>
      <c r="X36" s="894"/>
      <c r="Y36" s="897"/>
      <c r="Z36" s="897">
        <f>SUM(H36:M36)</f>
        <v>0</v>
      </c>
      <c r="AA36" s="960">
        <f>+SUMPRODUCT(AA37:AA43,AB37:AB43)</f>
        <v>0.95</v>
      </c>
      <c r="AB36" s="896">
        <v>0.4</v>
      </c>
      <c r="AC36" s="896">
        <v>0.4</v>
      </c>
      <c r="AD36" s="896">
        <v>0.4</v>
      </c>
      <c r="AE36" s="896">
        <v>0.4</v>
      </c>
      <c r="AF36" s="896">
        <v>0.4</v>
      </c>
      <c r="AG36" s="894">
        <f>+SUM(AG37:AG43)</f>
        <v>1230000000</v>
      </c>
      <c r="AH36" s="894">
        <f>SUM(AH37:AH43)</f>
        <v>919742980</v>
      </c>
      <c r="AI36" s="894">
        <f>SUM(AI37:AI43)</f>
        <v>1950651505.2</v>
      </c>
      <c r="AJ36" s="894">
        <f>SUM(AJ37:AJ43)</f>
        <v>1543714533</v>
      </c>
      <c r="AK36" s="894">
        <f>+SUM(AK37:AK43)</f>
        <v>1230000000</v>
      </c>
      <c r="AL36" s="900">
        <f t="shared" si="20"/>
        <v>1</v>
      </c>
      <c r="AM36" s="894">
        <f>SUM(AM37:AM43)</f>
        <v>90600000</v>
      </c>
      <c r="AN36" s="894">
        <f>SUM(AN37:AN43)</f>
        <v>1366882913</v>
      </c>
      <c r="AO36" s="894">
        <f>SUM(AO37:AO43)</f>
        <v>1157568651</v>
      </c>
      <c r="AP36" s="894">
        <f>+SUM(AP37:AP43)</f>
        <v>1016987765</v>
      </c>
      <c r="AQ36" s="901">
        <f t="shared" si="21"/>
        <v>0.82681932113821133</v>
      </c>
      <c r="AR36" s="902">
        <f t="shared" ref="AR36:AX36" si="53">SUM(AR37:AR43)</f>
        <v>386145882</v>
      </c>
      <c r="AS36" s="973">
        <f t="shared" si="53"/>
        <v>829142980</v>
      </c>
      <c r="AT36" s="894">
        <f t="shared" si="53"/>
        <v>829142980</v>
      </c>
      <c r="AU36" s="894">
        <f t="shared" si="53"/>
        <v>583768592.20000005</v>
      </c>
      <c r="AV36" s="894">
        <f t="shared" si="53"/>
        <v>581417756.20000005</v>
      </c>
      <c r="AW36" s="894">
        <f t="shared" si="53"/>
        <v>386145882</v>
      </c>
      <c r="AX36" s="894">
        <f t="shared" si="53"/>
        <v>385363405</v>
      </c>
      <c r="AY36" s="903">
        <f t="shared" si="7"/>
        <v>0.99797362334683659</v>
      </c>
      <c r="AZ36" s="946">
        <f>SUM(AZ37:AZ43)</f>
        <v>5899700000</v>
      </c>
      <c r="BA36" s="894">
        <f t="shared" si="22"/>
        <v>5644109018.1999998</v>
      </c>
      <c r="BB36" s="974">
        <f t="shared" si="9"/>
        <v>0.95667729176059801</v>
      </c>
      <c r="BC36" s="975">
        <f t="shared" si="23"/>
        <v>5427963470.1999998</v>
      </c>
      <c r="BD36" s="974">
        <f t="shared" si="24"/>
        <v>0.92004059023340168</v>
      </c>
      <c r="BE36" s="902"/>
      <c r="BF36" s="902"/>
      <c r="BG36" s="902"/>
      <c r="BH36" s="902"/>
    </row>
    <row r="37" spans="1:61" s="865" customFormat="1" ht="47.4" customHeight="1">
      <c r="A37" s="976" t="s">
        <v>2148</v>
      </c>
      <c r="B37" s="977" t="s">
        <v>2149</v>
      </c>
      <c r="C37" s="905" t="s">
        <v>1054</v>
      </c>
      <c r="D37" s="908">
        <v>1</v>
      </c>
      <c r="E37" s="908">
        <v>1</v>
      </c>
      <c r="F37" s="908">
        <v>1</v>
      </c>
      <c r="G37" s="908">
        <v>1</v>
      </c>
      <c r="H37" s="908">
        <v>0.93</v>
      </c>
      <c r="I37" s="908">
        <v>1</v>
      </c>
      <c r="J37" s="908">
        <v>1</v>
      </c>
      <c r="K37" s="908">
        <v>1</v>
      </c>
      <c r="L37" s="908">
        <v>7.0000000000000007E-2</v>
      </c>
      <c r="M37" s="908"/>
      <c r="N37" s="908"/>
      <c r="O37" s="908">
        <f t="shared" ref="O37:Q43" si="54">+IFERROR(IF((H37+L37)/D37&gt;=100%,100%,(H37+L37)/D37),0)</f>
        <v>1</v>
      </c>
      <c r="P37" s="914">
        <f t="shared" si="54"/>
        <v>1</v>
      </c>
      <c r="Q37" s="930">
        <f t="shared" si="54"/>
        <v>1</v>
      </c>
      <c r="R37" s="908">
        <f t="shared" ref="R37:R43" si="55">+IFERROR(IF(K37/G37&gt;=100%,100%,K37/G37),0)</f>
        <v>1</v>
      </c>
      <c r="S37" s="945" t="s">
        <v>2702</v>
      </c>
      <c r="T37" s="931">
        <v>45291</v>
      </c>
      <c r="U37" s="869"/>
      <c r="V37" s="869"/>
      <c r="W37" s="910"/>
      <c r="X37" s="869"/>
      <c r="Y37" s="930">
        <f t="shared" ref="Y37:Y43" si="56">SUM(D37:G37)</f>
        <v>4</v>
      </c>
      <c r="Z37" s="934">
        <f t="shared" ref="Z37:Z43" si="57">SUM(H37:N37)</f>
        <v>4</v>
      </c>
      <c r="AA37" s="978">
        <f t="shared" ref="AA37:AA43" si="58">IF(Z37/Y37&gt;=100%,100%,Z37/Y37)</f>
        <v>1</v>
      </c>
      <c r="AB37" s="979">
        <v>0.1</v>
      </c>
      <c r="AC37" s="979">
        <v>0.18</v>
      </c>
      <c r="AD37" s="930">
        <v>0.12</v>
      </c>
      <c r="AE37" s="980">
        <v>0.14000000000000001</v>
      </c>
      <c r="AF37" s="980">
        <v>0.14000000000000001</v>
      </c>
      <c r="AG37" s="981">
        <v>170000000</v>
      </c>
      <c r="AH37" s="915">
        <v>70850000</v>
      </c>
      <c r="AI37" s="915">
        <v>170000000</v>
      </c>
      <c r="AJ37" s="915">
        <v>189510018</v>
      </c>
      <c r="AK37" s="915">
        <v>170000000</v>
      </c>
      <c r="AL37" s="982">
        <f t="shared" si="20"/>
        <v>1</v>
      </c>
      <c r="AM37" s="915">
        <v>53100000</v>
      </c>
      <c r="AN37" s="915">
        <v>166500000</v>
      </c>
      <c r="AO37" s="915">
        <v>188663299</v>
      </c>
      <c r="AP37" s="915">
        <v>131100000</v>
      </c>
      <c r="AQ37" s="983">
        <f t="shared" si="21"/>
        <v>0.77117647058823524</v>
      </c>
      <c r="AR37" s="915">
        <f t="shared" si="51"/>
        <v>846719</v>
      </c>
      <c r="AS37" s="915">
        <v>17750000</v>
      </c>
      <c r="AT37" s="915">
        <v>17750000</v>
      </c>
      <c r="AU37" s="915">
        <v>3500000</v>
      </c>
      <c r="AV37" s="915">
        <v>3500000</v>
      </c>
      <c r="AW37" s="915">
        <v>846719</v>
      </c>
      <c r="AX37" s="915">
        <v>713989</v>
      </c>
      <c r="AY37" s="984">
        <f t="shared" si="7"/>
        <v>0.84324197283868674</v>
      </c>
      <c r="AZ37" s="985">
        <v>619700000</v>
      </c>
      <c r="BA37" s="957">
        <f t="shared" si="22"/>
        <v>600360018</v>
      </c>
      <c r="BB37" s="930">
        <f t="shared" si="9"/>
        <v>0.96879137969985474</v>
      </c>
      <c r="BC37" s="986">
        <f t="shared" si="23"/>
        <v>561327288</v>
      </c>
      <c r="BD37" s="930">
        <f t="shared" si="24"/>
        <v>0.90580488623527511</v>
      </c>
      <c r="BE37" s="987"/>
      <c r="BF37" s="987"/>
      <c r="BG37" s="909" t="s">
        <v>1060</v>
      </c>
      <c r="BH37" s="977" t="s">
        <v>2107</v>
      </c>
    </row>
    <row r="38" spans="1:61" s="865" customFormat="1" ht="47.4" customHeight="1">
      <c r="A38" s="976" t="s">
        <v>2150</v>
      </c>
      <c r="B38" s="988" t="s">
        <v>2151</v>
      </c>
      <c r="C38" s="988" t="s">
        <v>2086</v>
      </c>
      <c r="D38" s="990">
        <v>1</v>
      </c>
      <c r="E38" s="990">
        <v>1</v>
      </c>
      <c r="F38" s="990">
        <v>1</v>
      </c>
      <c r="G38" s="990">
        <v>1</v>
      </c>
      <c r="H38" s="906">
        <v>1</v>
      </c>
      <c r="I38" s="906">
        <v>1</v>
      </c>
      <c r="J38" s="906">
        <v>1</v>
      </c>
      <c r="K38" s="906">
        <v>1</v>
      </c>
      <c r="L38" s="906"/>
      <c r="M38" s="906"/>
      <c r="N38" s="906"/>
      <c r="O38" s="908">
        <f t="shared" si="54"/>
        <v>1</v>
      </c>
      <c r="P38" s="914">
        <f t="shared" si="54"/>
        <v>1</v>
      </c>
      <c r="Q38" s="930">
        <f t="shared" si="54"/>
        <v>1</v>
      </c>
      <c r="R38" s="908">
        <f t="shared" si="55"/>
        <v>1</v>
      </c>
      <c r="S38" s="910" t="s">
        <v>2703</v>
      </c>
      <c r="T38" s="931">
        <v>45291</v>
      </c>
      <c r="U38" s="911" t="s">
        <v>2092</v>
      </c>
      <c r="V38" s="869"/>
      <c r="W38" s="910" t="s">
        <v>2687</v>
      </c>
      <c r="X38" s="910">
        <v>305</v>
      </c>
      <c r="Y38" s="907">
        <f t="shared" si="56"/>
        <v>4</v>
      </c>
      <c r="Z38" s="913">
        <f t="shared" si="57"/>
        <v>4</v>
      </c>
      <c r="AA38" s="978">
        <f t="shared" si="58"/>
        <v>1</v>
      </c>
      <c r="AB38" s="979">
        <v>0.3</v>
      </c>
      <c r="AC38" s="979">
        <v>0.38</v>
      </c>
      <c r="AD38" s="930">
        <v>0.32</v>
      </c>
      <c r="AE38" s="980">
        <v>0.34</v>
      </c>
      <c r="AF38" s="980">
        <v>0.34</v>
      </c>
      <c r="AG38" s="981">
        <v>650000000</v>
      </c>
      <c r="AH38" s="915">
        <v>599224500</v>
      </c>
      <c r="AI38" s="915">
        <v>883408011</v>
      </c>
      <c r="AJ38" s="915">
        <v>960976437</v>
      </c>
      <c r="AK38" s="915">
        <v>650000000</v>
      </c>
      <c r="AL38" s="982">
        <f t="shared" si="20"/>
        <v>1</v>
      </c>
      <c r="AM38" s="915">
        <v>0</v>
      </c>
      <c r="AN38" s="915">
        <v>463150138</v>
      </c>
      <c r="AO38" s="915">
        <v>699614855</v>
      </c>
      <c r="AP38" s="915">
        <v>484787765</v>
      </c>
      <c r="AQ38" s="983">
        <f t="shared" si="21"/>
        <v>0.7458273307692308</v>
      </c>
      <c r="AR38" s="915">
        <f t="shared" si="51"/>
        <v>261361582</v>
      </c>
      <c r="AS38" s="915">
        <v>599224500</v>
      </c>
      <c r="AT38" s="915">
        <v>599224500</v>
      </c>
      <c r="AU38" s="915">
        <v>420257873</v>
      </c>
      <c r="AV38" s="915">
        <v>419797153</v>
      </c>
      <c r="AW38" s="915">
        <v>261361582</v>
      </c>
      <c r="AX38" s="915">
        <v>261361580</v>
      </c>
      <c r="AY38" s="984">
        <f t="shared" si="7"/>
        <v>0.99999999234776593</v>
      </c>
      <c r="AZ38" s="985">
        <v>3111700000</v>
      </c>
      <c r="BA38" s="957">
        <f t="shared" si="22"/>
        <v>3093608948</v>
      </c>
      <c r="BB38" s="930">
        <f t="shared" si="9"/>
        <v>0.99418611948452618</v>
      </c>
      <c r="BC38" s="986">
        <f t="shared" si="23"/>
        <v>2927935991</v>
      </c>
      <c r="BD38" s="930">
        <f t="shared" si="24"/>
        <v>0.94094417553106025</v>
      </c>
      <c r="BE38" s="987"/>
      <c r="BF38" s="987"/>
      <c r="BG38" s="909" t="s">
        <v>1701</v>
      </c>
      <c r="BH38" s="1359" t="s">
        <v>2152</v>
      </c>
    </row>
    <row r="39" spans="1:61" s="865" customFormat="1" ht="47.4" customHeight="1">
      <c r="A39" s="976" t="s">
        <v>2153</v>
      </c>
      <c r="B39" s="988" t="s">
        <v>2154</v>
      </c>
      <c r="C39" s="988" t="s">
        <v>2086</v>
      </c>
      <c r="D39" s="990">
        <v>1</v>
      </c>
      <c r="E39" s="990">
        <v>1</v>
      </c>
      <c r="F39" s="990">
        <v>1</v>
      </c>
      <c r="G39" s="990">
        <v>1</v>
      </c>
      <c r="H39" s="906">
        <v>0</v>
      </c>
      <c r="I39" s="906">
        <v>0</v>
      </c>
      <c r="J39" s="906">
        <v>1</v>
      </c>
      <c r="K39" s="939">
        <v>1</v>
      </c>
      <c r="L39" s="906"/>
      <c r="M39" s="906">
        <v>1</v>
      </c>
      <c r="N39" s="906"/>
      <c r="O39" s="908">
        <f t="shared" si="54"/>
        <v>0</v>
      </c>
      <c r="P39" s="914">
        <f t="shared" si="54"/>
        <v>1</v>
      </c>
      <c r="Q39" s="930">
        <f t="shared" si="54"/>
        <v>1</v>
      </c>
      <c r="R39" s="908">
        <f t="shared" si="55"/>
        <v>1</v>
      </c>
      <c r="S39" s="910" t="s">
        <v>2704</v>
      </c>
      <c r="T39" s="931">
        <v>45291</v>
      </c>
      <c r="U39" s="911" t="s">
        <v>2092</v>
      </c>
      <c r="V39" s="869"/>
      <c r="W39" s="909" t="s">
        <v>2683</v>
      </c>
      <c r="X39" s="910" t="s">
        <v>2114</v>
      </c>
      <c r="Y39" s="907">
        <f t="shared" si="56"/>
        <v>4</v>
      </c>
      <c r="Z39" s="913">
        <f t="shared" si="57"/>
        <v>3</v>
      </c>
      <c r="AA39" s="978">
        <f t="shared" si="58"/>
        <v>0.75</v>
      </c>
      <c r="AB39" s="979">
        <v>0.2</v>
      </c>
      <c r="AC39" s="979">
        <v>0.27</v>
      </c>
      <c r="AD39" s="930">
        <v>0.21</v>
      </c>
      <c r="AE39" s="980">
        <v>0.24</v>
      </c>
      <c r="AF39" s="980">
        <v>0.24</v>
      </c>
      <c r="AG39" s="981">
        <v>250000000</v>
      </c>
      <c r="AH39" s="981" t="s">
        <v>2095</v>
      </c>
      <c r="AI39" s="915">
        <v>254533137</v>
      </c>
      <c r="AJ39" s="915">
        <v>233567242</v>
      </c>
      <c r="AK39" s="915">
        <v>250000000</v>
      </c>
      <c r="AL39" s="982">
        <f t="shared" si="20"/>
        <v>1</v>
      </c>
      <c r="AM39" s="981" t="s">
        <v>2095</v>
      </c>
      <c r="AN39" s="915">
        <v>129012074</v>
      </c>
      <c r="AO39" s="915">
        <v>112257536</v>
      </c>
      <c r="AP39" s="915">
        <v>250000000</v>
      </c>
      <c r="AQ39" s="983">
        <f t="shared" si="21"/>
        <v>1</v>
      </c>
      <c r="AR39" s="915">
        <f t="shared" si="51"/>
        <v>121309706</v>
      </c>
      <c r="AS39" s="981" t="s">
        <v>2095</v>
      </c>
      <c r="AT39" s="915">
        <v>0</v>
      </c>
      <c r="AU39" s="981">
        <v>125521063</v>
      </c>
      <c r="AV39" s="981">
        <v>124949833</v>
      </c>
      <c r="AW39" s="981">
        <v>121309706</v>
      </c>
      <c r="AX39" s="981">
        <v>121077913</v>
      </c>
      <c r="AY39" s="984">
        <f t="shared" si="7"/>
        <v>0.99808924604928151</v>
      </c>
      <c r="AZ39" s="985">
        <v>948300000</v>
      </c>
      <c r="BA39" s="957">
        <f t="shared" si="22"/>
        <v>738100379</v>
      </c>
      <c r="BB39" s="930">
        <f t="shared" si="9"/>
        <v>0.77834058736686706</v>
      </c>
      <c r="BC39" s="986">
        <f t="shared" si="23"/>
        <v>737297356</v>
      </c>
      <c r="BD39" s="930">
        <f t="shared" si="24"/>
        <v>0.77749378466729935</v>
      </c>
      <c r="BE39" s="987"/>
      <c r="BF39" s="987"/>
      <c r="BG39" s="909" t="s">
        <v>1701</v>
      </c>
      <c r="BH39" s="1345"/>
    </row>
    <row r="40" spans="1:61" s="865" customFormat="1" ht="68.25" customHeight="1">
      <c r="A40" s="976" t="s">
        <v>2155</v>
      </c>
      <c r="B40" s="991" t="s">
        <v>2156</v>
      </c>
      <c r="C40" s="991" t="s">
        <v>2086</v>
      </c>
      <c r="D40" s="989">
        <v>0</v>
      </c>
      <c r="E40" s="989">
        <v>1</v>
      </c>
      <c r="F40" s="989">
        <v>0</v>
      </c>
      <c r="G40" s="989">
        <v>0</v>
      </c>
      <c r="H40" s="906">
        <v>0</v>
      </c>
      <c r="I40" s="906">
        <v>1</v>
      </c>
      <c r="J40" s="906">
        <v>0</v>
      </c>
      <c r="K40" s="906"/>
      <c r="L40" s="906"/>
      <c r="M40" s="906"/>
      <c r="N40" s="906"/>
      <c r="O40" s="908">
        <f t="shared" si="54"/>
        <v>0</v>
      </c>
      <c r="P40" s="914">
        <f t="shared" si="54"/>
        <v>1</v>
      </c>
      <c r="Q40" s="908">
        <f t="shared" si="54"/>
        <v>0</v>
      </c>
      <c r="R40" s="908">
        <f t="shared" si="55"/>
        <v>0</v>
      </c>
      <c r="S40" s="910"/>
      <c r="T40" s="910"/>
      <c r="U40" s="911"/>
      <c r="V40" s="869"/>
      <c r="W40" s="910"/>
      <c r="X40" s="910"/>
      <c r="Y40" s="992">
        <f t="shared" si="56"/>
        <v>1</v>
      </c>
      <c r="Z40" s="913">
        <f t="shared" si="57"/>
        <v>1</v>
      </c>
      <c r="AA40" s="978">
        <f t="shared" si="58"/>
        <v>1</v>
      </c>
      <c r="AB40" s="979">
        <v>0.1</v>
      </c>
      <c r="AC40" s="979">
        <v>0</v>
      </c>
      <c r="AD40" s="930">
        <v>0.12</v>
      </c>
      <c r="AE40" s="908">
        <v>0</v>
      </c>
      <c r="AF40" s="908">
        <v>0</v>
      </c>
      <c r="AG40" s="981">
        <v>0</v>
      </c>
      <c r="AH40" s="981" t="s">
        <v>2095</v>
      </c>
      <c r="AI40" s="915">
        <v>485294769</v>
      </c>
      <c r="AJ40" s="915">
        <v>0</v>
      </c>
      <c r="AK40" s="915"/>
      <c r="AL40" s="982" t="e">
        <f t="shared" si="20"/>
        <v>#DIV/0!</v>
      </c>
      <c r="AM40" s="981" t="s">
        <v>2095</v>
      </c>
      <c r="AN40" s="915">
        <v>468731314</v>
      </c>
      <c r="AO40" s="915"/>
      <c r="AP40" s="915"/>
      <c r="AQ40" s="983" t="e">
        <f t="shared" si="21"/>
        <v>#DIV/0!</v>
      </c>
      <c r="AR40" s="915">
        <f t="shared" si="51"/>
        <v>0</v>
      </c>
      <c r="AS40" s="981" t="s">
        <v>2095</v>
      </c>
      <c r="AT40" s="915">
        <v>0</v>
      </c>
      <c r="AU40" s="981">
        <v>16563455</v>
      </c>
      <c r="AV40" s="981">
        <v>16425239</v>
      </c>
      <c r="AW40" s="981"/>
      <c r="AX40" s="981"/>
      <c r="AY40" s="984" t="e">
        <f t="shared" si="7"/>
        <v>#DIV/0!</v>
      </c>
      <c r="AZ40" s="985">
        <v>490000000</v>
      </c>
      <c r="BA40" s="957">
        <f t="shared" si="22"/>
        <v>485294769</v>
      </c>
      <c r="BB40" s="992">
        <f t="shared" si="9"/>
        <v>0.99039748775510206</v>
      </c>
      <c r="BC40" s="992">
        <f t="shared" si="23"/>
        <v>485156553</v>
      </c>
      <c r="BD40" s="993">
        <f t="shared" si="24"/>
        <v>0.99011541428571426</v>
      </c>
      <c r="BE40" s="987"/>
      <c r="BF40" s="987"/>
      <c r="BG40" s="909" t="s">
        <v>1701</v>
      </c>
      <c r="BH40" s="1359" t="s">
        <v>2152</v>
      </c>
    </row>
    <row r="41" spans="1:61" s="865" customFormat="1" ht="47.4" customHeight="1">
      <c r="A41" s="976" t="s">
        <v>2157</v>
      </c>
      <c r="B41" s="988" t="s">
        <v>2158</v>
      </c>
      <c r="C41" s="988" t="s">
        <v>2086</v>
      </c>
      <c r="D41" s="990">
        <v>0</v>
      </c>
      <c r="E41" s="990">
        <v>1</v>
      </c>
      <c r="F41" s="990">
        <v>1</v>
      </c>
      <c r="G41" s="990">
        <v>1</v>
      </c>
      <c r="H41" s="906">
        <v>0</v>
      </c>
      <c r="I41" s="906">
        <v>1</v>
      </c>
      <c r="J41" s="906">
        <v>1</v>
      </c>
      <c r="K41" s="906">
        <v>1</v>
      </c>
      <c r="L41" s="906"/>
      <c r="M41" s="906"/>
      <c r="N41" s="906"/>
      <c r="O41" s="908">
        <f t="shared" si="54"/>
        <v>0</v>
      </c>
      <c r="P41" s="914">
        <f t="shared" si="54"/>
        <v>1</v>
      </c>
      <c r="Q41" s="930">
        <f t="shared" si="54"/>
        <v>1</v>
      </c>
      <c r="R41" s="908">
        <f t="shared" si="55"/>
        <v>1</v>
      </c>
      <c r="S41" s="910" t="s">
        <v>2705</v>
      </c>
      <c r="T41" s="931">
        <v>45291</v>
      </c>
      <c r="U41" s="869"/>
      <c r="V41" s="869"/>
      <c r="W41" s="910"/>
      <c r="X41" s="932"/>
      <c r="Y41" s="992">
        <f t="shared" si="56"/>
        <v>3</v>
      </c>
      <c r="Z41" s="913">
        <f t="shared" si="57"/>
        <v>3</v>
      </c>
      <c r="AA41" s="978">
        <f t="shared" si="58"/>
        <v>1</v>
      </c>
      <c r="AB41" s="979">
        <v>0.1</v>
      </c>
      <c r="AC41" s="979">
        <v>0</v>
      </c>
      <c r="AD41" s="930">
        <v>0.12</v>
      </c>
      <c r="AE41" s="980">
        <v>0.14000000000000001</v>
      </c>
      <c r="AF41" s="980">
        <v>0.14000000000000001</v>
      </c>
      <c r="AG41" s="994">
        <v>100000000</v>
      </c>
      <c r="AH41" s="981" t="s">
        <v>2095</v>
      </c>
      <c r="AI41" s="915">
        <v>98347412</v>
      </c>
      <c r="AJ41" s="915">
        <v>99692062</v>
      </c>
      <c r="AK41" s="915">
        <v>100000000</v>
      </c>
      <c r="AL41" s="982">
        <f t="shared" si="20"/>
        <v>1</v>
      </c>
      <c r="AM41" s="981" t="s">
        <v>2095</v>
      </c>
      <c r="AN41" s="915">
        <v>81178105</v>
      </c>
      <c r="AO41" s="915">
        <v>97634559</v>
      </c>
      <c r="AP41" s="915">
        <v>91100000</v>
      </c>
      <c r="AQ41" s="983">
        <f t="shared" si="21"/>
        <v>0.91100000000000003</v>
      </c>
      <c r="AR41" s="915">
        <f t="shared" si="51"/>
        <v>2057503</v>
      </c>
      <c r="AS41" s="981" t="s">
        <v>2095</v>
      </c>
      <c r="AT41" s="915">
        <v>0</v>
      </c>
      <c r="AU41" s="981">
        <v>17169307</v>
      </c>
      <c r="AV41" s="981">
        <v>16016280</v>
      </c>
      <c r="AW41" s="981">
        <v>2057503</v>
      </c>
      <c r="AX41" s="981">
        <v>1755207</v>
      </c>
      <c r="AY41" s="984">
        <f t="shared" si="7"/>
        <v>0.8530762774100451</v>
      </c>
      <c r="AZ41" s="985">
        <v>300000000</v>
      </c>
      <c r="BA41" s="957">
        <f t="shared" si="22"/>
        <v>298039474</v>
      </c>
      <c r="BB41" s="930">
        <f t="shared" si="9"/>
        <v>0.99346491333333331</v>
      </c>
      <c r="BC41" s="986">
        <f t="shared" si="23"/>
        <v>287684151</v>
      </c>
      <c r="BD41" s="930">
        <f t="shared" si="24"/>
        <v>0.95894716999999996</v>
      </c>
      <c r="BE41" s="987"/>
      <c r="BF41" s="987"/>
      <c r="BG41" s="909" t="s">
        <v>1701</v>
      </c>
      <c r="BH41" s="1345"/>
    </row>
    <row r="42" spans="1:61" s="865" customFormat="1" ht="51.75" customHeight="1">
      <c r="A42" s="976" t="s">
        <v>2159</v>
      </c>
      <c r="B42" s="988" t="s">
        <v>2160</v>
      </c>
      <c r="C42" s="988" t="s">
        <v>2086</v>
      </c>
      <c r="D42" s="989">
        <v>1</v>
      </c>
      <c r="E42" s="989">
        <v>0</v>
      </c>
      <c r="F42" s="989">
        <v>0</v>
      </c>
      <c r="G42" s="989">
        <v>0</v>
      </c>
      <c r="H42" s="906">
        <v>0</v>
      </c>
      <c r="I42" s="906">
        <v>0</v>
      </c>
      <c r="J42" s="906"/>
      <c r="K42" s="906"/>
      <c r="L42" s="906">
        <v>1</v>
      </c>
      <c r="M42" s="906"/>
      <c r="N42" s="906"/>
      <c r="O42" s="908">
        <f t="shared" si="54"/>
        <v>1</v>
      </c>
      <c r="P42" s="914">
        <f t="shared" si="54"/>
        <v>0</v>
      </c>
      <c r="Q42" s="908">
        <f t="shared" si="54"/>
        <v>0</v>
      </c>
      <c r="R42" s="908">
        <f t="shared" si="55"/>
        <v>0</v>
      </c>
      <c r="S42" s="909"/>
      <c r="T42" s="910"/>
      <c r="U42" s="911"/>
      <c r="V42" s="869"/>
      <c r="W42" s="910"/>
      <c r="X42" s="910"/>
      <c r="Y42" s="992">
        <f t="shared" si="56"/>
        <v>1</v>
      </c>
      <c r="Z42" s="913">
        <f t="shared" si="57"/>
        <v>1</v>
      </c>
      <c r="AA42" s="978">
        <f t="shared" si="58"/>
        <v>1</v>
      </c>
      <c r="AB42" s="979">
        <v>0.1</v>
      </c>
      <c r="AC42" s="979">
        <v>0.17</v>
      </c>
      <c r="AD42" s="930">
        <v>0</v>
      </c>
      <c r="AE42" s="908">
        <v>0</v>
      </c>
      <c r="AF42" s="908">
        <v>0</v>
      </c>
      <c r="AG42" s="981">
        <v>0</v>
      </c>
      <c r="AH42" s="915">
        <v>249668480</v>
      </c>
      <c r="AI42" s="915">
        <v>0</v>
      </c>
      <c r="AJ42" s="915">
        <v>0</v>
      </c>
      <c r="AK42" s="915"/>
      <c r="AL42" s="982" t="e">
        <f t="shared" si="20"/>
        <v>#DIV/0!</v>
      </c>
      <c r="AM42" s="915">
        <v>37500000</v>
      </c>
      <c r="AN42" s="915">
        <v>0</v>
      </c>
      <c r="AO42" s="915"/>
      <c r="AP42" s="915"/>
      <c r="AQ42" s="983" t="e">
        <f t="shared" si="21"/>
        <v>#DIV/0!</v>
      </c>
      <c r="AR42" s="915">
        <f t="shared" si="51"/>
        <v>0</v>
      </c>
      <c r="AS42" s="915">
        <v>212168480</v>
      </c>
      <c r="AT42" s="915">
        <v>212168480</v>
      </c>
      <c r="AU42" s="915"/>
      <c r="AV42" s="915"/>
      <c r="AW42" s="915"/>
      <c r="AX42" s="915"/>
      <c r="AY42" s="984" t="e">
        <f t="shared" si="7"/>
        <v>#DIV/0!</v>
      </c>
      <c r="AZ42" s="985">
        <v>250000000</v>
      </c>
      <c r="BA42" s="957">
        <f t="shared" si="22"/>
        <v>249668480</v>
      </c>
      <c r="BB42" s="930">
        <f t="shared" si="9"/>
        <v>0.99867391999999999</v>
      </c>
      <c r="BC42" s="986">
        <f t="shared" si="23"/>
        <v>249668480</v>
      </c>
      <c r="BD42" s="930">
        <f t="shared" si="24"/>
        <v>0.99867391999999999</v>
      </c>
      <c r="BE42" s="987"/>
      <c r="BF42" s="987"/>
      <c r="BG42" s="909" t="s">
        <v>1701</v>
      </c>
      <c r="BH42" s="1345"/>
    </row>
    <row r="43" spans="1:61" s="865" customFormat="1" ht="47.4" customHeight="1">
      <c r="A43" s="976" t="s">
        <v>2161</v>
      </c>
      <c r="B43" s="995" t="s">
        <v>2162</v>
      </c>
      <c r="C43" s="995" t="s">
        <v>2086</v>
      </c>
      <c r="D43" s="990">
        <v>0</v>
      </c>
      <c r="E43" s="990">
        <v>1</v>
      </c>
      <c r="F43" s="990">
        <v>1</v>
      </c>
      <c r="G43" s="990">
        <v>1</v>
      </c>
      <c r="H43" s="906">
        <v>0</v>
      </c>
      <c r="I43" s="906">
        <v>1</v>
      </c>
      <c r="J43" s="906">
        <v>1</v>
      </c>
      <c r="K43" s="906">
        <v>1</v>
      </c>
      <c r="L43" s="906"/>
      <c r="M43" s="906"/>
      <c r="N43" s="906"/>
      <c r="O43" s="908">
        <f t="shared" si="54"/>
        <v>0</v>
      </c>
      <c r="P43" s="914">
        <f t="shared" si="54"/>
        <v>1</v>
      </c>
      <c r="Q43" s="930">
        <f t="shared" si="54"/>
        <v>1</v>
      </c>
      <c r="R43" s="908">
        <f t="shared" si="55"/>
        <v>1</v>
      </c>
      <c r="S43" s="910" t="s">
        <v>2163</v>
      </c>
      <c r="T43" s="931">
        <v>45291</v>
      </c>
      <c r="U43" s="911"/>
      <c r="V43" s="869"/>
      <c r="W43" s="910"/>
      <c r="X43" s="910"/>
      <c r="Y43" s="992">
        <f t="shared" si="56"/>
        <v>3</v>
      </c>
      <c r="Z43" s="913">
        <f t="shared" si="57"/>
        <v>3</v>
      </c>
      <c r="AA43" s="978">
        <f t="shared" si="58"/>
        <v>1</v>
      </c>
      <c r="AB43" s="979">
        <v>0.1</v>
      </c>
      <c r="AC43" s="979">
        <v>0</v>
      </c>
      <c r="AD43" s="930">
        <v>0.11</v>
      </c>
      <c r="AE43" s="980">
        <v>0.14000000000000001</v>
      </c>
      <c r="AF43" s="980">
        <v>0.14000000000000001</v>
      </c>
      <c r="AG43" s="981">
        <v>60000000</v>
      </c>
      <c r="AH43" s="981" t="s">
        <v>2095</v>
      </c>
      <c r="AI43" s="915">
        <v>59068176.200000003</v>
      </c>
      <c r="AJ43" s="915">
        <v>59968774</v>
      </c>
      <c r="AK43" s="915">
        <v>60000000</v>
      </c>
      <c r="AL43" s="982">
        <f t="shared" si="20"/>
        <v>1</v>
      </c>
      <c r="AM43" s="981" t="s">
        <v>2095</v>
      </c>
      <c r="AN43" s="915">
        <v>58311282</v>
      </c>
      <c r="AO43" s="915">
        <v>59398402</v>
      </c>
      <c r="AP43" s="915">
        <v>60000000</v>
      </c>
      <c r="AQ43" s="983">
        <f t="shared" si="21"/>
        <v>1</v>
      </c>
      <c r="AR43" s="915">
        <f t="shared" si="51"/>
        <v>570372</v>
      </c>
      <c r="AS43" s="981" t="s">
        <v>2095</v>
      </c>
      <c r="AT43" s="981">
        <v>0</v>
      </c>
      <c r="AU43" s="981">
        <v>756894.2</v>
      </c>
      <c r="AV43" s="981">
        <v>729251.2</v>
      </c>
      <c r="AW43" s="981">
        <v>570372</v>
      </c>
      <c r="AX43" s="981">
        <v>454716</v>
      </c>
      <c r="AY43" s="984">
        <f t="shared" si="7"/>
        <v>0.79722707285771388</v>
      </c>
      <c r="AZ43" s="985">
        <v>180000000</v>
      </c>
      <c r="BA43" s="957">
        <f t="shared" si="22"/>
        <v>179036950.19999999</v>
      </c>
      <c r="BB43" s="930">
        <f t="shared" si="9"/>
        <v>0.99464972333333324</v>
      </c>
      <c r="BC43" s="986">
        <f t="shared" si="23"/>
        <v>178893651.19999999</v>
      </c>
      <c r="BD43" s="930">
        <f t="shared" si="24"/>
        <v>0.9938536177777777</v>
      </c>
      <c r="BE43" s="987"/>
      <c r="BF43" s="987"/>
      <c r="BG43" s="909" t="s">
        <v>1701</v>
      </c>
      <c r="BH43" s="977" t="s">
        <v>2152</v>
      </c>
    </row>
    <row r="44" spans="1:61" s="865" customFormat="1" ht="47.4" customHeight="1">
      <c r="A44" s="893" t="s">
        <v>2164</v>
      </c>
      <c r="B44" s="894"/>
      <c r="C44" s="894"/>
      <c r="D44" s="895"/>
      <c r="E44" s="895"/>
      <c r="F44" s="895"/>
      <c r="G44" s="895"/>
      <c r="H44" s="895"/>
      <c r="I44" s="895"/>
      <c r="J44" s="895"/>
      <c r="K44" s="895"/>
      <c r="L44" s="895"/>
      <c r="M44" s="895"/>
      <c r="N44" s="895"/>
      <c r="O44" s="896">
        <f>+SUMPRODUCT(O45:O47,AC45:AC47)</f>
        <v>1</v>
      </c>
      <c r="P44" s="896">
        <f t="shared" ref="P44:R44" si="59">+SUMPRODUCT(P45:P47,AD45:AD47)</f>
        <v>1</v>
      </c>
      <c r="Q44" s="896">
        <f t="shared" si="59"/>
        <v>1</v>
      </c>
      <c r="R44" s="896">
        <f t="shared" si="59"/>
        <v>1</v>
      </c>
      <c r="S44" s="894"/>
      <c r="T44" s="894"/>
      <c r="U44" s="972"/>
      <c r="V44" s="972"/>
      <c r="W44" s="972"/>
      <c r="X44" s="894"/>
      <c r="Y44" s="897"/>
      <c r="Z44" s="996">
        <f>SUM(H44:M44)</f>
        <v>0</v>
      </c>
      <c r="AA44" s="960">
        <f>+SUMPRODUCT(AA45:AA47,AB45:AB47)</f>
        <v>1</v>
      </c>
      <c r="AB44" s="974">
        <v>0.5</v>
      </c>
      <c r="AC44" s="974">
        <v>0.5</v>
      </c>
      <c r="AD44" s="974">
        <v>0.5</v>
      </c>
      <c r="AE44" s="896">
        <v>0.5</v>
      </c>
      <c r="AF44" s="896">
        <v>0.5</v>
      </c>
      <c r="AG44" s="973">
        <f>+SUM(AG45:AG47)</f>
        <v>12170370369</v>
      </c>
      <c r="AH44" s="973">
        <f>SUM(AH45:AH47)</f>
        <v>576557090</v>
      </c>
      <c r="AI44" s="973">
        <f>SUM(AI45:AI47)</f>
        <v>16535533312</v>
      </c>
      <c r="AJ44" s="973">
        <f>SUM(AJ45:AJ47)</f>
        <v>12639190545</v>
      </c>
      <c r="AK44" s="973">
        <f>+SUM(AK45:AK47)</f>
        <v>12160435256.1</v>
      </c>
      <c r="AL44" s="997">
        <f t="shared" si="20"/>
        <v>0.99918366388213575</v>
      </c>
      <c r="AM44" s="973">
        <f>SUM(AM45:AM47)</f>
        <v>51300000</v>
      </c>
      <c r="AN44" s="973">
        <f t="shared" ref="AN44:AX44" si="60">SUM(AN45:AN47)</f>
        <v>6910273651</v>
      </c>
      <c r="AO44" s="973">
        <f t="shared" si="60"/>
        <v>6060374350</v>
      </c>
      <c r="AP44" s="973">
        <f>+SUM(AP45:AP47)</f>
        <v>3319822781</v>
      </c>
      <c r="AQ44" s="998">
        <f t="shared" si="21"/>
        <v>0.27277910863387955</v>
      </c>
      <c r="AR44" s="999">
        <f t="shared" si="60"/>
        <v>6578816195</v>
      </c>
      <c r="AS44" s="973">
        <f t="shared" si="60"/>
        <v>525257090</v>
      </c>
      <c r="AT44" s="973">
        <f t="shared" si="60"/>
        <v>40350000</v>
      </c>
      <c r="AU44" s="973">
        <f t="shared" si="60"/>
        <v>9625259661</v>
      </c>
      <c r="AV44" s="973">
        <f t="shared" si="60"/>
        <v>273052976</v>
      </c>
      <c r="AW44" s="973">
        <f t="shared" si="60"/>
        <v>6578816195</v>
      </c>
      <c r="AX44" s="973">
        <f t="shared" si="60"/>
        <v>6150797304</v>
      </c>
      <c r="AY44" s="1000">
        <f t="shared" si="7"/>
        <v>0.9349398313749363</v>
      </c>
      <c r="AZ44" s="1001">
        <f t="shared" ref="AZ44" si="61">SUM(AZ45:AZ47)</f>
        <v>51783849256</v>
      </c>
      <c r="BA44" s="973">
        <f t="shared" si="22"/>
        <v>41911716203.099998</v>
      </c>
      <c r="BB44" s="1002">
        <f t="shared" si="9"/>
        <v>0.80935884074403464</v>
      </c>
      <c r="BC44" s="975">
        <f t="shared" si="23"/>
        <v>22805971062</v>
      </c>
      <c r="BD44" s="974">
        <f t="shared" si="24"/>
        <v>0.44040702631540196</v>
      </c>
      <c r="BE44" s="999"/>
      <c r="BF44" s="902"/>
      <c r="BG44" s="902"/>
      <c r="BH44" s="902"/>
      <c r="BI44" s="865" t="s">
        <v>2081</v>
      </c>
    </row>
    <row r="45" spans="1:61" s="865" customFormat="1" ht="47.4" customHeight="1">
      <c r="A45" s="951" t="s">
        <v>2165</v>
      </c>
      <c r="B45" s="905" t="s">
        <v>2166</v>
      </c>
      <c r="C45" s="905" t="s">
        <v>2086</v>
      </c>
      <c r="D45" s="1003">
        <v>1</v>
      </c>
      <c r="E45" s="1003">
        <v>1</v>
      </c>
      <c r="F45" s="1003">
        <v>1</v>
      </c>
      <c r="G45" s="1003">
        <v>1</v>
      </c>
      <c r="H45" s="906">
        <v>1</v>
      </c>
      <c r="I45" s="906">
        <v>1</v>
      </c>
      <c r="J45" s="938">
        <v>1</v>
      </c>
      <c r="K45" s="938">
        <v>1</v>
      </c>
      <c r="L45" s="906"/>
      <c r="M45" s="906"/>
      <c r="N45" s="906"/>
      <c r="O45" s="908">
        <f t="shared" ref="O45:Q47" si="62">+IFERROR(IF((H45+L45)/D45&gt;=100%,100%,(H45+L45)/D45),0)</f>
        <v>1</v>
      </c>
      <c r="P45" s="914">
        <f t="shared" si="62"/>
        <v>1</v>
      </c>
      <c r="Q45" s="930">
        <f t="shared" si="62"/>
        <v>1</v>
      </c>
      <c r="R45" s="908">
        <f t="shared" ref="R45:R47" si="63">+IFERROR(IF(K45/G45&gt;=100%,100%,K45/G45),0)</f>
        <v>1</v>
      </c>
      <c r="S45" s="909" t="s">
        <v>2706</v>
      </c>
      <c r="T45" s="931">
        <v>45291</v>
      </c>
      <c r="U45" s="941"/>
      <c r="V45" s="942"/>
      <c r="W45" s="909"/>
      <c r="X45" s="909"/>
      <c r="Y45" s="992">
        <f t="shared" ref="Y45:Y47" si="64">SUM(D45:G45)</f>
        <v>4</v>
      </c>
      <c r="Z45" s="913">
        <f t="shared" ref="Z45:Z47" si="65">SUM(H45:N45)</f>
        <v>4</v>
      </c>
      <c r="AA45" s="978">
        <f>IF(Z45/Y45&gt;=100%,100%,Z45/Y45)</f>
        <v>1</v>
      </c>
      <c r="AB45" s="1004">
        <v>0.2</v>
      </c>
      <c r="AC45" s="1004">
        <v>0.4</v>
      </c>
      <c r="AD45" s="930">
        <v>0.2</v>
      </c>
      <c r="AE45" s="908">
        <v>0.2</v>
      </c>
      <c r="AF45" s="908">
        <v>0.2</v>
      </c>
      <c r="AG45" s="994">
        <v>95000000</v>
      </c>
      <c r="AH45" s="915">
        <v>91650000</v>
      </c>
      <c r="AI45" s="994">
        <v>120000000</v>
      </c>
      <c r="AJ45" s="994">
        <v>251567304</v>
      </c>
      <c r="AK45" s="994">
        <v>94960000</v>
      </c>
      <c r="AL45" s="982">
        <f t="shared" si="20"/>
        <v>0.99957894736842101</v>
      </c>
      <c r="AM45" s="915">
        <v>51300000</v>
      </c>
      <c r="AN45" s="994">
        <v>120000000</v>
      </c>
      <c r="AO45" s="994">
        <v>209824030</v>
      </c>
      <c r="AP45" s="994">
        <v>88660000</v>
      </c>
      <c r="AQ45" s="983">
        <f t="shared" si="21"/>
        <v>0.93326315789473679</v>
      </c>
      <c r="AR45" s="915">
        <f t="shared" si="51"/>
        <v>41743274</v>
      </c>
      <c r="AS45" s="915">
        <v>40350000</v>
      </c>
      <c r="AT45" s="915">
        <v>40350000</v>
      </c>
      <c r="AU45" s="915"/>
      <c r="AV45" s="915"/>
      <c r="AW45" s="915">
        <v>41743274</v>
      </c>
      <c r="AX45" s="915">
        <v>41478478</v>
      </c>
      <c r="AY45" s="984">
        <f t="shared" si="7"/>
        <v>0.99365655889856652</v>
      </c>
      <c r="AZ45" s="1005">
        <v>570000000</v>
      </c>
      <c r="BA45" s="957">
        <f t="shared" si="22"/>
        <v>558177304</v>
      </c>
      <c r="BB45" s="930">
        <f t="shared" si="9"/>
        <v>0.97925842807017549</v>
      </c>
      <c r="BC45" s="986">
        <f t="shared" si="23"/>
        <v>551612508</v>
      </c>
      <c r="BD45" s="930">
        <f t="shared" si="24"/>
        <v>0.96774124210526313</v>
      </c>
      <c r="BE45" s="987"/>
      <c r="BF45" s="987"/>
      <c r="BG45" s="910" t="s">
        <v>161</v>
      </c>
      <c r="BH45" s="959" t="s">
        <v>2152</v>
      </c>
      <c r="BI45" s="865" t="s">
        <v>2081</v>
      </c>
    </row>
    <row r="46" spans="1:61" s="865" customFormat="1" ht="55.5" customHeight="1">
      <c r="A46" s="951" t="s">
        <v>2167</v>
      </c>
      <c r="B46" s="905" t="s">
        <v>2168</v>
      </c>
      <c r="C46" s="905" t="s">
        <v>2086</v>
      </c>
      <c r="D46" s="1003">
        <v>1</v>
      </c>
      <c r="E46" s="1003">
        <v>2</v>
      </c>
      <c r="F46" s="1003">
        <v>1</v>
      </c>
      <c r="G46" s="1003">
        <v>1</v>
      </c>
      <c r="H46" s="906">
        <v>0</v>
      </c>
      <c r="I46" s="906">
        <v>2</v>
      </c>
      <c r="J46" s="938">
        <v>1</v>
      </c>
      <c r="K46" s="938">
        <v>1</v>
      </c>
      <c r="L46" s="906">
        <v>1</v>
      </c>
      <c r="M46" s="906"/>
      <c r="N46" s="906"/>
      <c r="O46" s="908">
        <f t="shared" si="62"/>
        <v>1</v>
      </c>
      <c r="P46" s="914">
        <f t="shared" si="62"/>
        <v>1</v>
      </c>
      <c r="Q46" s="930">
        <f t="shared" si="62"/>
        <v>1</v>
      </c>
      <c r="R46" s="908">
        <f t="shared" si="63"/>
        <v>1</v>
      </c>
      <c r="S46" s="910" t="s">
        <v>2169</v>
      </c>
      <c r="T46" s="931">
        <v>45291</v>
      </c>
      <c r="U46" s="941" t="s">
        <v>2120</v>
      </c>
      <c r="V46" s="942" t="s">
        <v>2170</v>
      </c>
      <c r="W46" s="909"/>
      <c r="X46" s="909"/>
      <c r="Y46" s="992">
        <f t="shared" si="64"/>
        <v>5</v>
      </c>
      <c r="Z46" s="913">
        <f t="shared" si="65"/>
        <v>5</v>
      </c>
      <c r="AA46" s="978">
        <f t="shared" ref="AA46:AA47" si="66">IF(Z46/Y46&gt;=100%,100%,Z46/Y46)</f>
        <v>1</v>
      </c>
      <c r="AB46" s="1004">
        <v>0.4</v>
      </c>
      <c r="AC46" s="1004">
        <v>0.6</v>
      </c>
      <c r="AD46" s="930">
        <v>0.4</v>
      </c>
      <c r="AE46" s="908">
        <v>0.4</v>
      </c>
      <c r="AF46" s="908">
        <v>0.4</v>
      </c>
      <c r="AG46" s="1006">
        <v>0</v>
      </c>
      <c r="AH46" s="915">
        <v>484907090</v>
      </c>
      <c r="AI46" s="994">
        <f>16415533312/2</f>
        <v>8207766656</v>
      </c>
      <c r="AJ46" s="994">
        <v>0</v>
      </c>
      <c r="AK46" s="994"/>
      <c r="AL46" s="982" t="e">
        <f t="shared" si="20"/>
        <v>#DIV/0!</v>
      </c>
      <c r="AM46" s="915">
        <v>0</v>
      </c>
      <c r="AN46" s="994">
        <f>6790273651/2</f>
        <v>3395136825.5</v>
      </c>
      <c r="AO46" s="994"/>
      <c r="AP46" s="994"/>
      <c r="AQ46" s="983" t="e">
        <f t="shared" si="21"/>
        <v>#DIV/0!</v>
      </c>
      <c r="AR46" s="915">
        <f t="shared" si="51"/>
        <v>0</v>
      </c>
      <c r="AS46" s="915">
        <f>484907090/2</f>
        <v>242453545</v>
      </c>
      <c r="AT46" s="915">
        <v>0</v>
      </c>
      <c r="AU46" s="915"/>
      <c r="AV46" s="915">
        <v>0</v>
      </c>
      <c r="AW46" s="915"/>
      <c r="AX46" s="915"/>
      <c r="AY46" s="984" t="e">
        <f t="shared" si="7"/>
        <v>#DIV/0!</v>
      </c>
      <c r="AZ46" s="1007">
        <v>18374726433</v>
      </c>
      <c r="BA46" s="957">
        <f t="shared" si="22"/>
        <v>8692673746</v>
      </c>
      <c r="BB46" s="930">
        <f t="shared" si="9"/>
        <v>0.4730777232355653</v>
      </c>
      <c r="BC46" s="986">
        <f t="shared" si="23"/>
        <v>3395136825.5</v>
      </c>
      <c r="BD46" s="930">
        <f t="shared" si="24"/>
        <v>0.18477210193467264</v>
      </c>
      <c r="BE46" s="987"/>
      <c r="BF46" s="987"/>
      <c r="BG46" s="910" t="s">
        <v>1701</v>
      </c>
      <c r="BH46" s="1356" t="s">
        <v>2171</v>
      </c>
      <c r="BI46" s="865" t="s">
        <v>2081</v>
      </c>
    </row>
    <row r="47" spans="1:61" s="865" customFormat="1" ht="47.4" customHeight="1">
      <c r="A47" s="951" t="s">
        <v>1853</v>
      </c>
      <c r="B47" s="905" t="s">
        <v>2172</v>
      </c>
      <c r="C47" s="937" t="s">
        <v>2086</v>
      </c>
      <c r="D47" s="1003">
        <v>0</v>
      </c>
      <c r="E47" s="1003">
        <v>2</v>
      </c>
      <c r="F47" s="1003">
        <v>2</v>
      </c>
      <c r="G47" s="1003">
        <v>1</v>
      </c>
      <c r="H47" s="906">
        <v>0</v>
      </c>
      <c r="I47" s="906">
        <v>2</v>
      </c>
      <c r="J47" s="938">
        <v>2</v>
      </c>
      <c r="K47" s="938">
        <v>1</v>
      </c>
      <c r="L47" s="906"/>
      <c r="M47" s="906"/>
      <c r="N47" s="906"/>
      <c r="O47" s="908">
        <f t="shared" si="62"/>
        <v>0</v>
      </c>
      <c r="P47" s="914">
        <f t="shared" si="62"/>
        <v>1</v>
      </c>
      <c r="Q47" s="930">
        <f t="shared" si="62"/>
        <v>1</v>
      </c>
      <c r="R47" s="908">
        <f t="shared" si="63"/>
        <v>1</v>
      </c>
      <c r="S47" s="910" t="s">
        <v>2707</v>
      </c>
      <c r="T47" s="931">
        <v>45291</v>
      </c>
      <c r="U47" s="869"/>
      <c r="V47" s="869"/>
      <c r="W47" s="910"/>
      <c r="X47" s="933"/>
      <c r="Y47" s="913">
        <f t="shared" si="64"/>
        <v>5</v>
      </c>
      <c r="Z47" s="913">
        <f t="shared" si="65"/>
        <v>5</v>
      </c>
      <c r="AA47" s="914">
        <f t="shared" si="66"/>
        <v>1</v>
      </c>
      <c r="AB47" s="1004">
        <v>0.4</v>
      </c>
      <c r="AC47" s="1004">
        <v>0</v>
      </c>
      <c r="AD47" s="908">
        <v>0.4</v>
      </c>
      <c r="AE47" s="908">
        <v>0.4</v>
      </c>
      <c r="AF47" s="908">
        <v>0.4</v>
      </c>
      <c r="AG47" s="1006">
        <v>12075370369</v>
      </c>
      <c r="AH47" s="915">
        <v>0</v>
      </c>
      <c r="AI47" s="944">
        <f>16415533312/2</f>
        <v>8207766656</v>
      </c>
      <c r="AJ47" s="944">
        <v>12387623241</v>
      </c>
      <c r="AK47" s="944">
        <v>12065475256.1</v>
      </c>
      <c r="AL47" s="916">
        <f t="shared" si="20"/>
        <v>0.99918055408673823</v>
      </c>
      <c r="AM47" s="915">
        <v>0</v>
      </c>
      <c r="AN47" s="944">
        <f>6790273651/2</f>
        <v>3395136825.5</v>
      </c>
      <c r="AO47" s="944">
        <v>5850550320</v>
      </c>
      <c r="AP47" s="944">
        <v>3231162781</v>
      </c>
      <c r="AQ47" s="928">
        <f t="shared" si="21"/>
        <v>0.26758291317466093</v>
      </c>
      <c r="AR47" s="915">
        <f t="shared" si="51"/>
        <v>6537072921</v>
      </c>
      <c r="AS47" s="915">
        <f>484907090/2</f>
        <v>242453545</v>
      </c>
      <c r="AT47" s="915">
        <v>0</v>
      </c>
      <c r="AU47" s="915">
        <v>9625259661</v>
      </c>
      <c r="AV47" s="915">
        <v>273052976</v>
      </c>
      <c r="AW47" s="915">
        <v>6537072921</v>
      </c>
      <c r="AX47" s="915">
        <v>6109318826</v>
      </c>
      <c r="AY47" s="956">
        <f t="shared" si="7"/>
        <v>0.93456488857178532</v>
      </c>
      <c r="AZ47" s="921">
        <v>32839122823</v>
      </c>
      <c r="BA47" s="957">
        <f t="shared" si="22"/>
        <v>32660865153.099998</v>
      </c>
      <c r="BB47" s="913">
        <f t="shared" si="9"/>
        <v>0.99457178954319836</v>
      </c>
      <c r="BC47" s="913">
        <f t="shared" si="23"/>
        <v>18859221728.5</v>
      </c>
      <c r="BD47" s="1008">
        <f t="shared" si="24"/>
        <v>0.57429127538361957</v>
      </c>
      <c r="BE47" s="926"/>
      <c r="BF47" s="926"/>
      <c r="BG47" s="910" t="s">
        <v>697</v>
      </c>
      <c r="BH47" s="1345"/>
      <c r="BI47" s="865" t="s">
        <v>2081</v>
      </c>
    </row>
    <row r="48" spans="1:61" s="892" customFormat="1" ht="47.4" customHeight="1">
      <c r="A48" s="882" t="s">
        <v>2173</v>
      </c>
      <c r="B48" s="883"/>
      <c r="C48" s="883"/>
      <c r="D48" s="884"/>
      <c r="E48" s="884"/>
      <c r="F48" s="884"/>
      <c r="G48" s="884"/>
      <c r="H48" s="884"/>
      <c r="I48" s="884"/>
      <c r="J48" s="884"/>
      <c r="K48" s="884"/>
      <c r="L48" s="884"/>
      <c r="M48" s="884"/>
      <c r="N48" s="884"/>
      <c r="O48" s="890">
        <f>+(O49*AC49)</f>
        <v>1</v>
      </c>
      <c r="P48" s="890">
        <f t="shared" ref="P48:R48" si="67">+(P49*AD49)</f>
        <v>1</v>
      </c>
      <c r="Q48" s="890">
        <f t="shared" si="67"/>
        <v>1</v>
      </c>
      <c r="R48" s="890">
        <f t="shared" si="67"/>
        <v>1</v>
      </c>
      <c r="S48" s="883"/>
      <c r="T48" s="883"/>
      <c r="U48" s="965"/>
      <c r="V48" s="965"/>
      <c r="W48" s="965"/>
      <c r="X48" s="883"/>
      <c r="Y48" s="886"/>
      <c r="Z48" s="886"/>
      <c r="AA48" s="1009">
        <f>+(AA49*AB49)</f>
        <v>1</v>
      </c>
      <c r="AB48" s="885">
        <v>0.1</v>
      </c>
      <c r="AC48" s="885">
        <v>0.1</v>
      </c>
      <c r="AD48" s="885">
        <v>0.1</v>
      </c>
      <c r="AE48" s="885">
        <v>0.1</v>
      </c>
      <c r="AF48" s="885">
        <v>0.1</v>
      </c>
      <c r="AG48" s="883">
        <f>+AG49</f>
        <v>39157015096</v>
      </c>
      <c r="AH48" s="1010">
        <f>+AH49</f>
        <v>38574898240.900002</v>
      </c>
      <c r="AI48" s="883">
        <f>+AI49</f>
        <v>32549790015.5</v>
      </c>
      <c r="AJ48" s="883">
        <f>+AJ49</f>
        <v>37239673326</v>
      </c>
      <c r="AK48" s="883">
        <f>+AK49</f>
        <v>39157015096</v>
      </c>
      <c r="AL48" s="888">
        <f t="shared" si="20"/>
        <v>1</v>
      </c>
      <c r="AM48" s="1010">
        <f>+AM49</f>
        <v>31071162272</v>
      </c>
      <c r="AN48" s="883">
        <f>+AN49</f>
        <v>32549790015.5</v>
      </c>
      <c r="AO48" s="883">
        <f>+AO49</f>
        <v>37205622885</v>
      </c>
      <c r="AP48" s="883">
        <f>+AP49</f>
        <v>37690375505</v>
      </c>
      <c r="AQ48" s="890">
        <f t="shared" si="21"/>
        <v>0.96254465292095714</v>
      </c>
      <c r="AR48" s="883">
        <f t="shared" ref="AR48:AX48" si="68">+AR49</f>
        <v>34050441</v>
      </c>
      <c r="AS48" s="883">
        <f t="shared" si="68"/>
        <v>7503735968.8999996</v>
      </c>
      <c r="AT48" s="883">
        <f t="shared" si="68"/>
        <v>6580131258.8800001</v>
      </c>
      <c r="AU48" s="883">
        <f t="shared" si="68"/>
        <v>0</v>
      </c>
      <c r="AV48" s="883">
        <f t="shared" si="68"/>
        <v>0</v>
      </c>
      <c r="AW48" s="883">
        <f t="shared" si="68"/>
        <v>34050441</v>
      </c>
      <c r="AX48" s="883">
        <f t="shared" si="68"/>
        <v>33658162</v>
      </c>
      <c r="AY48" s="891">
        <f t="shared" si="7"/>
        <v>0.98847947373133871</v>
      </c>
      <c r="AZ48" s="966">
        <f t="shared" ref="AZ48" si="69">+AZ49</f>
        <v>149423987738</v>
      </c>
      <c r="BA48" s="883">
        <f t="shared" si="22"/>
        <v>147521376678.39999</v>
      </c>
      <c r="BB48" s="885">
        <f t="shared" si="9"/>
        <v>0.98726703062605958</v>
      </c>
      <c r="BC48" s="967">
        <f t="shared" si="23"/>
        <v>145130740098.38</v>
      </c>
      <c r="BD48" s="885">
        <f t="shared" si="24"/>
        <v>0.9712680159015179</v>
      </c>
      <c r="BE48" s="883"/>
      <c r="BF48" s="883" t="s">
        <v>1696</v>
      </c>
      <c r="BG48" s="883"/>
      <c r="BH48" s="883"/>
    </row>
    <row r="49" spans="1:64" s="865" customFormat="1" ht="47.4" customHeight="1">
      <c r="A49" s="893" t="s">
        <v>2174</v>
      </c>
      <c r="B49" s="894"/>
      <c r="C49" s="894"/>
      <c r="D49" s="895"/>
      <c r="E49" s="895"/>
      <c r="F49" s="895"/>
      <c r="G49" s="895"/>
      <c r="H49" s="895"/>
      <c r="I49" s="895"/>
      <c r="J49" s="895"/>
      <c r="K49" s="895"/>
      <c r="L49" s="895"/>
      <c r="M49" s="895"/>
      <c r="N49" s="895"/>
      <c r="O49" s="896">
        <f>+SUMPRODUCT(O50:O54,AC50:AC54)</f>
        <v>1</v>
      </c>
      <c r="P49" s="896">
        <f t="shared" ref="P49:R49" si="70">+SUMPRODUCT(P50:P54,AD50:AD54)</f>
        <v>1</v>
      </c>
      <c r="Q49" s="896">
        <f t="shared" si="70"/>
        <v>1</v>
      </c>
      <c r="R49" s="896">
        <f t="shared" si="70"/>
        <v>1</v>
      </c>
      <c r="S49" s="894"/>
      <c r="T49" s="894"/>
      <c r="U49" s="972"/>
      <c r="V49" s="972"/>
      <c r="W49" s="972"/>
      <c r="X49" s="894"/>
      <c r="Y49" s="897"/>
      <c r="Z49" s="996"/>
      <c r="AA49" s="960">
        <f>+SUMPRODUCT(AA50:AA54,AB50:AB54)</f>
        <v>1</v>
      </c>
      <c r="AB49" s="974">
        <v>1</v>
      </c>
      <c r="AC49" s="974">
        <v>1</v>
      </c>
      <c r="AD49" s="974">
        <v>1</v>
      </c>
      <c r="AE49" s="896">
        <v>1</v>
      </c>
      <c r="AF49" s="896">
        <v>1</v>
      </c>
      <c r="AG49" s="973">
        <f>SUM(AG50:AG54)</f>
        <v>39157015096</v>
      </c>
      <c r="AH49" s="1011">
        <f>SUM(AH50:AH54)</f>
        <v>38574898240.900002</v>
      </c>
      <c r="AI49" s="973">
        <f>SUM(AI50:AI54)</f>
        <v>32549790015.5</v>
      </c>
      <c r="AJ49" s="973">
        <f>SUM(AJ50:AJ54)</f>
        <v>37239673326</v>
      </c>
      <c r="AK49" s="973">
        <f>SUM(AK50:AK54)</f>
        <v>39157015096</v>
      </c>
      <c r="AL49" s="997">
        <f t="shared" si="20"/>
        <v>1</v>
      </c>
      <c r="AM49" s="1011">
        <f>SUM(AM50:AM54)</f>
        <v>31071162272</v>
      </c>
      <c r="AN49" s="973">
        <f>SUM(AN50:AN54)</f>
        <v>32549790015.5</v>
      </c>
      <c r="AO49" s="973">
        <f>SUM(AO50:AO54)</f>
        <v>37205622885</v>
      </c>
      <c r="AP49" s="973">
        <f>SUM(AP50:AP54)</f>
        <v>37690375505</v>
      </c>
      <c r="AQ49" s="1002">
        <f t="shared" si="21"/>
        <v>0.96254465292095714</v>
      </c>
      <c r="AR49" s="999">
        <f t="shared" ref="AR49:AX49" si="71">SUM(AR50:AR54)</f>
        <v>34050441</v>
      </c>
      <c r="AS49" s="973">
        <f t="shared" si="71"/>
        <v>7503735968.8999996</v>
      </c>
      <c r="AT49" s="973">
        <f t="shared" si="71"/>
        <v>6580131258.8800001</v>
      </c>
      <c r="AU49" s="973">
        <f t="shared" si="71"/>
        <v>0</v>
      </c>
      <c r="AV49" s="973">
        <f t="shared" si="71"/>
        <v>0</v>
      </c>
      <c r="AW49" s="973">
        <f t="shared" si="71"/>
        <v>34050441</v>
      </c>
      <c r="AX49" s="973">
        <f t="shared" si="71"/>
        <v>33658162</v>
      </c>
      <c r="AY49" s="1000">
        <f t="shared" si="7"/>
        <v>0.98847947373133871</v>
      </c>
      <c r="AZ49" s="1001">
        <f t="shared" ref="AZ49" si="72">SUM(AZ50:AZ54)</f>
        <v>149423987738</v>
      </c>
      <c r="BA49" s="973">
        <f t="shared" si="22"/>
        <v>147521376678.39999</v>
      </c>
      <c r="BB49" s="974">
        <f t="shared" si="9"/>
        <v>0.98726703062605958</v>
      </c>
      <c r="BC49" s="975">
        <f t="shared" si="23"/>
        <v>145130740098.38</v>
      </c>
      <c r="BD49" s="974">
        <f t="shared" si="24"/>
        <v>0.9712680159015179</v>
      </c>
      <c r="BE49" s="999"/>
      <c r="BF49" s="902"/>
      <c r="BG49" s="902"/>
      <c r="BH49" s="902"/>
    </row>
    <row r="50" spans="1:64" s="865" customFormat="1" ht="55.5" customHeight="1">
      <c r="A50" s="904" t="s">
        <v>1924</v>
      </c>
      <c r="B50" s="905" t="s">
        <v>2175</v>
      </c>
      <c r="C50" s="905" t="s">
        <v>2086</v>
      </c>
      <c r="D50" s="1012">
        <v>0</v>
      </c>
      <c r="E50" s="1012">
        <v>0</v>
      </c>
      <c r="F50" s="1012">
        <v>1</v>
      </c>
      <c r="G50" s="1012">
        <v>0</v>
      </c>
      <c r="H50" s="906">
        <v>0</v>
      </c>
      <c r="I50" s="906" t="s">
        <v>1905</v>
      </c>
      <c r="J50" s="906">
        <v>0</v>
      </c>
      <c r="K50" s="906"/>
      <c r="L50" s="906"/>
      <c r="M50" s="906"/>
      <c r="N50" s="906">
        <v>1</v>
      </c>
      <c r="O50" s="908">
        <f t="shared" ref="O50:Q54" si="73">+IFERROR(IF((H50+L50)/D50&gt;=100%,100%,(H50+L50)/D50),0)</f>
        <v>0</v>
      </c>
      <c r="P50" s="914">
        <f t="shared" si="73"/>
        <v>0</v>
      </c>
      <c r="Q50" s="930">
        <f t="shared" si="73"/>
        <v>1</v>
      </c>
      <c r="R50" s="908">
        <f t="shared" ref="R50:R54" si="74">+IFERROR(IF(K50/G50&gt;=100%,100%,K50/G50),0)</f>
        <v>0</v>
      </c>
      <c r="S50" s="865" t="s">
        <v>2708</v>
      </c>
      <c r="T50" s="931">
        <v>45291</v>
      </c>
      <c r="U50" s="911" t="s">
        <v>2092</v>
      </c>
      <c r="V50" s="869"/>
      <c r="W50" s="910" t="s">
        <v>2683</v>
      </c>
      <c r="X50" s="910" t="s">
        <v>2709</v>
      </c>
      <c r="Y50" s="992">
        <f t="shared" ref="Y50:Y54" si="75">SUM(D50:G50)</f>
        <v>1</v>
      </c>
      <c r="Z50" s="913">
        <f t="shared" ref="Z50:Z54" si="76">SUM(H50:N50)</f>
        <v>1</v>
      </c>
      <c r="AA50" s="978">
        <f t="shared" ref="AA50:AA54" si="77">IF(Z50/Y50&gt;=100%,100%,Z50/Y50)</f>
        <v>1</v>
      </c>
      <c r="AB50" s="953">
        <v>0.2</v>
      </c>
      <c r="AC50" s="953">
        <v>0</v>
      </c>
      <c r="AD50" s="930">
        <v>0</v>
      </c>
      <c r="AE50" s="980">
        <v>0.27</v>
      </c>
      <c r="AF50" s="980">
        <v>0</v>
      </c>
      <c r="AG50" s="915">
        <v>0</v>
      </c>
      <c r="AH50" s="915">
        <v>0</v>
      </c>
      <c r="AI50" s="915">
        <v>0</v>
      </c>
      <c r="AJ50" s="915">
        <v>475405273</v>
      </c>
      <c r="AK50" s="915">
        <v>0</v>
      </c>
      <c r="AL50" s="982" t="e">
        <f t="shared" si="20"/>
        <v>#DIV/0!</v>
      </c>
      <c r="AM50" s="915">
        <v>0</v>
      </c>
      <c r="AN50" s="915">
        <v>0</v>
      </c>
      <c r="AO50" s="915">
        <v>441354832</v>
      </c>
      <c r="AP50" s="915"/>
      <c r="AQ50" s="983" t="e">
        <f t="shared" si="21"/>
        <v>#DIV/0!</v>
      </c>
      <c r="AR50" s="915">
        <f t="shared" ref="AR50:AR54" si="78">+AJ50-AO50</f>
        <v>34050441</v>
      </c>
      <c r="AS50" s="915">
        <v>0</v>
      </c>
      <c r="AT50" s="915">
        <v>0</v>
      </c>
      <c r="AU50" s="915"/>
      <c r="AV50" s="915"/>
      <c r="AW50" s="915">
        <v>34050441</v>
      </c>
      <c r="AX50" s="915">
        <v>33658162</v>
      </c>
      <c r="AY50" s="984">
        <f t="shared" si="7"/>
        <v>0.98847947373133871</v>
      </c>
      <c r="AZ50" s="985">
        <v>500000000</v>
      </c>
      <c r="BA50" s="957">
        <f t="shared" si="22"/>
        <v>475405273</v>
      </c>
      <c r="BB50" s="930">
        <f t="shared" si="9"/>
        <v>0.95081054600000003</v>
      </c>
      <c r="BC50" s="986">
        <f t="shared" si="23"/>
        <v>475012994</v>
      </c>
      <c r="BD50" s="930">
        <f t="shared" si="24"/>
        <v>0.95002598800000004</v>
      </c>
      <c r="BE50" s="987"/>
      <c r="BF50" s="926"/>
      <c r="BG50" s="910" t="s">
        <v>697</v>
      </c>
      <c r="BH50" s="964" t="s">
        <v>2176</v>
      </c>
    </row>
    <row r="51" spans="1:64" s="865" customFormat="1" ht="47.4" customHeight="1">
      <c r="A51" s="904" t="s">
        <v>1925</v>
      </c>
      <c r="B51" s="905" t="s">
        <v>2177</v>
      </c>
      <c r="C51" s="937" t="s">
        <v>2086</v>
      </c>
      <c r="D51" s="990">
        <v>1</v>
      </c>
      <c r="E51" s="990">
        <v>0</v>
      </c>
      <c r="F51" s="990">
        <v>0</v>
      </c>
      <c r="G51" s="990">
        <v>1</v>
      </c>
      <c r="H51" s="906">
        <v>0</v>
      </c>
      <c r="I51" s="906" t="s">
        <v>1905</v>
      </c>
      <c r="J51" s="906"/>
      <c r="K51" s="906">
        <v>1</v>
      </c>
      <c r="L51" s="906">
        <v>1</v>
      </c>
      <c r="M51" s="906"/>
      <c r="N51" s="906"/>
      <c r="O51" s="908">
        <f t="shared" si="73"/>
        <v>1</v>
      </c>
      <c r="P51" s="914">
        <f t="shared" si="73"/>
        <v>0</v>
      </c>
      <c r="Q51" s="908">
        <f t="shared" si="73"/>
        <v>0</v>
      </c>
      <c r="R51" s="908">
        <f t="shared" si="74"/>
        <v>1</v>
      </c>
      <c r="S51" s="945" t="s">
        <v>2710</v>
      </c>
      <c r="T51" s="931">
        <v>45291</v>
      </c>
      <c r="U51" s="911" t="s">
        <v>2092</v>
      </c>
      <c r="V51" s="869"/>
      <c r="W51" s="910" t="s">
        <v>2687</v>
      </c>
      <c r="X51" s="910">
        <v>292</v>
      </c>
      <c r="Y51" s="992">
        <f t="shared" si="75"/>
        <v>2</v>
      </c>
      <c r="Z51" s="913">
        <f t="shared" si="76"/>
        <v>2</v>
      </c>
      <c r="AA51" s="978">
        <f t="shared" si="77"/>
        <v>1</v>
      </c>
      <c r="AB51" s="953">
        <v>0.3</v>
      </c>
      <c r="AC51" s="953">
        <v>0.35</v>
      </c>
      <c r="AD51" s="930">
        <v>0</v>
      </c>
      <c r="AE51" s="908">
        <v>0</v>
      </c>
      <c r="AF51" s="908">
        <v>0.35</v>
      </c>
      <c r="AG51" s="915">
        <v>1444314591</v>
      </c>
      <c r="AH51" s="915">
        <v>2000000000</v>
      </c>
      <c r="AI51" s="915">
        <v>0</v>
      </c>
      <c r="AJ51" s="915">
        <v>0</v>
      </c>
      <c r="AK51" s="915">
        <v>1444314591</v>
      </c>
      <c r="AL51" s="982">
        <f t="shared" si="20"/>
        <v>1</v>
      </c>
      <c r="AM51" s="915">
        <v>1500000</v>
      </c>
      <c r="AN51" s="915">
        <v>0</v>
      </c>
      <c r="AO51" s="915"/>
      <c r="AP51" s="915">
        <v>0</v>
      </c>
      <c r="AQ51" s="983">
        <f t="shared" si="21"/>
        <v>0</v>
      </c>
      <c r="AR51" s="915">
        <f t="shared" si="78"/>
        <v>0</v>
      </c>
      <c r="AS51" s="915">
        <v>1998500000</v>
      </c>
      <c r="AT51" s="915">
        <v>1101694661.6700001</v>
      </c>
      <c r="AU51" s="915"/>
      <c r="AV51" s="915"/>
      <c r="AW51" s="915"/>
      <c r="AX51" s="915"/>
      <c r="AY51" s="984" t="e">
        <f t="shared" si="7"/>
        <v>#DIV/0!</v>
      </c>
      <c r="AZ51" s="985">
        <v>3444314591</v>
      </c>
      <c r="BA51" s="957">
        <f t="shared" si="22"/>
        <v>3444314591</v>
      </c>
      <c r="BB51" s="930">
        <f t="shared" si="9"/>
        <v>1</v>
      </c>
      <c r="BC51" s="986">
        <f t="shared" si="23"/>
        <v>1103194661.6700001</v>
      </c>
      <c r="BD51" s="930">
        <f t="shared" si="24"/>
        <v>0.32029439603242099</v>
      </c>
      <c r="BE51" s="987"/>
      <c r="BF51" s="926"/>
      <c r="BG51" s="910" t="s">
        <v>697</v>
      </c>
      <c r="BH51" s="964" t="s">
        <v>2178</v>
      </c>
    </row>
    <row r="52" spans="1:64" s="865" customFormat="1" ht="47.4" customHeight="1">
      <c r="A52" s="904" t="s">
        <v>1855</v>
      </c>
      <c r="B52" s="905" t="s">
        <v>1856</v>
      </c>
      <c r="C52" s="905" t="s">
        <v>2179</v>
      </c>
      <c r="D52" s="990">
        <v>300</v>
      </c>
      <c r="E52" s="990">
        <v>300</v>
      </c>
      <c r="F52" s="990">
        <v>196</v>
      </c>
      <c r="G52" s="990">
        <v>350</v>
      </c>
      <c r="H52" s="990">
        <v>300</v>
      </c>
      <c r="I52" s="906">
        <v>273</v>
      </c>
      <c r="J52" s="906">
        <v>196</v>
      </c>
      <c r="K52" s="906">
        <v>350</v>
      </c>
      <c r="L52" s="906"/>
      <c r="M52" s="906">
        <v>27</v>
      </c>
      <c r="N52" s="906"/>
      <c r="O52" s="908">
        <f t="shared" si="73"/>
        <v>1</v>
      </c>
      <c r="P52" s="914">
        <f t="shared" si="73"/>
        <v>1</v>
      </c>
      <c r="Q52" s="930">
        <f t="shared" si="73"/>
        <v>1</v>
      </c>
      <c r="R52" s="908">
        <f t="shared" si="74"/>
        <v>1</v>
      </c>
      <c r="S52" s="910" t="s">
        <v>2711</v>
      </c>
      <c r="T52" s="931">
        <v>45291</v>
      </c>
      <c r="U52" s="869" t="s">
        <v>2092</v>
      </c>
      <c r="V52" s="869"/>
      <c r="W52" s="910" t="s">
        <v>2687</v>
      </c>
      <c r="X52" s="933" t="s">
        <v>2180</v>
      </c>
      <c r="Y52" s="992">
        <f t="shared" si="75"/>
        <v>1146</v>
      </c>
      <c r="Z52" s="913">
        <f t="shared" si="76"/>
        <v>1146</v>
      </c>
      <c r="AA52" s="978">
        <f t="shared" si="77"/>
        <v>1</v>
      </c>
      <c r="AB52" s="953">
        <v>0.3</v>
      </c>
      <c r="AC52" s="953">
        <v>0.35</v>
      </c>
      <c r="AD52" s="930">
        <v>0.47</v>
      </c>
      <c r="AE52" s="980">
        <v>0.38</v>
      </c>
      <c r="AF52" s="980">
        <v>0.35</v>
      </c>
      <c r="AG52" s="915">
        <v>4368348000</v>
      </c>
      <c r="AH52" s="915">
        <v>5376651240</v>
      </c>
      <c r="AI52" s="915">
        <v>5222458000</v>
      </c>
      <c r="AJ52" s="915">
        <v>5601321786</v>
      </c>
      <c r="AK52" s="915">
        <v>4368348000</v>
      </c>
      <c r="AL52" s="982">
        <f t="shared" si="20"/>
        <v>1</v>
      </c>
      <c r="AM52" s="915">
        <v>5376651240</v>
      </c>
      <c r="AN52" s="915">
        <v>5222458000</v>
      </c>
      <c r="AO52" s="915">
        <v>5601321786</v>
      </c>
      <c r="AP52" s="915">
        <v>4346023000</v>
      </c>
      <c r="AQ52" s="983">
        <f t="shared" si="21"/>
        <v>0.9948893723668536</v>
      </c>
      <c r="AR52" s="915">
        <f t="shared" si="78"/>
        <v>0</v>
      </c>
      <c r="AS52" s="915">
        <v>0</v>
      </c>
      <c r="AT52" s="915">
        <v>0</v>
      </c>
      <c r="AU52" s="915"/>
      <c r="AV52" s="915"/>
      <c r="AW52" s="915"/>
      <c r="AX52" s="915"/>
      <c r="AY52" s="984" t="e">
        <f t="shared" si="7"/>
        <v>#DIV/0!</v>
      </c>
      <c r="AZ52" s="985">
        <v>20568779026</v>
      </c>
      <c r="BA52" s="957">
        <f t="shared" si="22"/>
        <v>20568779026</v>
      </c>
      <c r="BB52" s="983">
        <f t="shared" si="9"/>
        <v>1</v>
      </c>
      <c r="BC52" s="986">
        <f t="shared" si="23"/>
        <v>20546454026</v>
      </c>
      <c r="BD52" s="930">
        <f t="shared" si="24"/>
        <v>0.99891461715001262</v>
      </c>
      <c r="BE52" s="987"/>
      <c r="BF52" s="926"/>
      <c r="BG52" s="910" t="s">
        <v>697</v>
      </c>
      <c r="BH52" s="964" t="s">
        <v>2178</v>
      </c>
    </row>
    <row r="53" spans="1:64" s="865" customFormat="1" ht="71.25" customHeight="1">
      <c r="A53" s="904" t="s">
        <v>1857</v>
      </c>
      <c r="B53" s="905" t="s">
        <v>1858</v>
      </c>
      <c r="C53" s="905" t="s">
        <v>2086</v>
      </c>
      <c r="D53" s="1012">
        <v>1</v>
      </c>
      <c r="E53" s="1012">
        <v>1</v>
      </c>
      <c r="F53" s="1012">
        <v>1</v>
      </c>
      <c r="G53" s="1012">
        <v>1</v>
      </c>
      <c r="H53" s="906">
        <v>1</v>
      </c>
      <c r="I53" s="906">
        <v>1</v>
      </c>
      <c r="J53" s="906">
        <v>1</v>
      </c>
      <c r="K53" s="906">
        <v>1</v>
      </c>
      <c r="L53" s="906"/>
      <c r="M53" s="906"/>
      <c r="N53" s="906"/>
      <c r="O53" s="908">
        <f t="shared" si="73"/>
        <v>1</v>
      </c>
      <c r="P53" s="914">
        <f t="shared" si="73"/>
        <v>1</v>
      </c>
      <c r="Q53" s="930">
        <f t="shared" si="73"/>
        <v>1</v>
      </c>
      <c r="R53" s="908">
        <f t="shared" si="74"/>
        <v>1</v>
      </c>
      <c r="S53" s="910" t="s">
        <v>2712</v>
      </c>
      <c r="T53" s="931">
        <v>45291</v>
      </c>
      <c r="U53" s="869" t="s">
        <v>2120</v>
      </c>
      <c r="V53" s="942" t="s">
        <v>2170</v>
      </c>
      <c r="W53" s="910"/>
      <c r="X53" s="933"/>
      <c r="Y53" s="992">
        <f t="shared" si="75"/>
        <v>4</v>
      </c>
      <c r="Z53" s="913">
        <f t="shared" si="76"/>
        <v>4</v>
      </c>
      <c r="AA53" s="978">
        <f t="shared" si="77"/>
        <v>1</v>
      </c>
      <c r="AB53" s="953">
        <v>0.1</v>
      </c>
      <c r="AC53" s="953">
        <v>0.15</v>
      </c>
      <c r="AD53" s="930">
        <v>0.27</v>
      </c>
      <c r="AE53" s="980">
        <v>0.18</v>
      </c>
      <c r="AF53" s="980">
        <v>0.15</v>
      </c>
      <c r="AG53" s="1013">
        <v>0</v>
      </c>
      <c r="AH53" s="915">
        <v>0</v>
      </c>
      <c r="AI53" s="915">
        <v>0</v>
      </c>
      <c r="AJ53" s="915"/>
      <c r="AK53" s="915"/>
      <c r="AL53" s="982" t="e">
        <f t="shared" si="20"/>
        <v>#DIV/0!</v>
      </c>
      <c r="AM53" s="915">
        <v>0</v>
      </c>
      <c r="AN53" s="915">
        <v>0</v>
      </c>
      <c r="AO53" s="915"/>
      <c r="AP53" s="915"/>
      <c r="AQ53" s="983" t="e">
        <f t="shared" si="21"/>
        <v>#DIV/0!</v>
      </c>
      <c r="AR53" s="915">
        <f t="shared" si="78"/>
        <v>0</v>
      </c>
      <c r="AS53" s="915">
        <v>0</v>
      </c>
      <c r="AT53" s="915">
        <v>0</v>
      </c>
      <c r="AU53" s="915"/>
      <c r="AV53" s="915"/>
      <c r="AW53" s="915"/>
      <c r="AX53" s="915"/>
      <c r="AY53" s="984" t="e">
        <f t="shared" si="7"/>
        <v>#DIV/0!</v>
      </c>
      <c r="AZ53" s="985">
        <v>0</v>
      </c>
      <c r="BA53" s="957">
        <f t="shared" si="22"/>
        <v>0</v>
      </c>
      <c r="BB53" s="930" t="e">
        <f t="shared" si="9"/>
        <v>#DIV/0!</v>
      </c>
      <c r="BC53" s="986">
        <f t="shared" si="23"/>
        <v>0</v>
      </c>
      <c r="BD53" s="930" t="e">
        <f t="shared" si="24"/>
        <v>#DIV/0!</v>
      </c>
      <c r="BE53" s="987"/>
      <c r="BF53" s="926"/>
      <c r="BG53" s="910" t="s">
        <v>697</v>
      </c>
      <c r="BH53" s="1357" t="s">
        <v>2178</v>
      </c>
    </row>
    <row r="54" spans="1:64" s="865" customFormat="1" ht="47.4" customHeight="1">
      <c r="A54" s="904" t="s">
        <v>1859</v>
      </c>
      <c r="B54" s="905" t="s">
        <v>1860</v>
      </c>
      <c r="C54" s="905" t="s">
        <v>2086</v>
      </c>
      <c r="D54" s="990">
        <v>1</v>
      </c>
      <c r="E54" s="990">
        <v>1</v>
      </c>
      <c r="F54" s="990">
        <v>1</v>
      </c>
      <c r="G54" s="990">
        <v>1</v>
      </c>
      <c r="H54" s="906">
        <v>1</v>
      </c>
      <c r="I54" s="906">
        <v>1</v>
      </c>
      <c r="J54" s="906">
        <v>1</v>
      </c>
      <c r="K54" s="906">
        <v>1</v>
      </c>
      <c r="L54" s="906"/>
      <c r="M54" s="906"/>
      <c r="N54" s="906"/>
      <c r="O54" s="908">
        <f t="shared" si="73"/>
        <v>1</v>
      </c>
      <c r="P54" s="914">
        <f t="shared" si="73"/>
        <v>1</v>
      </c>
      <c r="Q54" s="930">
        <f t="shared" si="73"/>
        <v>1</v>
      </c>
      <c r="R54" s="908">
        <f t="shared" si="74"/>
        <v>1</v>
      </c>
      <c r="S54" s="910" t="s">
        <v>2713</v>
      </c>
      <c r="T54" s="931">
        <v>45291</v>
      </c>
      <c r="U54" s="911"/>
      <c r="V54" s="869"/>
      <c r="W54" s="910"/>
      <c r="X54" s="910"/>
      <c r="Y54" s="992">
        <f t="shared" si="75"/>
        <v>4</v>
      </c>
      <c r="Z54" s="913">
        <f t="shared" si="76"/>
        <v>4</v>
      </c>
      <c r="AA54" s="978">
        <f t="shared" si="77"/>
        <v>1</v>
      </c>
      <c r="AB54" s="953">
        <v>0.1</v>
      </c>
      <c r="AC54" s="953">
        <v>0.15</v>
      </c>
      <c r="AD54" s="930">
        <v>0.26</v>
      </c>
      <c r="AE54" s="980">
        <v>0.17</v>
      </c>
      <c r="AF54" s="980">
        <v>0.15</v>
      </c>
      <c r="AG54" s="915">
        <v>33344352505</v>
      </c>
      <c r="AH54" s="1014">
        <f>27218924156+3979322844.9</f>
        <v>31198247000.900002</v>
      </c>
      <c r="AI54" s="915">
        <v>27327332015.5</v>
      </c>
      <c r="AJ54" s="915">
        <v>31162946267</v>
      </c>
      <c r="AK54" s="915">
        <v>33344352505</v>
      </c>
      <c r="AL54" s="982">
        <f t="shared" si="20"/>
        <v>1</v>
      </c>
      <c r="AM54" s="1014">
        <v>25693011032</v>
      </c>
      <c r="AN54" s="915">
        <v>27327332015.5</v>
      </c>
      <c r="AO54" s="915">
        <v>31162946267</v>
      </c>
      <c r="AP54" s="915">
        <v>33344352505</v>
      </c>
      <c r="AQ54" s="983">
        <f t="shared" si="21"/>
        <v>1</v>
      </c>
      <c r="AR54" s="915">
        <f t="shared" si="78"/>
        <v>0</v>
      </c>
      <c r="AS54" s="915">
        <v>5505235968.8999996</v>
      </c>
      <c r="AT54" s="915">
        <v>5478436597.21</v>
      </c>
      <c r="AU54" s="915"/>
      <c r="AV54" s="915"/>
      <c r="AW54" s="915"/>
      <c r="AX54" s="915"/>
      <c r="AY54" s="984" t="e">
        <f t="shared" si="7"/>
        <v>#DIV/0!</v>
      </c>
      <c r="AZ54" s="985">
        <v>124910894121</v>
      </c>
      <c r="BA54" s="957">
        <f t="shared" si="22"/>
        <v>123032877788.39999</v>
      </c>
      <c r="BB54" s="930">
        <f t="shared" si="9"/>
        <v>0.9849651517922785</v>
      </c>
      <c r="BC54" s="986">
        <f t="shared" si="23"/>
        <v>123006078416.71001</v>
      </c>
      <c r="BD54" s="930">
        <f t="shared" si="24"/>
        <v>0.98475060387891533</v>
      </c>
      <c r="BE54" s="987"/>
      <c r="BF54" s="926"/>
      <c r="BG54" s="910" t="s">
        <v>697</v>
      </c>
      <c r="BH54" s="1345"/>
    </row>
    <row r="55" spans="1:64" s="865" customFormat="1" ht="47.4" customHeight="1">
      <c r="A55" s="871" t="s">
        <v>2181</v>
      </c>
      <c r="B55" s="872"/>
      <c r="C55" s="872"/>
      <c r="D55" s="873"/>
      <c r="E55" s="873"/>
      <c r="F55" s="873"/>
      <c r="G55" s="873"/>
      <c r="H55" s="877"/>
      <c r="I55" s="878"/>
      <c r="J55" s="878"/>
      <c r="K55" s="878"/>
      <c r="L55" s="879"/>
      <c r="M55" s="872"/>
      <c r="N55" s="878"/>
      <c r="O55" s="877">
        <f>+(O56*AC56)+(O69*AC69)+(O78*AC78)</f>
        <v>0.87840000000000007</v>
      </c>
      <c r="P55" s="877">
        <f t="shared" ref="P55:R55" si="79">+(P56*AD56)+(P69*AD69)+(P78*AD78)</f>
        <v>0.73260000000000003</v>
      </c>
      <c r="Q55" s="877">
        <f t="shared" si="79"/>
        <v>0.96639999999999993</v>
      </c>
      <c r="R55" s="877">
        <f t="shared" si="79"/>
        <v>0.95262400000000003</v>
      </c>
      <c r="S55" s="872"/>
      <c r="T55" s="872"/>
      <c r="U55" s="872"/>
      <c r="V55" s="872"/>
      <c r="W55" s="872"/>
      <c r="X55" s="872"/>
      <c r="Y55" s="872"/>
      <c r="Z55" s="872">
        <f>SUM(H55:M55)</f>
        <v>0</v>
      </c>
      <c r="AA55" s="877">
        <f>+(AA56*AB56)+(AA69*AB69)+(AA78*AB78)</f>
        <v>0.94452680652680643</v>
      </c>
      <c r="AB55" s="877">
        <v>0.15</v>
      </c>
      <c r="AC55" s="877">
        <v>0.15</v>
      </c>
      <c r="AD55" s="877">
        <v>0.15</v>
      </c>
      <c r="AE55" s="877">
        <v>0.15</v>
      </c>
      <c r="AF55" s="877">
        <v>0.15</v>
      </c>
      <c r="AG55" s="872">
        <f>+AG56+AG69+AG78</f>
        <v>6568000000</v>
      </c>
      <c r="AH55" s="873">
        <f>+AH56+AH69+AH78</f>
        <v>2671026967</v>
      </c>
      <c r="AI55" s="873">
        <f>+AI56+AI69+AI78</f>
        <v>3993944361.1999998</v>
      </c>
      <c r="AJ55" s="1015">
        <f>+AJ56+AJ69+AJ78</f>
        <v>7036396547</v>
      </c>
      <c r="AK55" s="1015">
        <f>+AK56+AK69+AK78</f>
        <v>6457365549</v>
      </c>
      <c r="AL55" s="879">
        <f t="shared" si="20"/>
        <v>0.98315553425700364</v>
      </c>
      <c r="AM55" s="878">
        <f>+AM56+AM69+AM78</f>
        <v>1096965751</v>
      </c>
      <c r="AN55" s="878">
        <f>+AN56+AN69+AN78</f>
        <v>2874263215</v>
      </c>
      <c r="AO55" s="878">
        <f>+AO56+AO69+AO78</f>
        <v>5840107139</v>
      </c>
      <c r="AP55" s="1015">
        <f>+AP56+AP69+AP78</f>
        <v>4192409901.6900001</v>
      </c>
      <c r="AQ55" s="881">
        <f t="shared" si="21"/>
        <v>0.63830845031820949</v>
      </c>
      <c r="AR55" s="878">
        <f t="shared" ref="AR55:AX55" si="80">+AR56+AR69+AR78</f>
        <v>1196289408</v>
      </c>
      <c r="AS55" s="878">
        <f t="shared" si="80"/>
        <v>1874417406.9000001</v>
      </c>
      <c r="AT55" s="878">
        <f t="shared" si="80"/>
        <v>1845306970.21</v>
      </c>
      <c r="AU55" s="878">
        <f t="shared" si="80"/>
        <v>1119681146.2</v>
      </c>
      <c r="AV55" s="872">
        <f t="shared" si="80"/>
        <v>896397351</v>
      </c>
      <c r="AW55" s="878">
        <f t="shared" si="80"/>
        <v>1196289408</v>
      </c>
      <c r="AX55" s="872">
        <f t="shared" si="80"/>
        <v>1186563330</v>
      </c>
      <c r="AY55" s="881">
        <f t="shared" si="7"/>
        <v>0.99186979510563389</v>
      </c>
      <c r="AZ55" s="872">
        <f>+AZ56+AZ69+AZ78</f>
        <v>21844533540</v>
      </c>
      <c r="BA55" s="872">
        <f t="shared" si="22"/>
        <v>20158733424.200001</v>
      </c>
      <c r="BB55" s="877">
        <f t="shared" si="9"/>
        <v>0.92282736947835975</v>
      </c>
      <c r="BC55" s="1016">
        <f t="shared" si="23"/>
        <v>17932013657.900002</v>
      </c>
      <c r="BD55" s="877">
        <f t="shared" si="24"/>
        <v>0.82089249583033219</v>
      </c>
      <c r="BE55" s="1017"/>
      <c r="BF55" s="1017"/>
      <c r="BG55" s="872"/>
      <c r="BH55" s="877"/>
      <c r="BI55" s="872" t="s">
        <v>2081</v>
      </c>
      <c r="BJ55" s="872"/>
      <c r="BK55" s="1018"/>
      <c r="BL55" s="1018"/>
    </row>
    <row r="56" spans="1:64" s="892" customFormat="1" ht="47.4" customHeight="1">
      <c r="A56" s="882" t="s">
        <v>2182</v>
      </c>
      <c r="B56" s="883"/>
      <c r="C56" s="883"/>
      <c r="D56" s="884"/>
      <c r="E56" s="884"/>
      <c r="F56" s="884"/>
      <c r="G56" s="884"/>
      <c r="H56" s="884"/>
      <c r="I56" s="884"/>
      <c r="J56" s="884"/>
      <c r="K56" s="884"/>
      <c r="L56" s="884"/>
      <c r="M56" s="884"/>
      <c r="N56" s="884"/>
      <c r="O56" s="887">
        <f>+(O57*AC57)+(O63*AC63)</f>
        <v>1</v>
      </c>
      <c r="P56" s="887">
        <f t="shared" ref="P56:R56" si="81">+(P57*AD57)+(P63*AD63)</f>
        <v>1</v>
      </c>
      <c r="Q56" s="887">
        <f t="shared" si="81"/>
        <v>1</v>
      </c>
      <c r="R56" s="887">
        <f t="shared" si="81"/>
        <v>1</v>
      </c>
      <c r="S56" s="883"/>
      <c r="T56" s="883"/>
      <c r="U56" s="883"/>
      <c r="V56" s="883"/>
      <c r="W56" s="883"/>
      <c r="X56" s="883"/>
      <c r="Y56" s="886"/>
      <c r="Z56" s="886">
        <f>SUM(H56:M56)</f>
        <v>0</v>
      </c>
      <c r="AA56" s="887">
        <f>+(AA57*AB57)+(AA63*AB63)</f>
        <v>1</v>
      </c>
      <c r="AB56" s="885">
        <v>0.3</v>
      </c>
      <c r="AC56" s="885">
        <v>0.3</v>
      </c>
      <c r="AD56" s="885">
        <v>0.3</v>
      </c>
      <c r="AE56" s="885">
        <v>0.3</v>
      </c>
      <c r="AF56" s="885">
        <v>0.3</v>
      </c>
      <c r="AG56" s="883">
        <f>+AG57+AG63</f>
        <v>2300000000</v>
      </c>
      <c r="AH56" s="883">
        <f>+AH57+AH63</f>
        <v>1620388056</v>
      </c>
      <c r="AI56" s="883">
        <f>+AI57+AI63</f>
        <v>859909131</v>
      </c>
      <c r="AJ56" s="883">
        <f>+AJ57+AJ63</f>
        <v>2615234468</v>
      </c>
      <c r="AK56" s="883">
        <f>+AK57+AK63</f>
        <v>2300000000</v>
      </c>
      <c r="AL56" s="888">
        <f t="shared" si="20"/>
        <v>1</v>
      </c>
      <c r="AM56" s="883">
        <f>+AM57+AM63</f>
        <v>179725140</v>
      </c>
      <c r="AN56" s="883">
        <f>+AN57+AN63</f>
        <v>642270869</v>
      </c>
      <c r="AO56" s="883">
        <f>+AO57+AO63</f>
        <v>1547677444</v>
      </c>
      <c r="AP56" s="883">
        <f>+AP57+AP63</f>
        <v>1931554525</v>
      </c>
      <c r="AQ56" s="890">
        <f t="shared" si="21"/>
        <v>0.83980631521739135</v>
      </c>
      <c r="AR56" s="883">
        <f t="shared" ref="AR56:AX56" si="82">+AR57+AR63</f>
        <v>1067557024</v>
      </c>
      <c r="AS56" s="883">
        <f t="shared" si="82"/>
        <v>1741019106.9000001</v>
      </c>
      <c r="AT56" s="883">
        <f t="shared" si="82"/>
        <v>1714219735.21</v>
      </c>
      <c r="AU56" s="883">
        <f t="shared" si="82"/>
        <v>217638262</v>
      </c>
      <c r="AV56" s="883">
        <f t="shared" si="82"/>
        <v>217190769</v>
      </c>
      <c r="AW56" s="883">
        <f t="shared" si="82"/>
        <v>1067557024</v>
      </c>
      <c r="AX56" s="883">
        <f t="shared" si="82"/>
        <v>1065004023</v>
      </c>
      <c r="AY56" s="891">
        <f t="shared" si="7"/>
        <v>0.99760855772328283</v>
      </c>
      <c r="AZ56" s="883">
        <f>+AZ57+AZ63</f>
        <v>7652044451</v>
      </c>
      <c r="BA56" s="883">
        <f t="shared" si="22"/>
        <v>7395531655</v>
      </c>
      <c r="BB56" s="885">
        <f t="shared" si="9"/>
        <v>0.96647787429325793</v>
      </c>
      <c r="BC56" s="967">
        <f t="shared" si="23"/>
        <v>7297642505.21</v>
      </c>
      <c r="BD56" s="885">
        <f t="shared" si="24"/>
        <v>0.95368532578980436</v>
      </c>
      <c r="BE56" s="883"/>
      <c r="BF56" s="883" t="s">
        <v>1693</v>
      </c>
      <c r="BG56" s="883"/>
      <c r="BH56" s="883"/>
      <c r="BI56" s="892" t="s">
        <v>2081</v>
      </c>
    </row>
    <row r="57" spans="1:64" s="865" customFormat="1" ht="47.4" customHeight="1">
      <c r="A57" s="893" t="s">
        <v>2183</v>
      </c>
      <c r="B57" s="894"/>
      <c r="C57" s="894"/>
      <c r="D57" s="895"/>
      <c r="E57" s="895"/>
      <c r="F57" s="895"/>
      <c r="G57" s="895"/>
      <c r="H57" s="895"/>
      <c r="I57" s="895"/>
      <c r="J57" s="895"/>
      <c r="K57" s="895"/>
      <c r="L57" s="895"/>
      <c r="M57" s="895"/>
      <c r="N57" s="895"/>
      <c r="O57" s="896">
        <f>+SUMPRODUCT(O58:O62,AC58:AC62)</f>
        <v>1</v>
      </c>
      <c r="P57" s="896">
        <f t="shared" ref="P57:R57" si="83">+SUMPRODUCT(P58:P62,AD58:AD62)</f>
        <v>1</v>
      </c>
      <c r="Q57" s="896">
        <f t="shared" si="83"/>
        <v>1</v>
      </c>
      <c r="R57" s="896">
        <f t="shared" si="83"/>
        <v>1</v>
      </c>
      <c r="S57" s="894"/>
      <c r="T57" s="894"/>
      <c r="U57" s="972"/>
      <c r="V57" s="972"/>
      <c r="W57" s="972"/>
      <c r="X57" s="894"/>
      <c r="Y57" s="897"/>
      <c r="Z57" s="897">
        <f>SUM(H57:M57)</f>
        <v>0</v>
      </c>
      <c r="AA57" s="896">
        <f>+SUMPRODUCT(AA58:AA62,AB58:AB62)</f>
        <v>1</v>
      </c>
      <c r="AB57" s="896">
        <v>0.5</v>
      </c>
      <c r="AC57" s="896">
        <v>0</v>
      </c>
      <c r="AD57" s="896">
        <v>0.5</v>
      </c>
      <c r="AE57" s="896">
        <v>0.5</v>
      </c>
      <c r="AF57" s="896">
        <v>0.5</v>
      </c>
      <c r="AG57" s="894">
        <f>+SUM(AG58:AG62)</f>
        <v>1550000000</v>
      </c>
      <c r="AH57" s="894">
        <f>SUM(AH58:AH62)</f>
        <v>202888056</v>
      </c>
      <c r="AI57" s="894">
        <f>SUM(AI58:AI62)</f>
        <v>267680487</v>
      </c>
      <c r="AJ57" s="894">
        <f>SUM(AJ58:AJ62)</f>
        <v>1696254619</v>
      </c>
      <c r="AK57" s="894">
        <f>+SUM(AK58:AK62)</f>
        <v>1550000000</v>
      </c>
      <c r="AL57" s="900">
        <f t="shared" si="20"/>
        <v>1</v>
      </c>
      <c r="AM57" s="894">
        <f>SUM(AM58:AM62)</f>
        <v>137225140</v>
      </c>
      <c r="AN57" s="894">
        <f>SUM(AN58:AN62)</f>
        <v>56522524</v>
      </c>
      <c r="AO57" s="894">
        <f>SUM(AO58:AO62)</f>
        <v>634050886</v>
      </c>
      <c r="AP57" s="894">
        <f>+SUM(AP58:AP62)</f>
        <v>1235237013</v>
      </c>
      <c r="AQ57" s="901">
        <f t="shared" si="21"/>
        <v>0.79692710516129028</v>
      </c>
      <c r="AR57" s="902">
        <f t="shared" ref="AR57:AX57" si="84">SUM(AR58:AR62)</f>
        <v>1062203733</v>
      </c>
      <c r="AS57" s="902">
        <f t="shared" si="84"/>
        <v>366019106.89999998</v>
      </c>
      <c r="AT57" s="902">
        <f t="shared" si="84"/>
        <v>339219735.20999998</v>
      </c>
      <c r="AU57" s="902">
        <f t="shared" si="84"/>
        <v>211157963</v>
      </c>
      <c r="AV57" s="902">
        <f t="shared" si="84"/>
        <v>210940830</v>
      </c>
      <c r="AW57" s="902">
        <f t="shared" si="84"/>
        <v>1062203733</v>
      </c>
      <c r="AX57" s="902">
        <f t="shared" si="84"/>
        <v>1060362347</v>
      </c>
      <c r="AY57" s="903">
        <f t="shared" si="7"/>
        <v>0.99826644744054949</v>
      </c>
      <c r="AZ57" s="902">
        <f>SUM(AZ58:AZ62)</f>
        <v>3962044451</v>
      </c>
      <c r="BA57" s="902">
        <f t="shared" si="22"/>
        <v>3716823162</v>
      </c>
      <c r="BB57" s="1019">
        <f t="shared" si="9"/>
        <v>0.93810738571140784</v>
      </c>
      <c r="BC57" s="1020">
        <f t="shared" si="23"/>
        <v>3673558475.21</v>
      </c>
      <c r="BD57" s="1019">
        <f t="shared" si="24"/>
        <v>0.92718759737357626</v>
      </c>
      <c r="BE57" s="902"/>
      <c r="BF57" s="902"/>
      <c r="BG57" s="902"/>
      <c r="BH57" s="902"/>
    </row>
    <row r="58" spans="1:64" s="865" customFormat="1" ht="47.4" customHeight="1">
      <c r="A58" s="1021" t="s">
        <v>1910</v>
      </c>
      <c r="B58" s="1022" t="s">
        <v>2184</v>
      </c>
      <c r="C58" s="937" t="s">
        <v>2086</v>
      </c>
      <c r="D58" s="990">
        <v>0</v>
      </c>
      <c r="E58" s="990">
        <v>0</v>
      </c>
      <c r="F58" s="990">
        <v>50</v>
      </c>
      <c r="G58" s="1283">
        <v>40</v>
      </c>
      <c r="H58" s="906">
        <v>0</v>
      </c>
      <c r="I58" s="906" t="s">
        <v>1905</v>
      </c>
      <c r="J58" s="906">
        <v>50</v>
      </c>
      <c r="K58" s="906">
        <v>40</v>
      </c>
      <c r="L58" s="906"/>
      <c r="M58" s="906"/>
      <c r="N58" s="906"/>
      <c r="O58" s="930">
        <f t="shared" ref="O58:Q62" si="85">+IFERROR(IF((H58+L58)/D58&gt;=100%,100%,(H58+L58)/D58),0)</f>
        <v>0</v>
      </c>
      <c r="P58" s="978">
        <f t="shared" si="85"/>
        <v>0</v>
      </c>
      <c r="Q58" s="930">
        <f t="shared" si="85"/>
        <v>1</v>
      </c>
      <c r="R58" s="908">
        <f t="shared" ref="R58:R62" si="86">+IFERROR(IF(K58/G58&gt;=100%,100%,K58/G58),0)</f>
        <v>1</v>
      </c>
      <c r="S58" s="1025" t="s">
        <v>2714</v>
      </c>
      <c r="T58" s="931">
        <v>45291</v>
      </c>
      <c r="U58" s="941" t="s">
        <v>2092</v>
      </c>
      <c r="V58" s="942"/>
      <c r="W58" s="909" t="s">
        <v>2683</v>
      </c>
      <c r="X58" s="909" t="s">
        <v>2185</v>
      </c>
      <c r="Y58" s="992">
        <f t="shared" ref="Y58:Y62" si="87">SUM(D58:G58)</f>
        <v>90</v>
      </c>
      <c r="Z58" s="913">
        <f t="shared" ref="Z58:Z62" si="88">SUM(H58:N58)</f>
        <v>90</v>
      </c>
      <c r="AA58" s="978">
        <f t="shared" ref="AA58:AA62" si="89">IF(Z58/Y58&gt;=100%,100%,Z58/Y58)</f>
        <v>1</v>
      </c>
      <c r="AB58" s="1026">
        <v>0.25</v>
      </c>
      <c r="AC58" s="1026">
        <v>0</v>
      </c>
      <c r="AD58" s="930">
        <v>0</v>
      </c>
      <c r="AE58" s="908">
        <v>0.25</v>
      </c>
      <c r="AF58" s="908">
        <v>0.3</v>
      </c>
      <c r="AG58" s="1027">
        <v>550000000</v>
      </c>
      <c r="AH58" s="1027" t="s">
        <v>2095</v>
      </c>
      <c r="AI58" s="1027">
        <v>0</v>
      </c>
      <c r="AJ58" s="1027">
        <v>398607608</v>
      </c>
      <c r="AK58" s="1027">
        <v>550000000</v>
      </c>
      <c r="AL58" s="982">
        <f t="shared" si="20"/>
        <v>1</v>
      </c>
      <c r="AM58" s="1027" t="s">
        <v>2095</v>
      </c>
      <c r="AN58" s="1027">
        <v>0</v>
      </c>
      <c r="AO58" s="1027">
        <v>54267918</v>
      </c>
      <c r="AP58" s="1027">
        <v>428206003</v>
      </c>
      <c r="AQ58" s="983">
        <f t="shared" si="21"/>
        <v>0.77855636909090908</v>
      </c>
      <c r="AR58" s="915">
        <f t="shared" ref="AR58:AR62" si="90">+AJ58-AO58</f>
        <v>344339690</v>
      </c>
      <c r="AS58" s="1027" t="s">
        <v>2095</v>
      </c>
      <c r="AT58" s="915">
        <v>0</v>
      </c>
      <c r="AU58" s="1027"/>
      <c r="AV58" s="1027"/>
      <c r="AW58" s="1027">
        <v>344339690</v>
      </c>
      <c r="AX58" s="1027">
        <v>343878736</v>
      </c>
      <c r="AY58" s="984">
        <f t="shared" si="7"/>
        <v>0.99866133933035717</v>
      </c>
      <c r="AZ58" s="1028">
        <v>950000000</v>
      </c>
      <c r="BA58" s="957">
        <f t="shared" si="22"/>
        <v>948607608</v>
      </c>
      <c r="BB58" s="930">
        <f t="shared" si="9"/>
        <v>0.99853432421052635</v>
      </c>
      <c r="BC58" s="986">
        <f t="shared" si="23"/>
        <v>826352657</v>
      </c>
      <c r="BD58" s="930">
        <f t="shared" si="24"/>
        <v>0.86984490210526311</v>
      </c>
      <c r="BE58" s="987"/>
      <c r="BF58" s="987"/>
      <c r="BG58" s="909" t="s">
        <v>556</v>
      </c>
      <c r="BH58" s="1029" t="s">
        <v>2186</v>
      </c>
    </row>
    <row r="59" spans="1:64" s="865" customFormat="1" ht="47.4" customHeight="1">
      <c r="A59" s="1021" t="s">
        <v>2187</v>
      </c>
      <c r="B59" s="1030" t="s">
        <v>2188</v>
      </c>
      <c r="C59" s="937" t="s">
        <v>2086</v>
      </c>
      <c r="D59" s="990">
        <v>0</v>
      </c>
      <c r="E59" s="990">
        <v>50000</v>
      </c>
      <c r="F59" s="1277">
        <v>50000</v>
      </c>
      <c r="G59" s="1277">
        <v>50000</v>
      </c>
      <c r="H59" s="906">
        <v>0</v>
      </c>
      <c r="I59" s="906">
        <v>0</v>
      </c>
      <c r="J59" s="906">
        <v>50000</v>
      </c>
      <c r="K59" s="906">
        <v>100000</v>
      </c>
      <c r="L59" s="906"/>
      <c r="M59" s="906">
        <v>50000</v>
      </c>
      <c r="N59" s="906"/>
      <c r="O59" s="930">
        <f t="shared" si="85"/>
        <v>0</v>
      </c>
      <c r="P59" s="978">
        <f t="shared" si="85"/>
        <v>1</v>
      </c>
      <c r="Q59" s="930">
        <f t="shared" si="85"/>
        <v>1</v>
      </c>
      <c r="R59" s="908">
        <f t="shared" si="86"/>
        <v>1</v>
      </c>
      <c r="S59" s="910" t="s">
        <v>2715</v>
      </c>
      <c r="T59" s="931">
        <v>45291</v>
      </c>
      <c r="U59" s="941" t="s">
        <v>2092</v>
      </c>
      <c r="V59" s="942"/>
      <c r="W59" s="909" t="s">
        <v>2683</v>
      </c>
      <c r="X59" s="909" t="s">
        <v>2185</v>
      </c>
      <c r="Y59" s="992">
        <f t="shared" si="87"/>
        <v>150000</v>
      </c>
      <c r="Z59" s="913">
        <f t="shared" si="88"/>
        <v>200000</v>
      </c>
      <c r="AA59" s="978">
        <f t="shared" si="89"/>
        <v>1</v>
      </c>
      <c r="AB59" s="1026">
        <v>0.2</v>
      </c>
      <c r="AC59" s="1026">
        <v>0</v>
      </c>
      <c r="AD59" s="930">
        <v>0.5</v>
      </c>
      <c r="AE59" s="908">
        <v>0.2</v>
      </c>
      <c r="AF59" s="908">
        <v>0.25</v>
      </c>
      <c r="AG59" s="1027">
        <v>300000000</v>
      </c>
      <c r="AH59" s="1027">
        <v>0</v>
      </c>
      <c r="AI59" s="1027">
        <v>20786566</v>
      </c>
      <c r="AJ59" s="1027">
        <v>248712470</v>
      </c>
      <c r="AK59" s="1027">
        <v>300000000</v>
      </c>
      <c r="AL59" s="982">
        <f t="shared" si="20"/>
        <v>1</v>
      </c>
      <c r="AM59" s="1027">
        <v>0</v>
      </c>
      <c r="AN59" s="1027">
        <v>17325906</v>
      </c>
      <c r="AO59" s="1027">
        <v>241853887</v>
      </c>
      <c r="AP59" s="1027">
        <v>250409450</v>
      </c>
      <c r="AQ59" s="983">
        <f t="shared" si="21"/>
        <v>0.83469816666666663</v>
      </c>
      <c r="AR59" s="915">
        <f t="shared" si="90"/>
        <v>6858583</v>
      </c>
      <c r="AS59" s="1027">
        <v>0</v>
      </c>
      <c r="AT59" s="1027">
        <v>0</v>
      </c>
      <c r="AU59" s="1027">
        <v>3460660</v>
      </c>
      <c r="AV59" s="1027">
        <v>3335671</v>
      </c>
      <c r="AW59" s="1027">
        <v>6858583</v>
      </c>
      <c r="AX59" s="1027">
        <v>6157032</v>
      </c>
      <c r="AY59" s="984">
        <f t="shared" si="7"/>
        <v>0.89771196178569246</v>
      </c>
      <c r="AZ59" s="1007">
        <v>800000000</v>
      </c>
      <c r="BA59" s="957">
        <f t="shared" si="22"/>
        <v>569499036</v>
      </c>
      <c r="BB59" s="930">
        <f t="shared" si="9"/>
        <v>0.71187379500000003</v>
      </c>
      <c r="BC59" s="986">
        <f t="shared" si="23"/>
        <v>519081946</v>
      </c>
      <c r="BD59" s="930">
        <f t="shared" si="24"/>
        <v>0.64885243250000002</v>
      </c>
      <c r="BE59" s="987"/>
      <c r="BF59" s="987"/>
      <c r="BG59" s="909" t="s">
        <v>1701</v>
      </c>
      <c r="BH59" s="1029" t="s">
        <v>2186</v>
      </c>
    </row>
    <row r="60" spans="1:64" s="865" customFormat="1" ht="47.4" customHeight="1">
      <c r="A60" s="1021" t="s">
        <v>2189</v>
      </c>
      <c r="B60" s="988" t="s">
        <v>2190</v>
      </c>
      <c r="C60" s="937" t="s">
        <v>2086</v>
      </c>
      <c r="D60" s="990">
        <v>0</v>
      </c>
      <c r="E60" s="990">
        <v>0</v>
      </c>
      <c r="F60" s="990">
        <v>2</v>
      </c>
      <c r="G60" s="990">
        <v>2</v>
      </c>
      <c r="H60" s="906">
        <v>0</v>
      </c>
      <c r="I60" s="906" t="s">
        <v>1905</v>
      </c>
      <c r="J60" s="906">
        <v>2</v>
      </c>
      <c r="K60" s="938">
        <v>2</v>
      </c>
      <c r="L60" s="906"/>
      <c r="M60" s="906"/>
      <c r="N60" s="906"/>
      <c r="O60" s="930">
        <f t="shared" si="85"/>
        <v>0</v>
      </c>
      <c r="P60" s="978">
        <f t="shared" si="85"/>
        <v>0</v>
      </c>
      <c r="Q60" s="930">
        <f t="shared" si="85"/>
        <v>1</v>
      </c>
      <c r="R60" s="908">
        <f t="shared" si="86"/>
        <v>1</v>
      </c>
      <c r="S60" s="909" t="s">
        <v>2716</v>
      </c>
      <c r="T60" s="931">
        <v>45291</v>
      </c>
      <c r="U60" s="941" t="s">
        <v>2092</v>
      </c>
      <c r="V60" s="942"/>
      <c r="W60" s="909" t="s">
        <v>2683</v>
      </c>
      <c r="X60" s="909" t="s">
        <v>2185</v>
      </c>
      <c r="Y60" s="992">
        <f t="shared" si="87"/>
        <v>4</v>
      </c>
      <c r="Z60" s="913">
        <f t="shared" si="88"/>
        <v>4</v>
      </c>
      <c r="AA60" s="978">
        <f t="shared" si="89"/>
        <v>1</v>
      </c>
      <c r="AB60" s="1026">
        <v>0.15</v>
      </c>
      <c r="AC60" s="1026">
        <v>0</v>
      </c>
      <c r="AD60" s="930">
        <v>0</v>
      </c>
      <c r="AE60" s="908">
        <v>0.15</v>
      </c>
      <c r="AF60" s="908">
        <v>0.2</v>
      </c>
      <c r="AG60" s="1027">
        <v>300000000</v>
      </c>
      <c r="AH60" s="1027" t="s">
        <v>2095</v>
      </c>
      <c r="AI60" s="1027">
        <v>0</v>
      </c>
      <c r="AJ60" s="1027">
        <v>299667241</v>
      </c>
      <c r="AK60" s="1027">
        <v>300000000</v>
      </c>
      <c r="AL60" s="982">
        <f t="shared" si="20"/>
        <v>1</v>
      </c>
      <c r="AM60" s="1027" t="s">
        <v>2095</v>
      </c>
      <c r="AN60" s="1027">
        <v>0</v>
      </c>
      <c r="AO60" s="1027">
        <v>37257534</v>
      </c>
      <c r="AP60" s="1027">
        <v>250000000</v>
      </c>
      <c r="AQ60" s="983">
        <f t="shared" si="21"/>
        <v>0.83333333333333337</v>
      </c>
      <c r="AR60" s="915">
        <f t="shared" si="90"/>
        <v>262409707</v>
      </c>
      <c r="AS60" s="1027">
        <v>0</v>
      </c>
      <c r="AT60" s="1027">
        <v>0</v>
      </c>
      <c r="AU60" s="1027"/>
      <c r="AV60" s="1027"/>
      <c r="AW60" s="1027">
        <v>262409707</v>
      </c>
      <c r="AX60" s="1027">
        <v>262177914</v>
      </c>
      <c r="AY60" s="984">
        <f t="shared" si="7"/>
        <v>0.99911667520744574</v>
      </c>
      <c r="AZ60" s="1028">
        <v>600000000</v>
      </c>
      <c r="BA60" s="957">
        <f t="shared" si="22"/>
        <v>599667241</v>
      </c>
      <c r="BB60" s="930">
        <f t="shared" si="9"/>
        <v>0.99944540166666662</v>
      </c>
      <c r="BC60" s="986">
        <f t="shared" si="23"/>
        <v>549435448</v>
      </c>
      <c r="BD60" s="930">
        <f t="shared" si="24"/>
        <v>0.91572574666666662</v>
      </c>
      <c r="BE60" s="987"/>
      <c r="BF60" s="987"/>
      <c r="BG60" s="909" t="s">
        <v>1701</v>
      </c>
      <c r="BH60" s="1029" t="s">
        <v>2186</v>
      </c>
    </row>
    <row r="61" spans="1:64" s="865" customFormat="1" ht="97.5" customHeight="1">
      <c r="A61" s="1021" t="s">
        <v>1846</v>
      </c>
      <c r="B61" s="1022" t="s">
        <v>2191</v>
      </c>
      <c r="C61" s="937" t="s">
        <v>2086</v>
      </c>
      <c r="D61" s="1023">
        <v>0.1</v>
      </c>
      <c r="E61" s="1023">
        <v>1</v>
      </c>
      <c r="F61" s="990">
        <v>1</v>
      </c>
      <c r="G61" s="1031">
        <v>0</v>
      </c>
      <c r="H61" s="1023">
        <v>0.1</v>
      </c>
      <c r="I61" s="907">
        <v>1</v>
      </c>
      <c r="J61" s="1032">
        <v>1</v>
      </c>
      <c r="K61" s="1032">
        <v>0</v>
      </c>
      <c r="L61" s="907"/>
      <c r="M61" s="907"/>
      <c r="N61" s="907"/>
      <c r="O61" s="930">
        <f t="shared" si="85"/>
        <v>1</v>
      </c>
      <c r="P61" s="978">
        <f t="shared" si="85"/>
        <v>1</v>
      </c>
      <c r="Q61" s="930">
        <f t="shared" si="85"/>
        <v>1</v>
      </c>
      <c r="R61" s="908">
        <f t="shared" si="86"/>
        <v>0</v>
      </c>
      <c r="S61" s="909"/>
      <c r="T61" s="909"/>
      <c r="U61" s="941"/>
      <c r="V61" s="942"/>
      <c r="W61" s="909"/>
      <c r="X61" s="909"/>
      <c r="Y61" s="992">
        <f t="shared" si="87"/>
        <v>2.1</v>
      </c>
      <c r="Z61" s="913">
        <f t="shared" si="88"/>
        <v>2.1</v>
      </c>
      <c r="AA61" s="978">
        <f t="shared" si="89"/>
        <v>1</v>
      </c>
      <c r="AB61" s="1026">
        <v>0.2</v>
      </c>
      <c r="AC61" s="1026">
        <v>1</v>
      </c>
      <c r="AD61" s="930">
        <v>0.5</v>
      </c>
      <c r="AE61" s="908">
        <v>0.2</v>
      </c>
      <c r="AF61" s="908">
        <v>0</v>
      </c>
      <c r="AG61" s="1027">
        <v>0</v>
      </c>
      <c r="AH61" s="915">
        <v>202888056</v>
      </c>
      <c r="AI61" s="1027">
        <v>246893921</v>
      </c>
      <c r="AJ61" s="1027">
        <v>349611974</v>
      </c>
      <c r="AK61" s="1027"/>
      <c r="AL61" s="982" t="e">
        <f t="shared" si="20"/>
        <v>#DIV/0!</v>
      </c>
      <c r="AM61" s="915">
        <v>137225140</v>
      </c>
      <c r="AN61" s="1027">
        <v>39196618</v>
      </c>
      <c r="AO61" s="1027">
        <v>221755948</v>
      </c>
      <c r="AP61" s="1027"/>
      <c r="AQ61" s="983" t="e">
        <f t="shared" si="21"/>
        <v>#DIV/0!</v>
      </c>
      <c r="AR61" s="915">
        <f t="shared" si="90"/>
        <v>127856026</v>
      </c>
      <c r="AS61" s="944">
        <v>366019106.89999998</v>
      </c>
      <c r="AT61" s="926">
        <v>339219735.20999998</v>
      </c>
      <c r="AU61" s="926">
        <v>207697303</v>
      </c>
      <c r="AV61" s="926">
        <v>207605159</v>
      </c>
      <c r="AW61" s="926">
        <v>127856026</v>
      </c>
      <c r="AX61" s="926">
        <v>127586111</v>
      </c>
      <c r="AY61" s="984">
        <f t="shared" si="7"/>
        <v>0.99788891452014938</v>
      </c>
      <c r="AZ61" s="1007">
        <v>812044451</v>
      </c>
      <c r="BA61" s="957">
        <f t="shared" si="22"/>
        <v>799393951</v>
      </c>
      <c r="BB61" s="983">
        <f t="shared" si="9"/>
        <v>0.98442141931464289</v>
      </c>
      <c r="BC61" s="986">
        <f t="shared" si="23"/>
        <v>1072588711.21</v>
      </c>
      <c r="BD61" s="930">
        <f t="shared" si="24"/>
        <v>1.3208497513764799</v>
      </c>
      <c r="BE61" s="987"/>
      <c r="BF61" s="987"/>
      <c r="BG61" s="909" t="s">
        <v>649</v>
      </c>
      <c r="BH61" s="1029" t="s">
        <v>2118</v>
      </c>
    </row>
    <row r="62" spans="1:64" s="865" customFormat="1" ht="47.4" customHeight="1">
      <c r="A62" s="1021" t="s">
        <v>1911</v>
      </c>
      <c r="B62" s="1029" t="s">
        <v>2192</v>
      </c>
      <c r="C62" s="937" t="s">
        <v>2086</v>
      </c>
      <c r="D62" s="990">
        <v>0</v>
      </c>
      <c r="E62" s="990">
        <v>0</v>
      </c>
      <c r="F62" s="990">
        <v>50</v>
      </c>
      <c r="G62" s="990">
        <v>50</v>
      </c>
      <c r="H62" s="906">
        <v>0</v>
      </c>
      <c r="I62" s="906" t="s">
        <v>1905</v>
      </c>
      <c r="J62" s="906">
        <v>15</v>
      </c>
      <c r="K62" s="906">
        <v>50</v>
      </c>
      <c r="L62" s="906"/>
      <c r="M62" s="906"/>
      <c r="N62" s="906">
        <v>35</v>
      </c>
      <c r="O62" s="930">
        <f t="shared" si="85"/>
        <v>0</v>
      </c>
      <c r="P62" s="978">
        <f t="shared" si="85"/>
        <v>0</v>
      </c>
      <c r="Q62" s="930">
        <f t="shared" si="85"/>
        <v>1</v>
      </c>
      <c r="R62" s="908">
        <f t="shared" si="86"/>
        <v>1</v>
      </c>
      <c r="S62" s="910" t="s">
        <v>2717</v>
      </c>
      <c r="T62" s="931">
        <v>45291</v>
      </c>
      <c r="U62" s="941" t="s">
        <v>2092</v>
      </c>
      <c r="V62" s="942"/>
      <c r="W62" s="909" t="s">
        <v>2683</v>
      </c>
      <c r="X62" s="909" t="s">
        <v>2718</v>
      </c>
      <c r="Y62" s="992">
        <f t="shared" si="87"/>
        <v>100</v>
      </c>
      <c r="Z62" s="913">
        <f t="shared" si="88"/>
        <v>100</v>
      </c>
      <c r="AA62" s="978">
        <f t="shared" si="89"/>
        <v>1</v>
      </c>
      <c r="AB62" s="1026">
        <v>0.2</v>
      </c>
      <c r="AC62" s="1026">
        <v>0</v>
      </c>
      <c r="AD62" s="930">
        <v>0</v>
      </c>
      <c r="AE62" s="908">
        <v>0.2</v>
      </c>
      <c r="AF62" s="908">
        <v>0.25</v>
      </c>
      <c r="AG62" s="1027">
        <v>400000000</v>
      </c>
      <c r="AH62" s="1027" t="s">
        <v>2095</v>
      </c>
      <c r="AI62" s="1027">
        <v>0</v>
      </c>
      <c r="AJ62" s="1027">
        <v>399655326</v>
      </c>
      <c r="AK62" s="1027">
        <v>400000000</v>
      </c>
      <c r="AL62" s="982">
        <f t="shared" si="20"/>
        <v>1</v>
      </c>
      <c r="AM62" s="1027" t="s">
        <v>2095</v>
      </c>
      <c r="AN62" s="1027">
        <v>0</v>
      </c>
      <c r="AO62" s="1027">
        <v>78915599</v>
      </c>
      <c r="AP62" s="1027">
        <v>306621560</v>
      </c>
      <c r="AQ62" s="983">
        <f t="shared" si="21"/>
        <v>0.76655390000000001</v>
      </c>
      <c r="AR62" s="915">
        <f t="shared" si="90"/>
        <v>320739727</v>
      </c>
      <c r="AS62" s="1027">
        <v>0</v>
      </c>
      <c r="AT62" s="1027">
        <v>0</v>
      </c>
      <c r="AU62" s="1027"/>
      <c r="AV62" s="1027"/>
      <c r="AW62" s="1027">
        <v>320739727</v>
      </c>
      <c r="AX62" s="1027">
        <v>320562554</v>
      </c>
      <c r="AY62" s="984">
        <f t="shared" si="7"/>
        <v>0.99944761130260606</v>
      </c>
      <c r="AZ62" s="1033">
        <v>800000000</v>
      </c>
      <c r="BA62" s="957">
        <f t="shared" si="22"/>
        <v>799655326</v>
      </c>
      <c r="BB62" s="930">
        <f t="shared" si="9"/>
        <v>0.99956915749999997</v>
      </c>
      <c r="BC62" s="986">
        <f t="shared" si="23"/>
        <v>706099713</v>
      </c>
      <c r="BD62" s="930">
        <f t="shared" si="24"/>
        <v>0.88262464124999995</v>
      </c>
      <c r="BE62" s="987"/>
      <c r="BF62" s="987"/>
      <c r="BG62" s="909" t="s">
        <v>313</v>
      </c>
      <c r="BH62" s="1029" t="s">
        <v>2193</v>
      </c>
    </row>
    <row r="63" spans="1:64" s="865" customFormat="1" ht="47.4" customHeight="1">
      <c r="A63" s="893" t="s">
        <v>2194</v>
      </c>
      <c r="B63" s="894"/>
      <c r="C63" s="894"/>
      <c r="D63" s="895"/>
      <c r="E63" s="895"/>
      <c r="F63" s="895"/>
      <c r="G63" s="895"/>
      <c r="H63" s="895"/>
      <c r="I63" s="895"/>
      <c r="J63" s="895"/>
      <c r="K63" s="895"/>
      <c r="L63" s="895"/>
      <c r="M63" s="895"/>
      <c r="N63" s="895"/>
      <c r="O63" s="896">
        <f>+SUMPRODUCT(O64:O68,AC64:AC68)</f>
        <v>1</v>
      </c>
      <c r="P63" s="896">
        <f t="shared" ref="P63:R63" si="91">+SUMPRODUCT(P64:P68,AD64:AD68)</f>
        <v>1</v>
      </c>
      <c r="Q63" s="896">
        <f t="shared" si="91"/>
        <v>1</v>
      </c>
      <c r="R63" s="896">
        <f t="shared" si="91"/>
        <v>1</v>
      </c>
      <c r="S63" s="894"/>
      <c r="T63" s="894"/>
      <c r="U63" s="972"/>
      <c r="V63" s="972"/>
      <c r="W63" s="972"/>
      <c r="X63" s="894"/>
      <c r="Y63" s="897"/>
      <c r="Z63" s="897">
        <f>SUM(H63:M63)</f>
        <v>0</v>
      </c>
      <c r="AA63" s="974">
        <f>+SUMPRODUCT(AA64:AA68,AB64:AB68)</f>
        <v>1</v>
      </c>
      <c r="AB63" s="974">
        <v>0.5</v>
      </c>
      <c r="AC63" s="974">
        <v>1</v>
      </c>
      <c r="AD63" s="974">
        <v>0.5</v>
      </c>
      <c r="AE63" s="896">
        <v>0.5</v>
      </c>
      <c r="AF63" s="896">
        <v>0.5</v>
      </c>
      <c r="AG63" s="973">
        <f>SUM(AG64:AG68)</f>
        <v>750000000</v>
      </c>
      <c r="AH63" s="973">
        <f>SUM(AH64:AH68)</f>
        <v>1417500000</v>
      </c>
      <c r="AI63" s="973">
        <f>SUM(AI64:AI68)</f>
        <v>592228644</v>
      </c>
      <c r="AJ63" s="973">
        <f>SUM(AJ64:AJ68)</f>
        <v>918979849</v>
      </c>
      <c r="AK63" s="973">
        <f>SUM(AK64:AK68)</f>
        <v>750000000</v>
      </c>
      <c r="AL63" s="997">
        <f t="shared" si="20"/>
        <v>1</v>
      </c>
      <c r="AM63" s="973">
        <f>SUM(AM64:AM68)</f>
        <v>42500000</v>
      </c>
      <c r="AN63" s="973">
        <f>SUM(AN64:AN68)</f>
        <v>585748345</v>
      </c>
      <c r="AO63" s="973">
        <f>SUM(AO64:AO68)</f>
        <v>913626558</v>
      </c>
      <c r="AP63" s="973">
        <f>SUM(AP64:AP68)</f>
        <v>696317512</v>
      </c>
      <c r="AQ63" s="1002">
        <f t="shared" si="21"/>
        <v>0.92842334933333337</v>
      </c>
      <c r="AR63" s="999">
        <f t="shared" ref="AR63:AX63" si="92">SUM(AR64:AR68)</f>
        <v>5353291</v>
      </c>
      <c r="AS63" s="973">
        <f t="shared" si="92"/>
        <v>1375000000</v>
      </c>
      <c r="AT63" s="973">
        <f t="shared" si="92"/>
        <v>1375000000</v>
      </c>
      <c r="AU63" s="973">
        <f t="shared" si="92"/>
        <v>6480299</v>
      </c>
      <c r="AV63" s="973">
        <f t="shared" si="92"/>
        <v>6249939</v>
      </c>
      <c r="AW63" s="973">
        <f t="shared" si="92"/>
        <v>5353291</v>
      </c>
      <c r="AX63" s="973">
        <f t="shared" si="92"/>
        <v>4641676</v>
      </c>
      <c r="AY63" s="1000">
        <f t="shared" si="7"/>
        <v>0.86706962128529907</v>
      </c>
      <c r="AZ63" s="973">
        <f>SUM(AZ64:AZ68)</f>
        <v>3690000000</v>
      </c>
      <c r="BA63" s="973">
        <f t="shared" si="22"/>
        <v>3678708493</v>
      </c>
      <c r="BB63" s="974">
        <f t="shared" si="9"/>
        <v>0.99693997100271003</v>
      </c>
      <c r="BC63" s="975">
        <f t="shared" si="23"/>
        <v>3624084030</v>
      </c>
      <c r="BD63" s="974">
        <f t="shared" si="24"/>
        <v>0.98213659349593496</v>
      </c>
      <c r="BE63" s="902"/>
      <c r="BF63" s="902"/>
      <c r="BG63" s="902"/>
      <c r="BH63" s="902"/>
      <c r="BI63" s="865" t="s">
        <v>2081</v>
      </c>
    </row>
    <row r="64" spans="1:64" s="865" customFormat="1" ht="53.25" customHeight="1">
      <c r="A64" s="1034" t="s">
        <v>2195</v>
      </c>
      <c r="B64" s="1035" t="s">
        <v>2196</v>
      </c>
      <c r="C64" s="937" t="s">
        <v>2086</v>
      </c>
      <c r="D64" s="990">
        <v>1</v>
      </c>
      <c r="E64" s="990">
        <v>0</v>
      </c>
      <c r="F64" s="990">
        <v>0</v>
      </c>
      <c r="G64" s="990">
        <v>0</v>
      </c>
      <c r="H64" s="906">
        <v>0</v>
      </c>
      <c r="I64" s="906" t="s">
        <v>1905</v>
      </c>
      <c r="J64" s="906"/>
      <c r="K64" s="906"/>
      <c r="L64" s="907">
        <v>1</v>
      </c>
      <c r="M64" s="907"/>
      <c r="N64" s="907"/>
      <c r="O64" s="930">
        <f t="shared" ref="O64:Q68" si="93">+IFERROR(IF((H64+L64)/D64&gt;=100%,100%,(H64+L64)/D64),0)</f>
        <v>1</v>
      </c>
      <c r="P64" s="978">
        <f t="shared" si="93"/>
        <v>0</v>
      </c>
      <c r="Q64" s="978">
        <f t="shared" si="93"/>
        <v>0</v>
      </c>
      <c r="R64" s="978">
        <f t="shared" ref="R64:R68" si="94">+IFERROR(IF(K64/G64&gt;=100%,100%,K64/G64),0)</f>
        <v>0</v>
      </c>
      <c r="S64" s="909"/>
      <c r="T64" s="909"/>
      <c r="U64" s="941"/>
      <c r="V64" s="942"/>
      <c r="W64" s="909"/>
      <c r="X64" s="909"/>
      <c r="Y64" s="992">
        <f t="shared" ref="Y64:Y68" si="95">SUM(D64:G64)</f>
        <v>1</v>
      </c>
      <c r="Z64" s="913">
        <f t="shared" ref="Z64:Z68" si="96">SUM(H64:N64)</f>
        <v>1</v>
      </c>
      <c r="AA64" s="978">
        <f>IF(Z64/Y64&gt;=100%,100%,Z64/Y64)</f>
        <v>1</v>
      </c>
      <c r="AB64" s="1036">
        <v>0.1</v>
      </c>
      <c r="AC64" s="1036">
        <v>0.15</v>
      </c>
      <c r="AD64" s="930">
        <v>0</v>
      </c>
      <c r="AE64" s="908">
        <v>0</v>
      </c>
      <c r="AF64" s="908">
        <v>0</v>
      </c>
      <c r="AG64" s="1037">
        <v>0</v>
      </c>
      <c r="AH64" s="915">
        <v>300000000</v>
      </c>
      <c r="AI64" s="915">
        <v>0</v>
      </c>
      <c r="AJ64" s="915">
        <v>0</v>
      </c>
      <c r="AK64" s="915"/>
      <c r="AL64" s="982" t="e">
        <f t="shared" si="20"/>
        <v>#DIV/0!</v>
      </c>
      <c r="AM64" s="915">
        <v>0</v>
      </c>
      <c r="AN64" s="915">
        <v>0</v>
      </c>
      <c r="AO64" s="915"/>
      <c r="AP64" s="915"/>
      <c r="AQ64" s="983" t="e">
        <f t="shared" si="21"/>
        <v>#DIV/0!</v>
      </c>
      <c r="AR64" s="915">
        <f t="shared" ref="AR64:AR68" si="97">+AJ64-AO64</f>
        <v>0</v>
      </c>
      <c r="AS64" s="915">
        <v>300000000</v>
      </c>
      <c r="AT64" s="915">
        <v>300000000</v>
      </c>
      <c r="AU64" s="915"/>
      <c r="AV64" s="915"/>
      <c r="AW64" s="915"/>
      <c r="AX64" s="915"/>
      <c r="AY64" s="984" t="e">
        <f t="shared" si="7"/>
        <v>#DIV/0!</v>
      </c>
      <c r="AZ64" s="1028">
        <v>300000000</v>
      </c>
      <c r="BA64" s="957">
        <f t="shared" si="22"/>
        <v>300000000</v>
      </c>
      <c r="BB64" s="983">
        <f t="shared" si="9"/>
        <v>1</v>
      </c>
      <c r="BC64" s="986">
        <f t="shared" si="23"/>
        <v>300000000</v>
      </c>
      <c r="BD64" s="930">
        <f t="shared" si="24"/>
        <v>1</v>
      </c>
      <c r="BE64" s="987"/>
      <c r="BF64" s="987"/>
      <c r="BG64" s="910" t="s">
        <v>1701</v>
      </c>
      <c r="BH64" s="1038" t="s">
        <v>2197</v>
      </c>
      <c r="BI64" s="865" t="s">
        <v>2081</v>
      </c>
    </row>
    <row r="65" spans="1:61" s="865" customFormat="1" ht="47.4" customHeight="1">
      <c r="A65" s="1034" t="s">
        <v>1839</v>
      </c>
      <c r="B65" s="1038" t="s">
        <v>550</v>
      </c>
      <c r="C65" s="937" t="s">
        <v>2086</v>
      </c>
      <c r="D65" s="990">
        <v>0</v>
      </c>
      <c r="E65" s="990">
        <v>2</v>
      </c>
      <c r="F65" s="990">
        <v>2</v>
      </c>
      <c r="G65" s="990">
        <v>2</v>
      </c>
      <c r="H65" s="906">
        <v>0</v>
      </c>
      <c r="I65" s="906">
        <v>2</v>
      </c>
      <c r="J65" s="906">
        <v>2</v>
      </c>
      <c r="K65" s="906">
        <v>2</v>
      </c>
      <c r="L65" s="906"/>
      <c r="M65" s="906"/>
      <c r="N65" s="906"/>
      <c r="O65" s="930">
        <f t="shared" si="93"/>
        <v>0</v>
      </c>
      <c r="P65" s="930">
        <f t="shared" si="93"/>
        <v>1</v>
      </c>
      <c r="Q65" s="930">
        <f t="shared" si="93"/>
        <v>1</v>
      </c>
      <c r="R65" s="908">
        <f t="shared" si="94"/>
        <v>1</v>
      </c>
      <c r="S65" s="909" t="s">
        <v>2719</v>
      </c>
      <c r="T65" s="931">
        <v>45291</v>
      </c>
      <c r="U65" s="941" t="s">
        <v>2092</v>
      </c>
      <c r="V65" s="942"/>
      <c r="W65" s="909" t="s">
        <v>2683</v>
      </c>
      <c r="X65" s="909" t="s">
        <v>2198</v>
      </c>
      <c r="Y65" s="992">
        <f t="shared" si="95"/>
        <v>6</v>
      </c>
      <c r="Z65" s="913">
        <f t="shared" si="96"/>
        <v>6</v>
      </c>
      <c r="AA65" s="978">
        <f t="shared" ref="AA65:AA68" si="98">IF(Z65/Y65&gt;=100%,100%,Z65/Y65)</f>
        <v>1</v>
      </c>
      <c r="AB65" s="1036">
        <v>0.2</v>
      </c>
      <c r="AC65" s="1036">
        <v>0</v>
      </c>
      <c r="AD65" s="930">
        <v>0.5</v>
      </c>
      <c r="AE65" s="908">
        <v>0.3</v>
      </c>
      <c r="AF65" s="908">
        <v>0.45</v>
      </c>
      <c r="AG65" s="1039">
        <v>300000000</v>
      </c>
      <c r="AH65" s="1027" t="s">
        <v>2095</v>
      </c>
      <c r="AI65" s="915">
        <v>296110717</v>
      </c>
      <c r="AJ65" s="915">
        <v>299667241</v>
      </c>
      <c r="AK65" s="915">
        <v>300000000</v>
      </c>
      <c r="AL65" s="982">
        <f t="shared" si="20"/>
        <v>1</v>
      </c>
      <c r="AM65" s="1027" t="s">
        <v>2095</v>
      </c>
      <c r="AN65" s="915">
        <v>292869958</v>
      </c>
      <c r="AO65" s="915">
        <v>298357533</v>
      </c>
      <c r="AP65" s="915">
        <v>251570765</v>
      </c>
      <c r="AQ65" s="983">
        <f t="shared" si="21"/>
        <v>0.83856921666666662</v>
      </c>
      <c r="AR65" s="915">
        <f t="shared" si="97"/>
        <v>1309708</v>
      </c>
      <c r="AS65" s="1027" t="s">
        <v>2095</v>
      </c>
      <c r="AT65" s="915">
        <v>0</v>
      </c>
      <c r="AU65" s="1027">
        <v>3240759</v>
      </c>
      <c r="AV65" s="1027">
        <v>3125579</v>
      </c>
      <c r="AW65" s="1027">
        <v>1309708</v>
      </c>
      <c r="AX65" s="1027">
        <v>1077915</v>
      </c>
      <c r="AY65" s="984">
        <f t="shared" si="7"/>
        <v>0.82301932949939982</v>
      </c>
      <c r="AZ65" s="1028">
        <v>900000000</v>
      </c>
      <c r="BA65" s="957">
        <f t="shared" si="22"/>
        <v>895777958</v>
      </c>
      <c r="BB65" s="930">
        <f t="shared" si="9"/>
        <v>0.99530884222222227</v>
      </c>
      <c r="BC65" s="986">
        <f t="shared" si="23"/>
        <v>847001750</v>
      </c>
      <c r="BD65" s="930">
        <f t="shared" si="24"/>
        <v>0.94111305555555558</v>
      </c>
      <c r="BE65" s="987"/>
      <c r="BF65" s="987"/>
      <c r="BG65" s="910" t="s">
        <v>525</v>
      </c>
      <c r="BH65" s="1038" t="s">
        <v>2197</v>
      </c>
      <c r="BI65" s="865" t="s">
        <v>2081</v>
      </c>
    </row>
    <row r="66" spans="1:61" s="865" customFormat="1" ht="78.75" customHeight="1">
      <c r="A66" s="1034" t="s">
        <v>2199</v>
      </c>
      <c r="B66" s="1038" t="s">
        <v>2200</v>
      </c>
      <c r="C66" s="937" t="s">
        <v>2086</v>
      </c>
      <c r="D66" s="990">
        <v>1</v>
      </c>
      <c r="E66" s="990">
        <v>2</v>
      </c>
      <c r="F66" s="990">
        <v>1</v>
      </c>
      <c r="G66" s="990">
        <v>0</v>
      </c>
      <c r="H66" s="906">
        <v>0</v>
      </c>
      <c r="I66" s="906">
        <v>2</v>
      </c>
      <c r="J66" s="906">
        <v>1</v>
      </c>
      <c r="K66" s="907"/>
      <c r="L66" s="907">
        <v>1</v>
      </c>
      <c r="M66" s="907"/>
      <c r="N66" s="907"/>
      <c r="O66" s="930">
        <f t="shared" si="93"/>
        <v>1</v>
      </c>
      <c r="P66" s="930">
        <f t="shared" si="93"/>
        <v>1</v>
      </c>
      <c r="Q66" s="930">
        <f t="shared" si="93"/>
        <v>1</v>
      </c>
      <c r="R66" s="908">
        <f t="shared" si="94"/>
        <v>0</v>
      </c>
      <c r="S66" s="909"/>
      <c r="T66" s="909"/>
      <c r="U66" s="941"/>
      <c r="V66" s="942"/>
      <c r="W66" s="909"/>
      <c r="X66" s="909"/>
      <c r="Y66" s="992">
        <f t="shared" si="95"/>
        <v>4</v>
      </c>
      <c r="Z66" s="913">
        <f t="shared" si="96"/>
        <v>4</v>
      </c>
      <c r="AA66" s="978">
        <f t="shared" si="98"/>
        <v>1</v>
      </c>
      <c r="AB66" s="1036">
        <v>0.2</v>
      </c>
      <c r="AC66" s="1036">
        <v>0.25</v>
      </c>
      <c r="AD66" s="930">
        <v>0.5</v>
      </c>
      <c r="AE66" s="908">
        <v>0.3</v>
      </c>
      <c r="AF66" s="908">
        <v>0</v>
      </c>
      <c r="AG66" s="1039">
        <v>0</v>
      </c>
      <c r="AH66" s="915">
        <v>220000000</v>
      </c>
      <c r="AI66" s="915">
        <v>296117927</v>
      </c>
      <c r="AJ66" s="915">
        <v>219755901</v>
      </c>
      <c r="AK66" s="915">
        <v>0</v>
      </c>
      <c r="AL66" s="982" t="e">
        <f t="shared" si="20"/>
        <v>#DIV/0!</v>
      </c>
      <c r="AM66" s="915">
        <v>0</v>
      </c>
      <c r="AN66" s="915">
        <v>292878387</v>
      </c>
      <c r="AO66" s="915">
        <v>218254661</v>
      </c>
      <c r="AP66" s="915"/>
      <c r="AQ66" s="983" t="e">
        <f t="shared" si="21"/>
        <v>#DIV/0!</v>
      </c>
      <c r="AR66" s="915">
        <f t="shared" si="97"/>
        <v>1501240</v>
      </c>
      <c r="AS66" s="915">
        <v>220000000</v>
      </c>
      <c r="AT66" s="915">
        <v>220000000</v>
      </c>
      <c r="AU66" s="915">
        <v>3239540</v>
      </c>
      <c r="AV66" s="915">
        <v>3124360</v>
      </c>
      <c r="AW66" s="915">
        <v>1501240</v>
      </c>
      <c r="AX66" s="915">
        <v>1331454</v>
      </c>
      <c r="AY66" s="984">
        <f t="shared" si="7"/>
        <v>0.8869028269963497</v>
      </c>
      <c r="AZ66" s="1028">
        <v>740000000</v>
      </c>
      <c r="BA66" s="957">
        <f t="shared" si="22"/>
        <v>735873828</v>
      </c>
      <c r="BB66" s="983">
        <f t="shared" si="9"/>
        <v>0.99442409189189185</v>
      </c>
      <c r="BC66" s="986">
        <f t="shared" si="23"/>
        <v>735588862</v>
      </c>
      <c r="BD66" s="930">
        <f t="shared" si="24"/>
        <v>0.99403900270270273</v>
      </c>
      <c r="BE66" s="987"/>
      <c r="BF66" s="987"/>
      <c r="BG66" s="910" t="s">
        <v>1701</v>
      </c>
      <c r="BH66" s="1038" t="s">
        <v>2201</v>
      </c>
      <c r="BI66" s="865" t="s">
        <v>2081</v>
      </c>
    </row>
    <row r="67" spans="1:61" s="865" customFormat="1" ht="40.5" customHeight="1">
      <c r="A67" s="1034" t="s">
        <v>2202</v>
      </c>
      <c r="B67" s="1038" t="s">
        <v>2203</v>
      </c>
      <c r="C67" s="937" t="s">
        <v>2086</v>
      </c>
      <c r="D67" s="990">
        <v>1</v>
      </c>
      <c r="E67" s="990">
        <v>0</v>
      </c>
      <c r="F67" s="990">
        <v>0</v>
      </c>
      <c r="G67" s="990">
        <v>0</v>
      </c>
      <c r="H67" s="906">
        <v>0</v>
      </c>
      <c r="I67" s="906" t="s">
        <v>1905</v>
      </c>
      <c r="J67" s="906"/>
      <c r="K67" s="907"/>
      <c r="L67" s="907">
        <v>1</v>
      </c>
      <c r="M67" s="907"/>
      <c r="N67" s="907"/>
      <c r="O67" s="930">
        <f t="shared" si="93"/>
        <v>1</v>
      </c>
      <c r="P67" s="978">
        <f t="shared" si="93"/>
        <v>0</v>
      </c>
      <c r="Q67" s="978">
        <f t="shared" si="93"/>
        <v>0</v>
      </c>
      <c r="R67" s="978">
        <f t="shared" si="94"/>
        <v>0</v>
      </c>
      <c r="S67" s="909"/>
      <c r="T67" s="909"/>
      <c r="U67" s="941"/>
      <c r="V67" s="942"/>
      <c r="W67" s="909"/>
      <c r="X67" s="909"/>
      <c r="Y67" s="992">
        <f t="shared" si="95"/>
        <v>1</v>
      </c>
      <c r="Z67" s="913">
        <f t="shared" si="96"/>
        <v>1</v>
      </c>
      <c r="AA67" s="978">
        <f t="shared" si="98"/>
        <v>1</v>
      </c>
      <c r="AB67" s="1036">
        <v>0.2</v>
      </c>
      <c r="AC67" s="1036">
        <v>0.25</v>
      </c>
      <c r="AD67" s="930">
        <v>0</v>
      </c>
      <c r="AE67" s="908">
        <v>0</v>
      </c>
      <c r="AF67" s="908">
        <v>0</v>
      </c>
      <c r="AG67" s="1037">
        <v>0</v>
      </c>
      <c r="AH67" s="915">
        <v>500000000</v>
      </c>
      <c r="AI67" s="915">
        <v>0</v>
      </c>
      <c r="AJ67" s="915"/>
      <c r="AK67" s="915"/>
      <c r="AL67" s="982" t="e">
        <f t="shared" si="20"/>
        <v>#DIV/0!</v>
      </c>
      <c r="AM67" s="915">
        <v>25000000</v>
      </c>
      <c r="AN67" s="915">
        <v>0</v>
      </c>
      <c r="AO67" s="915"/>
      <c r="AP67" s="915"/>
      <c r="AQ67" s="983" t="e">
        <f t="shared" si="21"/>
        <v>#DIV/0!</v>
      </c>
      <c r="AR67" s="915">
        <f t="shared" si="97"/>
        <v>0</v>
      </c>
      <c r="AS67" s="915">
        <v>475000000</v>
      </c>
      <c r="AT67" s="915">
        <v>475000000</v>
      </c>
      <c r="AU67" s="915"/>
      <c r="AV67" s="915"/>
      <c r="AW67" s="915"/>
      <c r="AX67" s="915"/>
      <c r="AY67" s="984" t="e">
        <f t="shared" si="7"/>
        <v>#DIV/0!</v>
      </c>
      <c r="AZ67" s="1028">
        <v>500000000</v>
      </c>
      <c r="BA67" s="957">
        <f t="shared" si="22"/>
        <v>500000000</v>
      </c>
      <c r="BB67" s="983">
        <f t="shared" si="9"/>
        <v>1</v>
      </c>
      <c r="BC67" s="986">
        <f t="shared" si="23"/>
        <v>500000000</v>
      </c>
      <c r="BD67" s="930">
        <f t="shared" si="24"/>
        <v>1</v>
      </c>
      <c r="BE67" s="987"/>
      <c r="BF67" s="987"/>
      <c r="BG67" s="910" t="s">
        <v>1701</v>
      </c>
      <c r="BH67" s="1038" t="s">
        <v>2204</v>
      </c>
      <c r="BI67" s="865" t="s">
        <v>2081</v>
      </c>
    </row>
    <row r="68" spans="1:61" s="865" customFormat="1" ht="47.4" customHeight="1">
      <c r="A68" s="1034" t="s">
        <v>1838</v>
      </c>
      <c r="B68" s="1038" t="s">
        <v>2205</v>
      </c>
      <c r="C68" s="937" t="s">
        <v>2086</v>
      </c>
      <c r="D68" s="990">
        <v>2</v>
      </c>
      <c r="E68" s="990">
        <v>0</v>
      </c>
      <c r="F68" s="990">
        <v>2</v>
      </c>
      <c r="G68" s="990">
        <v>3</v>
      </c>
      <c r="H68" s="906">
        <v>0</v>
      </c>
      <c r="I68" s="906" t="s">
        <v>1905</v>
      </c>
      <c r="J68" s="906">
        <v>2</v>
      </c>
      <c r="K68" s="938">
        <v>3</v>
      </c>
      <c r="L68" s="906">
        <v>2</v>
      </c>
      <c r="M68" s="906"/>
      <c r="N68" s="906"/>
      <c r="O68" s="908">
        <f t="shared" si="93"/>
        <v>1</v>
      </c>
      <c r="P68" s="978">
        <f t="shared" si="93"/>
        <v>0</v>
      </c>
      <c r="Q68" s="930">
        <f t="shared" si="93"/>
        <v>1</v>
      </c>
      <c r="R68" s="908">
        <f t="shared" si="94"/>
        <v>1</v>
      </c>
      <c r="S68" s="945" t="s">
        <v>2720</v>
      </c>
      <c r="T68" s="931">
        <v>45291</v>
      </c>
      <c r="U68" s="941" t="s">
        <v>2092</v>
      </c>
      <c r="V68" s="942"/>
      <c r="W68" s="909" t="s">
        <v>2683</v>
      </c>
      <c r="X68" s="909" t="s">
        <v>2198</v>
      </c>
      <c r="Y68" s="913">
        <f t="shared" si="95"/>
        <v>7</v>
      </c>
      <c r="Z68" s="913">
        <f t="shared" si="96"/>
        <v>7</v>
      </c>
      <c r="AA68" s="914">
        <f t="shared" si="98"/>
        <v>1</v>
      </c>
      <c r="AB68" s="1036">
        <v>0.3</v>
      </c>
      <c r="AC68" s="1036">
        <v>0.35</v>
      </c>
      <c r="AD68" s="908">
        <v>0</v>
      </c>
      <c r="AE68" s="908">
        <v>0.4</v>
      </c>
      <c r="AF68" s="908">
        <v>0.55000000000000004</v>
      </c>
      <c r="AG68" s="1037">
        <v>450000000</v>
      </c>
      <c r="AH68" s="915">
        <v>397500000</v>
      </c>
      <c r="AI68" s="915">
        <v>0</v>
      </c>
      <c r="AJ68" s="915">
        <v>399556707</v>
      </c>
      <c r="AK68" s="915">
        <v>450000000</v>
      </c>
      <c r="AL68" s="916">
        <f t="shared" si="20"/>
        <v>1</v>
      </c>
      <c r="AM68" s="915">
        <v>17500000</v>
      </c>
      <c r="AN68" s="915">
        <v>0</v>
      </c>
      <c r="AO68" s="915">
        <v>397014364</v>
      </c>
      <c r="AP68" s="915">
        <v>444746747</v>
      </c>
      <c r="AQ68" s="1040">
        <f t="shared" si="21"/>
        <v>0.98832610444444446</v>
      </c>
      <c r="AR68" s="915">
        <f t="shared" si="97"/>
        <v>2542343</v>
      </c>
      <c r="AS68" s="915">
        <v>380000000</v>
      </c>
      <c r="AT68" s="915">
        <v>380000000</v>
      </c>
      <c r="AU68" s="915"/>
      <c r="AV68" s="915"/>
      <c r="AW68" s="915">
        <v>2542343</v>
      </c>
      <c r="AX68" s="915">
        <v>2232307</v>
      </c>
      <c r="AY68" s="956">
        <f t="shared" si="7"/>
        <v>0.87805107336028221</v>
      </c>
      <c r="AZ68" s="1041">
        <v>1250000000</v>
      </c>
      <c r="BA68" s="957">
        <f t="shared" si="22"/>
        <v>1247056707</v>
      </c>
      <c r="BB68" s="930">
        <f t="shared" si="9"/>
        <v>0.99764536559999994</v>
      </c>
      <c r="BC68" s="986">
        <f t="shared" si="23"/>
        <v>1241493418</v>
      </c>
      <c r="BD68" s="930">
        <f t="shared" si="24"/>
        <v>0.99319473439999995</v>
      </c>
      <c r="BE68" s="926"/>
      <c r="BF68" s="926"/>
      <c r="BG68" s="910" t="s">
        <v>479</v>
      </c>
      <c r="BH68" s="1038" t="s">
        <v>2201</v>
      </c>
      <c r="BI68" s="865" t="s">
        <v>2081</v>
      </c>
    </row>
    <row r="69" spans="1:61" s="892" customFormat="1" ht="47.4" customHeight="1">
      <c r="A69" s="882" t="s">
        <v>2206</v>
      </c>
      <c r="B69" s="883"/>
      <c r="C69" s="883"/>
      <c r="D69" s="884"/>
      <c r="E69" s="884"/>
      <c r="F69" s="884"/>
      <c r="G69" s="884"/>
      <c r="H69" s="884"/>
      <c r="I69" s="884"/>
      <c r="J69" s="884"/>
      <c r="K69" s="884"/>
      <c r="L69" s="884"/>
      <c r="M69" s="884"/>
      <c r="N69" s="884"/>
      <c r="O69" s="887">
        <f>+(O70*AC70)+(O73*AC73)+(O75*AC75)</f>
        <v>0.8</v>
      </c>
      <c r="P69" s="887">
        <f t="shared" ref="P69:R69" si="99">+(P70*AD70)+(P73*AD73)+(P75*AD75)</f>
        <v>0.3</v>
      </c>
      <c r="Q69" s="887">
        <f t="shared" si="99"/>
        <v>1</v>
      </c>
      <c r="R69" s="887">
        <f t="shared" si="99"/>
        <v>1</v>
      </c>
      <c r="S69" s="883"/>
      <c r="T69" s="1042"/>
      <c r="U69" s="883"/>
      <c r="V69" s="883"/>
      <c r="W69" s="883"/>
      <c r="X69" s="883"/>
      <c r="Y69" s="886"/>
      <c r="Z69" s="886"/>
      <c r="AA69" s="885">
        <f>+(AA70*AB70)+(AA73*AB73)+(AA75*AB75)</f>
        <v>0.96</v>
      </c>
      <c r="AB69" s="885">
        <v>0.3</v>
      </c>
      <c r="AC69" s="885">
        <v>0.3</v>
      </c>
      <c r="AD69" s="885">
        <v>0.3</v>
      </c>
      <c r="AE69" s="885">
        <v>0.3</v>
      </c>
      <c r="AF69" s="885">
        <v>0.3</v>
      </c>
      <c r="AG69" s="883">
        <f>+AG70+AG73+AG75</f>
        <v>2050000000</v>
      </c>
      <c r="AH69" s="883">
        <f>+AH70+AH73+AH75</f>
        <v>837503911</v>
      </c>
      <c r="AI69" s="883">
        <f>+AI70+AI73+AI75</f>
        <v>620295093.20000005</v>
      </c>
      <c r="AJ69" s="883">
        <f>+AJ70+AJ73+AJ75</f>
        <v>1282434799</v>
      </c>
      <c r="AK69" s="883">
        <f>+AK70+AK73+AK75</f>
        <v>2014000000</v>
      </c>
      <c r="AL69" s="888">
        <f t="shared" si="20"/>
        <v>0.98243902439024389</v>
      </c>
      <c r="AM69" s="883">
        <f>+AM70+AM73+AM75</f>
        <v>815040611</v>
      </c>
      <c r="AN69" s="883">
        <f>+AN70+AN73+AN75</f>
        <v>272712026</v>
      </c>
      <c r="AO69" s="883">
        <f>+AO70+AO73+AO75</f>
        <v>1269974824</v>
      </c>
      <c r="AP69" s="883">
        <f>+AP70+AP73+AP75</f>
        <v>688926000</v>
      </c>
      <c r="AQ69" s="1043">
        <f t="shared" si="21"/>
        <v>0.33606146341463417</v>
      </c>
      <c r="AR69" s="883">
        <f t="shared" ref="AR69:AX69" si="100">+AR70+AR73+AR75</f>
        <v>12459975</v>
      </c>
      <c r="AS69" s="883">
        <f t="shared" si="100"/>
        <v>22463300</v>
      </c>
      <c r="AT69" s="883">
        <f t="shared" si="100"/>
        <v>20152235</v>
      </c>
      <c r="AU69" s="883">
        <f t="shared" si="100"/>
        <v>347583067.19999999</v>
      </c>
      <c r="AV69" s="883">
        <f t="shared" si="100"/>
        <v>126895135</v>
      </c>
      <c r="AW69" s="883">
        <f t="shared" si="100"/>
        <v>12459975</v>
      </c>
      <c r="AX69" s="883">
        <f t="shared" si="100"/>
        <v>10549817</v>
      </c>
      <c r="AY69" s="891">
        <f t="shared" si="7"/>
        <v>0.84669648213579884</v>
      </c>
      <c r="AZ69" s="883">
        <f t="shared" ref="AZ69" si="101">+AZ70+AZ73+AZ75</f>
        <v>4920028662</v>
      </c>
      <c r="BA69" s="883">
        <f t="shared" si="22"/>
        <v>4754233803.1999998</v>
      </c>
      <c r="BB69" s="1044">
        <f t="shared" si="9"/>
        <v>0.96630205427856097</v>
      </c>
      <c r="BC69" s="1045">
        <f t="shared" si="23"/>
        <v>3204250648</v>
      </c>
      <c r="BD69" s="1044">
        <f t="shared" si="24"/>
        <v>0.65126666288514401</v>
      </c>
      <c r="BE69" s="883"/>
      <c r="BF69" s="883" t="s">
        <v>1698</v>
      </c>
      <c r="BG69" s="883"/>
      <c r="BH69" s="883"/>
      <c r="BI69" s="892" t="s">
        <v>2081</v>
      </c>
    </row>
    <row r="70" spans="1:61" s="865" customFormat="1" ht="52.5" customHeight="1">
      <c r="A70" s="893" t="s">
        <v>2207</v>
      </c>
      <c r="B70" s="894"/>
      <c r="C70" s="894"/>
      <c r="D70" s="895"/>
      <c r="E70" s="895"/>
      <c r="F70" s="895"/>
      <c r="G70" s="895"/>
      <c r="H70" s="895"/>
      <c r="I70" s="895"/>
      <c r="J70" s="895"/>
      <c r="K70" s="895"/>
      <c r="L70" s="895"/>
      <c r="M70" s="895"/>
      <c r="N70" s="895"/>
      <c r="O70" s="896">
        <f>+SUMPRODUCT(O71:O72,AC71:AC72)</f>
        <v>0</v>
      </c>
      <c r="P70" s="896">
        <f t="shared" ref="P70:R70" si="102">+SUMPRODUCT(P71:P72,AD71:AD72)</f>
        <v>1</v>
      </c>
      <c r="Q70" s="896">
        <f t="shared" si="102"/>
        <v>1</v>
      </c>
      <c r="R70" s="896">
        <f t="shared" si="102"/>
        <v>1</v>
      </c>
      <c r="S70" s="894"/>
      <c r="T70" s="1042"/>
      <c r="U70" s="894"/>
      <c r="V70" s="894"/>
      <c r="W70" s="894"/>
      <c r="X70" s="894"/>
      <c r="Y70" s="897"/>
      <c r="Z70" s="897"/>
      <c r="AA70" s="896">
        <f>+SUMPRODUCT(AA71:AA72,AB71:AB72)</f>
        <v>1</v>
      </c>
      <c r="AB70" s="896">
        <v>0.3</v>
      </c>
      <c r="AC70" s="896">
        <v>0</v>
      </c>
      <c r="AD70" s="896">
        <v>0.3</v>
      </c>
      <c r="AE70" s="896">
        <v>0.3</v>
      </c>
      <c r="AF70" s="896">
        <v>0.3</v>
      </c>
      <c r="AG70" s="894">
        <f>+SUM(AG71:AG72)</f>
        <v>450000000</v>
      </c>
      <c r="AH70" s="894">
        <f>SUM(AH71:AH72)</f>
        <v>0</v>
      </c>
      <c r="AI70" s="894">
        <f>SUM(AI71:AI72)</f>
        <v>98322560</v>
      </c>
      <c r="AJ70" s="894">
        <f>SUM(AJ71:AJ72)</f>
        <v>533159966</v>
      </c>
      <c r="AK70" s="894">
        <f>+SUM(AK71:AK72)</f>
        <v>450000000</v>
      </c>
      <c r="AL70" s="900">
        <f t="shared" si="20"/>
        <v>1</v>
      </c>
      <c r="AM70" s="894">
        <f>SUM(AM71:AM72)</f>
        <v>0</v>
      </c>
      <c r="AN70" s="894">
        <f>SUM(AN71:AN72)</f>
        <v>7145145</v>
      </c>
      <c r="AO70" s="894">
        <f>SUM(AO71:AO72)</f>
        <v>523928564</v>
      </c>
      <c r="AP70" s="894">
        <f>+SUM(AP71:AP72)</f>
        <v>338926000</v>
      </c>
      <c r="AQ70" s="1002">
        <f t="shared" si="21"/>
        <v>0.75316888888888889</v>
      </c>
      <c r="AR70" s="999">
        <f t="shared" ref="AR70:AX70" si="103">SUM(AR71:AR72)</f>
        <v>9231402</v>
      </c>
      <c r="AS70" s="973">
        <f t="shared" si="103"/>
        <v>0</v>
      </c>
      <c r="AT70" s="973">
        <f t="shared" si="103"/>
        <v>0</v>
      </c>
      <c r="AU70" s="973">
        <f t="shared" si="103"/>
        <v>91177415</v>
      </c>
      <c r="AV70" s="973">
        <f t="shared" si="103"/>
        <v>91131343</v>
      </c>
      <c r="AW70" s="973">
        <f t="shared" si="103"/>
        <v>9231402</v>
      </c>
      <c r="AX70" s="973">
        <f t="shared" si="103"/>
        <v>8758852</v>
      </c>
      <c r="AY70" s="1000">
        <f t="shared" si="7"/>
        <v>0.94881059236722654</v>
      </c>
      <c r="AZ70" s="973">
        <f t="shared" ref="AZ70" si="104">SUM(AZ71:AZ72)</f>
        <v>1100000000</v>
      </c>
      <c r="BA70" s="973">
        <f t="shared" si="22"/>
        <v>1081482526</v>
      </c>
      <c r="BB70" s="974">
        <f t="shared" si="9"/>
        <v>0.98316593272727271</v>
      </c>
      <c r="BC70" s="975">
        <f t="shared" si="23"/>
        <v>969889904</v>
      </c>
      <c r="BD70" s="974">
        <f t="shared" si="24"/>
        <v>0.88171809454545458</v>
      </c>
      <c r="BE70" s="902"/>
      <c r="BF70" s="902"/>
      <c r="BG70" s="902"/>
      <c r="BH70" s="902"/>
      <c r="BI70" s="865" t="s">
        <v>2081</v>
      </c>
    </row>
    <row r="71" spans="1:61" s="865" customFormat="1" ht="47.4" customHeight="1">
      <c r="A71" s="1046" t="s">
        <v>2208</v>
      </c>
      <c r="B71" s="1047" t="s">
        <v>2209</v>
      </c>
      <c r="C71" s="937" t="s">
        <v>2086</v>
      </c>
      <c r="D71" s="990">
        <v>0</v>
      </c>
      <c r="E71" s="990">
        <v>1</v>
      </c>
      <c r="F71" s="990">
        <v>1</v>
      </c>
      <c r="G71" s="990">
        <v>1</v>
      </c>
      <c r="H71" s="906">
        <v>0</v>
      </c>
      <c r="I71" s="906">
        <v>1</v>
      </c>
      <c r="J71" s="906">
        <v>1</v>
      </c>
      <c r="K71" s="906">
        <v>1</v>
      </c>
      <c r="L71" s="906"/>
      <c r="M71" s="906"/>
      <c r="N71" s="906"/>
      <c r="O71" s="930">
        <f t="shared" ref="O71:Q72" si="105">+IFERROR(IF((H71+L71)/D71&gt;=100%,100%,(H71+L71)/D71),0)</f>
        <v>0</v>
      </c>
      <c r="P71" s="930">
        <f t="shared" si="105"/>
        <v>1</v>
      </c>
      <c r="Q71" s="930">
        <f t="shared" si="105"/>
        <v>1</v>
      </c>
      <c r="R71" s="908">
        <f t="shared" ref="R71:R72" si="106">+IFERROR(IF(K71/G71&gt;=100%,100%,K71/G71),0)</f>
        <v>1</v>
      </c>
      <c r="S71" s="945" t="s">
        <v>2721</v>
      </c>
      <c r="T71" s="931">
        <v>45291</v>
      </c>
      <c r="U71" s="941" t="s">
        <v>2092</v>
      </c>
      <c r="V71" s="942"/>
      <c r="W71" s="909" t="s">
        <v>2683</v>
      </c>
      <c r="X71" s="909" t="s">
        <v>2210</v>
      </c>
      <c r="Y71" s="992">
        <f t="shared" ref="Y71:Y72" si="107">SUM(D71:G71)</f>
        <v>3</v>
      </c>
      <c r="Z71" s="913">
        <f t="shared" ref="Z71:Z72" si="108">SUM(H71:N71)</f>
        <v>3</v>
      </c>
      <c r="AA71" s="978">
        <f>IF(Z71/Y71&gt;=100%,100%,Z71/Y71)</f>
        <v>1</v>
      </c>
      <c r="AB71" s="1049">
        <v>0.3</v>
      </c>
      <c r="AC71" s="1049">
        <v>0</v>
      </c>
      <c r="AD71" s="930">
        <v>1</v>
      </c>
      <c r="AE71" s="1050">
        <v>0.3</v>
      </c>
      <c r="AF71" s="1050">
        <v>0.3</v>
      </c>
      <c r="AG71" s="1051">
        <v>100000000</v>
      </c>
      <c r="AH71" s="1052" t="s">
        <v>2095</v>
      </c>
      <c r="AI71" s="1051">
        <v>98322560</v>
      </c>
      <c r="AJ71" s="1051">
        <v>133603254</v>
      </c>
      <c r="AK71" s="1051">
        <v>100000000</v>
      </c>
      <c r="AL71" s="982">
        <f t="shared" si="20"/>
        <v>1</v>
      </c>
      <c r="AM71" s="1052" t="s">
        <v>2095</v>
      </c>
      <c r="AN71" s="1051">
        <v>7145145</v>
      </c>
      <c r="AO71" s="1051">
        <v>126914145</v>
      </c>
      <c r="AP71" s="1051">
        <v>10000000</v>
      </c>
      <c r="AQ71" s="983">
        <f t="shared" si="21"/>
        <v>0.1</v>
      </c>
      <c r="AR71" s="915">
        <f t="shared" ref="AR71:AR72" si="109">+AJ71-AO71</f>
        <v>6689109</v>
      </c>
      <c r="AS71" s="1052" t="s">
        <v>2095</v>
      </c>
      <c r="AT71" s="915">
        <v>0</v>
      </c>
      <c r="AU71" s="1053">
        <v>91177415</v>
      </c>
      <c r="AV71" s="1053">
        <v>91131343</v>
      </c>
      <c r="AW71" s="1053">
        <v>6689109</v>
      </c>
      <c r="AX71" s="1053">
        <v>6407802</v>
      </c>
      <c r="AY71" s="984">
        <f t="shared" si="7"/>
        <v>0.95794552009841671</v>
      </c>
      <c r="AZ71" s="1028">
        <v>350000000</v>
      </c>
      <c r="BA71" s="957">
        <f t="shared" si="22"/>
        <v>331925814</v>
      </c>
      <c r="BB71" s="930">
        <f t="shared" si="9"/>
        <v>0.94835946857142861</v>
      </c>
      <c r="BC71" s="986">
        <f t="shared" si="23"/>
        <v>241598435</v>
      </c>
      <c r="BD71" s="930">
        <f t="shared" si="24"/>
        <v>0.69028124285714287</v>
      </c>
      <c r="BE71" s="987"/>
      <c r="BF71" s="987"/>
      <c r="BG71" s="910" t="s">
        <v>584</v>
      </c>
      <c r="BH71" s="1360" t="s">
        <v>2211</v>
      </c>
      <c r="BI71" s="865" t="s">
        <v>2081</v>
      </c>
    </row>
    <row r="72" spans="1:61" s="865" customFormat="1" ht="47.4" customHeight="1">
      <c r="A72" s="1046" t="s">
        <v>1942</v>
      </c>
      <c r="B72" s="1047" t="s">
        <v>2212</v>
      </c>
      <c r="C72" s="937" t="s">
        <v>2086</v>
      </c>
      <c r="D72" s="990">
        <v>0</v>
      </c>
      <c r="E72" s="990">
        <v>0</v>
      </c>
      <c r="F72" s="990">
        <v>2</v>
      </c>
      <c r="G72" s="990">
        <v>2</v>
      </c>
      <c r="H72" s="906">
        <v>0</v>
      </c>
      <c r="I72" s="906" t="s">
        <v>1905</v>
      </c>
      <c r="J72" s="906">
        <v>2</v>
      </c>
      <c r="K72" s="906">
        <v>2</v>
      </c>
      <c r="L72" s="906"/>
      <c r="M72" s="906"/>
      <c r="N72" s="906"/>
      <c r="O72" s="930">
        <f t="shared" si="105"/>
        <v>0</v>
      </c>
      <c r="P72" s="978">
        <f t="shared" si="105"/>
        <v>0</v>
      </c>
      <c r="Q72" s="930">
        <f t="shared" si="105"/>
        <v>1</v>
      </c>
      <c r="R72" s="908">
        <f t="shared" si="106"/>
        <v>1</v>
      </c>
      <c r="S72" s="945" t="s">
        <v>2722</v>
      </c>
      <c r="T72" s="931">
        <v>45291</v>
      </c>
      <c r="U72" s="941" t="s">
        <v>2092</v>
      </c>
      <c r="V72" s="942"/>
      <c r="W72" s="909" t="s">
        <v>2683</v>
      </c>
      <c r="X72" s="909" t="s">
        <v>2210</v>
      </c>
      <c r="Y72" s="992">
        <f t="shared" si="107"/>
        <v>4</v>
      </c>
      <c r="Z72" s="913">
        <f t="shared" si="108"/>
        <v>4</v>
      </c>
      <c r="AA72" s="978">
        <f>IF(Z72/Y72&gt;=100%,100%,Z72/Y72)</f>
        <v>1</v>
      </c>
      <c r="AB72" s="1049">
        <v>0.7</v>
      </c>
      <c r="AC72" s="1049">
        <v>0</v>
      </c>
      <c r="AD72" s="930">
        <v>0</v>
      </c>
      <c r="AE72" s="1050">
        <v>0.7</v>
      </c>
      <c r="AF72" s="1050">
        <v>0.7</v>
      </c>
      <c r="AG72" s="1052">
        <v>350000000</v>
      </c>
      <c r="AH72" s="1052" t="s">
        <v>2095</v>
      </c>
      <c r="AI72" s="1051">
        <v>0</v>
      </c>
      <c r="AJ72" s="1051">
        <v>399556712</v>
      </c>
      <c r="AK72" s="1051">
        <v>350000000</v>
      </c>
      <c r="AL72" s="982">
        <f t="shared" si="20"/>
        <v>1</v>
      </c>
      <c r="AM72" s="1052" t="s">
        <v>2095</v>
      </c>
      <c r="AN72" s="1051">
        <v>0</v>
      </c>
      <c r="AO72" s="1051">
        <v>397014419</v>
      </c>
      <c r="AP72" s="1051">
        <v>328926000</v>
      </c>
      <c r="AQ72" s="983">
        <f t="shared" si="21"/>
        <v>0.93978857142857142</v>
      </c>
      <c r="AR72" s="915">
        <f t="shared" si="109"/>
        <v>2542293</v>
      </c>
      <c r="AS72" s="1052" t="s">
        <v>2095</v>
      </c>
      <c r="AT72" s="915">
        <v>0</v>
      </c>
      <c r="AU72" s="1052"/>
      <c r="AV72" s="1052"/>
      <c r="AW72" s="1052">
        <v>2542293</v>
      </c>
      <c r="AX72" s="1052">
        <v>2351050</v>
      </c>
      <c r="AY72" s="984">
        <f t="shared" ref="AY72:AY135" si="110">+AX72/AW72</f>
        <v>0.92477538977608009</v>
      </c>
      <c r="AZ72" s="1028">
        <v>750000000</v>
      </c>
      <c r="BA72" s="957">
        <f t="shared" si="22"/>
        <v>749556712</v>
      </c>
      <c r="BB72" s="930">
        <f t="shared" si="9"/>
        <v>0.99940894933333335</v>
      </c>
      <c r="BC72" s="986">
        <f t="shared" si="23"/>
        <v>728291469</v>
      </c>
      <c r="BD72" s="930">
        <f t="shared" si="24"/>
        <v>0.97105529199999996</v>
      </c>
      <c r="BE72" s="987"/>
      <c r="BF72" s="987"/>
      <c r="BG72" s="910" t="s">
        <v>584</v>
      </c>
      <c r="BH72" s="1360"/>
      <c r="BI72" s="865" t="s">
        <v>2081</v>
      </c>
    </row>
    <row r="73" spans="1:61" s="865" customFormat="1" ht="48" customHeight="1">
      <c r="A73" s="893" t="s">
        <v>2213</v>
      </c>
      <c r="B73" s="894"/>
      <c r="C73" s="894"/>
      <c r="D73" s="895"/>
      <c r="E73" s="895"/>
      <c r="F73" s="895"/>
      <c r="G73" s="895"/>
      <c r="H73" s="895"/>
      <c r="I73" s="895"/>
      <c r="J73" s="895"/>
      <c r="K73" s="895"/>
      <c r="L73" s="895"/>
      <c r="M73" s="895"/>
      <c r="N73" s="895"/>
      <c r="O73" s="896">
        <f>+SUMPRODUCT(O74,AC74)</f>
        <v>0</v>
      </c>
      <c r="P73" s="896">
        <f t="shared" ref="P73:R73" si="111">+SUMPRODUCT(P74,AD74)</f>
        <v>0</v>
      </c>
      <c r="Q73" s="896">
        <f t="shared" si="111"/>
        <v>1</v>
      </c>
      <c r="R73" s="896">
        <f t="shared" si="111"/>
        <v>1</v>
      </c>
      <c r="S73" s="894"/>
      <c r="T73" s="894"/>
      <c r="U73" s="894"/>
      <c r="V73" s="894"/>
      <c r="W73" s="894"/>
      <c r="X73" s="894"/>
      <c r="Y73" s="897"/>
      <c r="Z73" s="897"/>
      <c r="AA73" s="896">
        <f>+SUMPRODUCT(AA74:AA74,AB74:AB74)</f>
        <v>1</v>
      </c>
      <c r="AB73" s="896">
        <v>0.4</v>
      </c>
      <c r="AC73" s="896">
        <v>0</v>
      </c>
      <c r="AD73" s="896">
        <v>0</v>
      </c>
      <c r="AE73" s="896">
        <v>0.4</v>
      </c>
      <c r="AF73" s="896">
        <v>0.4</v>
      </c>
      <c r="AG73" s="894">
        <f>+AG74</f>
        <v>1250000000</v>
      </c>
      <c r="AH73" s="894">
        <f>SUM(AH74:AH74)</f>
        <v>0</v>
      </c>
      <c r="AI73" s="894">
        <f>SUM(AI74:AI74)</f>
        <v>0</v>
      </c>
      <c r="AJ73" s="894">
        <f>SUM(AJ74:AJ74)</f>
        <v>649663517</v>
      </c>
      <c r="AK73" s="894">
        <f>+AK74</f>
        <v>1214000000</v>
      </c>
      <c r="AL73" s="900">
        <f t="shared" si="20"/>
        <v>0.97119999999999995</v>
      </c>
      <c r="AM73" s="894">
        <f>SUM(AM74:AM74)</f>
        <v>0</v>
      </c>
      <c r="AN73" s="894">
        <f>SUM(AN74:AN74)</f>
        <v>0</v>
      </c>
      <c r="AO73" s="894">
        <f>SUM(AO74:AO74)</f>
        <v>648648936</v>
      </c>
      <c r="AP73" s="894">
        <f>+AP74</f>
        <v>0</v>
      </c>
      <c r="AQ73" s="901">
        <f t="shared" si="21"/>
        <v>0</v>
      </c>
      <c r="AR73" s="902">
        <f t="shared" ref="AR73:AX73" si="112">SUM(AR74:AR74)</f>
        <v>1014581</v>
      </c>
      <c r="AS73" s="894">
        <f t="shared" si="112"/>
        <v>0</v>
      </c>
      <c r="AT73" s="894">
        <f t="shared" si="112"/>
        <v>0</v>
      </c>
      <c r="AU73" s="894">
        <f t="shared" si="112"/>
        <v>0</v>
      </c>
      <c r="AV73" s="894">
        <f t="shared" si="112"/>
        <v>0</v>
      </c>
      <c r="AW73" s="894">
        <f t="shared" si="112"/>
        <v>1014581</v>
      </c>
      <c r="AX73" s="894">
        <f t="shared" si="112"/>
        <v>541780</v>
      </c>
      <c r="AY73" s="903">
        <f t="shared" si="110"/>
        <v>0.53399383587904758</v>
      </c>
      <c r="AZ73" s="894">
        <f>SUM(AZ74:AZ74)</f>
        <v>1900000000</v>
      </c>
      <c r="BA73" s="894">
        <f t="shared" si="22"/>
        <v>1863663517</v>
      </c>
      <c r="BB73" s="896">
        <f t="shared" si="9"/>
        <v>0.98087553526315785</v>
      </c>
      <c r="BC73" s="962">
        <f t="shared" si="23"/>
        <v>649190716</v>
      </c>
      <c r="BD73" s="896">
        <f t="shared" si="24"/>
        <v>0.34167932421052633</v>
      </c>
      <c r="BE73" s="902"/>
      <c r="BF73" s="902"/>
      <c r="BG73" s="902"/>
      <c r="BH73" s="902"/>
      <c r="BI73" s="865" t="s">
        <v>2081</v>
      </c>
    </row>
    <row r="74" spans="1:61" s="865" customFormat="1" ht="47.4" customHeight="1">
      <c r="A74" s="1054" t="s">
        <v>2214</v>
      </c>
      <c r="B74" s="1055" t="s">
        <v>2215</v>
      </c>
      <c r="C74" s="937" t="s">
        <v>2086</v>
      </c>
      <c r="D74" s="990">
        <v>0</v>
      </c>
      <c r="E74" s="990">
        <v>0</v>
      </c>
      <c r="F74" s="990">
        <v>1</v>
      </c>
      <c r="G74" s="990">
        <v>2</v>
      </c>
      <c r="H74" s="906">
        <v>0</v>
      </c>
      <c r="I74" s="906" t="s">
        <v>1905</v>
      </c>
      <c r="J74" s="906">
        <v>0</v>
      </c>
      <c r="K74" s="906">
        <v>2</v>
      </c>
      <c r="L74" s="906"/>
      <c r="M74" s="906"/>
      <c r="N74" s="906">
        <v>1</v>
      </c>
      <c r="O74" s="908">
        <f>+IFERROR(IF((H74+L74)/D74&gt;=100%,100%,(H74+L74)/D74),0)</f>
        <v>0</v>
      </c>
      <c r="P74" s="978">
        <f>+IFERROR(IF((I74+M74)/E74&gt;=100%,100%,(I74+M74)/E74),0)</f>
        <v>0</v>
      </c>
      <c r="Q74" s="930">
        <f>+IFERROR(IF((J74+N74)/F74&gt;=100%,100%,(J74+N74)/F74),0)</f>
        <v>1</v>
      </c>
      <c r="R74" s="908">
        <f>+IFERROR(IF(K74/G74&gt;=100%,100%,K74/G74),0)</f>
        <v>1</v>
      </c>
      <c r="S74" s="910" t="s">
        <v>2723</v>
      </c>
      <c r="T74" s="931">
        <v>45291</v>
      </c>
      <c r="U74" s="941" t="s">
        <v>2092</v>
      </c>
      <c r="V74" s="942"/>
      <c r="W74" s="909" t="s">
        <v>2683</v>
      </c>
      <c r="X74" s="909" t="s">
        <v>2724</v>
      </c>
      <c r="Y74" s="913">
        <f t="shared" ref="Y74" si="113">SUM(D74:G74)</f>
        <v>3</v>
      </c>
      <c r="Z74" s="913">
        <f t="shared" ref="Z74" si="114">SUM(H74:N74)</f>
        <v>3</v>
      </c>
      <c r="AA74" s="914">
        <f>IF(Z74/Y74&gt;=100%,100%,Z74/Y74)</f>
        <v>1</v>
      </c>
      <c r="AB74" s="1056">
        <v>1</v>
      </c>
      <c r="AC74" s="1056">
        <v>0</v>
      </c>
      <c r="AD74" s="908">
        <v>0</v>
      </c>
      <c r="AE74" s="930">
        <v>1</v>
      </c>
      <c r="AF74" s="930">
        <v>1</v>
      </c>
      <c r="AG74" s="1041">
        <v>1250000000</v>
      </c>
      <c r="AH74" s="1052" t="s">
        <v>2095</v>
      </c>
      <c r="AI74" s="1052" t="s">
        <v>2095</v>
      </c>
      <c r="AJ74" s="1052">
        <v>649663517</v>
      </c>
      <c r="AK74" s="1051">
        <v>1214000000</v>
      </c>
      <c r="AL74" s="916">
        <f t="shared" si="20"/>
        <v>0.97119999999999995</v>
      </c>
      <c r="AM74" s="1052" t="s">
        <v>2095</v>
      </c>
      <c r="AN74" s="1052" t="s">
        <v>2095</v>
      </c>
      <c r="AO74" s="1052">
        <v>648648936</v>
      </c>
      <c r="AP74" s="1052">
        <v>0</v>
      </c>
      <c r="AQ74" s="1040">
        <f t="shared" si="21"/>
        <v>0</v>
      </c>
      <c r="AR74" s="915">
        <f t="shared" ref="AR74" si="115">+AJ74-AO74</f>
        <v>1014581</v>
      </c>
      <c r="AS74" s="1052" t="s">
        <v>2095</v>
      </c>
      <c r="AT74" s="915">
        <v>0</v>
      </c>
      <c r="AU74" s="1052"/>
      <c r="AV74" s="1052"/>
      <c r="AW74" s="1052">
        <v>1014581</v>
      </c>
      <c r="AX74" s="1052">
        <v>541780</v>
      </c>
      <c r="AY74" s="956">
        <f t="shared" si="110"/>
        <v>0.53399383587904758</v>
      </c>
      <c r="AZ74" s="1041">
        <v>1900000000</v>
      </c>
      <c r="BA74" s="957">
        <f t="shared" si="22"/>
        <v>1863663517</v>
      </c>
      <c r="BB74" s="930">
        <f t="shared" ref="BB74:BB138" si="116">+BA74/AZ74</f>
        <v>0.98087553526315785</v>
      </c>
      <c r="BC74" s="986">
        <f t="shared" si="23"/>
        <v>649190716</v>
      </c>
      <c r="BD74" s="930">
        <f t="shared" si="24"/>
        <v>0.34167932421052633</v>
      </c>
      <c r="BE74" s="926"/>
      <c r="BF74" s="926"/>
      <c r="BG74" s="910" t="s">
        <v>584</v>
      </c>
      <c r="BH74" s="1057" t="s">
        <v>2216</v>
      </c>
      <c r="BI74" s="865" t="s">
        <v>2081</v>
      </c>
    </row>
    <row r="75" spans="1:61" s="865" customFormat="1" ht="47.4" customHeight="1">
      <c r="A75" s="893" t="s">
        <v>2217</v>
      </c>
      <c r="B75" s="894"/>
      <c r="C75" s="894"/>
      <c r="D75" s="895"/>
      <c r="E75" s="895"/>
      <c r="F75" s="895"/>
      <c r="G75" s="895"/>
      <c r="H75" s="895"/>
      <c r="I75" s="895"/>
      <c r="J75" s="895"/>
      <c r="K75" s="895"/>
      <c r="L75" s="895"/>
      <c r="M75" s="895"/>
      <c r="N75" s="895"/>
      <c r="O75" s="896">
        <f>+SUMPRODUCT(O76:O77,AC76:AC77)</f>
        <v>0.8</v>
      </c>
      <c r="P75" s="896">
        <f t="shared" ref="P75:R75" si="117">+SUMPRODUCT(P76:P77,AD76:AD77)</f>
        <v>0</v>
      </c>
      <c r="Q75" s="896">
        <f t="shared" si="117"/>
        <v>1</v>
      </c>
      <c r="R75" s="896">
        <f t="shared" si="117"/>
        <v>1</v>
      </c>
      <c r="S75" s="894"/>
      <c r="T75" s="894"/>
      <c r="U75" s="1058"/>
      <c r="V75" s="1059"/>
      <c r="W75" s="894"/>
      <c r="X75" s="894"/>
      <c r="Y75" s="897"/>
      <c r="Z75" s="897"/>
      <c r="AA75" s="896">
        <f>+SUMPRODUCT(AA76:AA77,AB76:AB77)</f>
        <v>0.8666666666666667</v>
      </c>
      <c r="AB75" s="896">
        <v>0.3</v>
      </c>
      <c r="AC75" s="896">
        <v>1</v>
      </c>
      <c r="AD75" s="896">
        <v>0.7</v>
      </c>
      <c r="AE75" s="896">
        <v>0.3</v>
      </c>
      <c r="AF75" s="896">
        <v>0.3</v>
      </c>
      <c r="AG75" s="894">
        <f>+SUM(AG76:AG77)</f>
        <v>350000000</v>
      </c>
      <c r="AH75" s="894">
        <f>SUM(AH76:AH77)</f>
        <v>837503911</v>
      </c>
      <c r="AI75" s="894">
        <f>SUM(AI76:AI77)</f>
        <v>521972533.19999999</v>
      </c>
      <c r="AJ75" s="894">
        <f>SUM(AJ76:AJ77)</f>
        <v>99611316</v>
      </c>
      <c r="AK75" s="894">
        <f>+SUM(AK76:AK77)</f>
        <v>350000000</v>
      </c>
      <c r="AL75" s="900">
        <f t="shared" ref="AL75:AL139" si="118">+AK75/AG75</f>
        <v>1</v>
      </c>
      <c r="AM75" s="894">
        <f>SUM(AM76:AM77)</f>
        <v>815040611</v>
      </c>
      <c r="AN75" s="894">
        <f>SUM(AN76:AN77)</f>
        <v>265566881</v>
      </c>
      <c r="AO75" s="894">
        <f>SUM(AO76:AO77)</f>
        <v>97397324</v>
      </c>
      <c r="AP75" s="894">
        <f>+SUM(AP76:AP77)</f>
        <v>350000000</v>
      </c>
      <c r="AQ75" s="901">
        <f t="shared" ref="AQ75:AQ139" si="119">+AP75/AG75</f>
        <v>1</v>
      </c>
      <c r="AR75" s="902">
        <f t="shared" ref="AR75:AX75" si="120">SUM(AR76:AR77)</f>
        <v>2213992</v>
      </c>
      <c r="AS75" s="894">
        <f t="shared" si="120"/>
        <v>22463300</v>
      </c>
      <c r="AT75" s="894">
        <f t="shared" si="120"/>
        <v>20152235</v>
      </c>
      <c r="AU75" s="894">
        <f t="shared" si="120"/>
        <v>256405652.19999999</v>
      </c>
      <c r="AV75" s="894">
        <f t="shared" si="120"/>
        <v>35763792</v>
      </c>
      <c r="AW75" s="894">
        <f t="shared" si="120"/>
        <v>2213992</v>
      </c>
      <c r="AX75" s="894">
        <f t="shared" si="120"/>
        <v>1249185</v>
      </c>
      <c r="AY75" s="903">
        <f t="shared" si="110"/>
        <v>0.56422290595449309</v>
      </c>
      <c r="AZ75" s="894">
        <f>SUM(AZ76:AZ77)</f>
        <v>1920028662</v>
      </c>
      <c r="BA75" s="894">
        <f t="shared" ref="BA75:BA139" si="121">SUM(AH75:AK75)</f>
        <v>1809087760.2</v>
      </c>
      <c r="BB75" s="901">
        <f t="shared" si="116"/>
        <v>0.94221914287235786</v>
      </c>
      <c r="BC75" s="962">
        <f t="shared" ref="BC75:BC139" si="122">SUM(AM75:AP75)+AT75+AV75+AX75</f>
        <v>1585170028</v>
      </c>
      <c r="BD75" s="896">
        <f t="shared" ref="BD75:BD139" si="123">+BC75/AZ75</f>
        <v>0.82559706496714791</v>
      </c>
      <c r="BE75" s="902"/>
      <c r="BF75" s="902"/>
      <c r="BG75" s="902"/>
      <c r="BH75" s="902"/>
      <c r="BI75" s="865" t="s">
        <v>2081</v>
      </c>
    </row>
    <row r="76" spans="1:61" s="865" customFormat="1" ht="47.4" customHeight="1">
      <c r="A76" s="1060" t="s">
        <v>2218</v>
      </c>
      <c r="B76" s="1061" t="s">
        <v>2219</v>
      </c>
      <c r="C76" s="937" t="s">
        <v>2086</v>
      </c>
      <c r="D76" s="990">
        <v>2</v>
      </c>
      <c r="E76" s="990">
        <v>0</v>
      </c>
      <c r="F76" s="990">
        <v>0</v>
      </c>
      <c r="G76" s="990">
        <v>2</v>
      </c>
      <c r="H76" s="906">
        <v>2</v>
      </c>
      <c r="I76" s="906" t="s">
        <v>1905</v>
      </c>
      <c r="J76" s="906">
        <v>0</v>
      </c>
      <c r="K76" s="906">
        <v>2</v>
      </c>
      <c r="L76" s="906"/>
      <c r="M76" s="906"/>
      <c r="N76" s="906"/>
      <c r="O76" s="908">
        <f t="shared" ref="O76:Q77" si="124">+IFERROR(IF((H76+L76)/D76&gt;=100%,100%,(H76+L76)/D76),0)</f>
        <v>1</v>
      </c>
      <c r="P76" s="978">
        <f t="shared" si="124"/>
        <v>0</v>
      </c>
      <c r="Q76" s="908">
        <f t="shared" si="124"/>
        <v>0</v>
      </c>
      <c r="R76" s="908">
        <f t="shared" ref="R76:R77" si="125">+IFERROR(IF(K76/G76&gt;=100%,100%,K76/G76),0)</f>
        <v>1</v>
      </c>
      <c r="S76" s="910" t="s">
        <v>2725</v>
      </c>
      <c r="T76" s="931">
        <v>45291</v>
      </c>
      <c r="U76" s="941" t="s">
        <v>2092</v>
      </c>
      <c r="V76" s="942"/>
      <c r="W76" s="909" t="s">
        <v>2683</v>
      </c>
      <c r="X76" s="909" t="s">
        <v>2210</v>
      </c>
      <c r="Y76" s="992">
        <f t="shared" ref="Y76:Y77" si="126">SUM(D76:G76)</f>
        <v>4</v>
      </c>
      <c r="Z76" s="913">
        <f t="shared" ref="Z76:Z77" si="127">SUM(H76:N76)</f>
        <v>4</v>
      </c>
      <c r="AA76" s="978">
        <f t="shared" ref="AA76:AA77" si="128">IF(Z76/Y76&gt;=100%,100%,Z76/Y76)</f>
        <v>1</v>
      </c>
      <c r="AB76" s="1049">
        <v>0.8</v>
      </c>
      <c r="AC76" s="1049">
        <v>0.8</v>
      </c>
      <c r="AD76" s="930">
        <v>0</v>
      </c>
      <c r="AE76" s="908">
        <v>0</v>
      </c>
      <c r="AF76" s="908">
        <v>1</v>
      </c>
      <c r="AG76" s="1028">
        <v>350000000</v>
      </c>
      <c r="AH76" s="1028">
        <f>450000000+387503911</f>
        <v>837503911</v>
      </c>
      <c r="AI76" s="1028">
        <v>0</v>
      </c>
      <c r="AJ76" s="1028">
        <v>0</v>
      </c>
      <c r="AK76" s="1028">
        <v>350000000</v>
      </c>
      <c r="AL76" s="982">
        <f t="shared" si="118"/>
        <v>1</v>
      </c>
      <c r="AM76" s="1028">
        <v>815040611</v>
      </c>
      <c r="AN76" s="1028">
        <v>0</v>
      </c>
      <c r="AO76" s="1028"/>
      <c r="AP76" s="1028">
        <v>350000000</v>
      </c>
      <c r="AQ76" s="983">
        <f t="shared" si="119"/>
        <v>1</v>
      </c>
      <c r="AR76" s="915">
        <f t="shared" ref="AR76:AR77" si="129">+AJ76-AO76</f>
        <v>0</v>
      </c>
      <c r="AS76" s="1028">
        <v>22463300</v>
      </c>
      <c r="AT76" s="1028">
        <v>20152235</v>
      </c>
      <c r="AU76" s="1028"/>
      <c r="AV76" s="1028"/>
      <c r="AW76" s="1028"/>
      <c r="AX76" s="1028"/>
      <c r="AY76" s="984" t="e">
        <f t="shared" si="110"/>
        <v>#DIV/0!</v>
      </c>
      <c r="AZ76" s="921">
        <v>1196153089</v>
      </c>
      <c r="BA76" s="957">
        <f t="shared" si="121"/>
        <v>1187503911</v>
      </c>
      <c r="BB76" s="983">
        <f t="shared" si="116"/>
        <v>0.99276917137150833</v>
      </c>
      <c r="BC76" s="986">
        <f t="shared" si="122"/>
        <v>1185192846</v>
      </c>
      <c r="BD76" s="930">
        <f t="shared" si="123"/>
        <v>0.99083709008421084</v>
      </c>
      <c r="BE76" s="987"/>
      <c r="BF76" s="926"/>
      <c r="BG76" s="910" t="s">
        <v>584</v>
      </c>
      <c r="BH76" s="1062" t="s">
        <v>2211</v>
      </c>
      <c r="BI76" s="865" t="s">
        <v>2081</v>
      </c>
    </row>
    <row r="77" spans="1:61" s="865" customFormat="1" ht="81" customHeight="1">
      <c r="A77" s="1060" t="s">
        <v>2220</v>
      </c>
      <c r="B77" s="1061" t="s">
        <v>2221</v>
      </c>
      <c r="C77" s="937" t="s">
        <v>2086</v>
      </c>
      <c r="D77" s="1048">
        <v>1</v>
      </c>
      <c r="E77" s="1048">
        <v>1</v>
      </c>
      <c r="F77" s="1048">
        <v>1</v>
      </c>
      <c r="G77" s="1048">
        <v>0</v>
      </c>
      <c r="H77" s="906">
        <v>0</v>
      </c>
      <c r="I77" s="906">
        <v>0</v>
      </c>
      <c r="J77" s="906">
        <v>1</v>
      </c>
      <c r="K77" s="906"/>
      <c r="L77" s="906"/>
      <c r="M77" s="906"/>
      <c r="N77" s="906"/>
      <c r="O77" s="908">
        <f t="shared" si="124"/>
        <v>0</v>
      </c>
      <c r="P77" s="930">
        <f t="shared" si="124"/>
        <v>0</v>
      </c>
      <c r="Q77" s="930">
        <f t="shared" si="124"/>
        <v>1</v>
      </c>
      <c r="R77" s="908">
        <f t="shared" si="125"/>
        <v>0</v>
      </c>
      <c r="S77" s="909"/>
      <c r="T77" s="909"/>
      <c r="U77" s="941"/>
      <c r="V77" s="942"/>
      <c r="W77" s="909"/>
      <c r="X77" s="909"/>
      <c r="Y77" s="992">
        <f t="shared" si="126"/>
        <v>3</v>
      </c>
      <c r="Z77" s="913">
        <f t="shared" si="127"/>
        <v>1</v>
      </c>
      <c r="AA77" s="978">
        <f t="shared" si="128"/>
        <v>0.33333333333333331</v>
      </c>
      <c r="AB77" s="1049">
        <v>0.2</v>
      </c>
      <c r="AC77" s="1049">
        <v>0.2</v>
      </c>
      <c r="AD77" s="930">
        <v>1</v>
      </c>
      <c r="AE77" s="908">
        <v>1</v>
      </c>
      <c r="AF77" s="908">
        <v>0</v>
      </c>
      <c r="AG77" s="1063">
        <v>0</v>
      </c>
      <c r="AH77" s="1028">
        <v>0</v>
      </c>
      <c r="AI77" s="1028">
        <v>521972533.19999999</v>
      </c>
      <c r="AJ77" s="1028">
        <v>99611316</v>
      </c>
      <c r="AK77" s="1028"/>
      <c r="AL77" s="982" t="e">
        <f t="shared" si="118"/>
        <v>#DIV/0!</v>
      </c>
      <c r="AM77" s="1028">
        <v>0</v>
      </c>
      <c r="AN77" s="1028">
        <v>265566881</v>
      </c>
      <c r="AO77" s="1028">
        <v>97397324</v>
      </c>
      <c r="AP77" s="1028"/>
      <c r="AQ77" s="983" t="e">
        <f t="shared" si="119"/>
        <v>#DIV/0!</v>
      </c>
      <c r="AR77" s="915">
        <f t="shared" si="129"/>
        <v>2213992</v>
      </c>
      <c r="AS77" s="1028">
        <v>0</v>
      </c>
      <c r="AT77" s="1028">
        <v>0</v>
      </c>
      <c r="AU77" s="1028">
        <v>256405652.19999999</v>
      </c>
      <c r="AV77" s="1028">
        <v>35763792</v>
      </c>
      <c r="AW77" s="1028">
        <v>2213992</v>
      </c>
      <c r="AX77" s="1028">
        <v>1249185</v>
      </c>
      <c r="AY77" s="984">
        <f t="shared" si="110"/>
        <v>0.56422290595449309</v>
      </c>
      <c r="AZ77" s="921">
        <v>723875573</v>
      </c>
      <c r="BA77" s="957">
        <f t="shared" si="121"/>
        <v>621583849.20000005</v>
      </c>
      <c r="BB77" s="983">
        <f t="shared" si="116"/>
        <v>0.85868880286142779</v>
      </c>
      <c r="BC77" s="986">
        <f t="shared" si="122"/>
        <v>399977182</v>
      </c>
      <c r="BD77" s="930">
        <f t="shared" si="123"/>
        <v>0.55254963272534685</v>
      </c>
      <c r="BE77" s="987"/>
      <c r="BF77" s="926"/>
      <c r="BG77" s="910" t="s">
        <v>584</v>
      </c>
      <c r="BH77" s="1062" t="s">
        <v>2211</v>
      </c>
      <c r="BI77" s="865" t="s">
        <v>2081</v>
      </c>
    </row>
    <row r="78" spans="1:61" s="865" customFormat="1" ht="47.4" customHeight="1">
      <c r="A78" s="882" t="s">
        <v>2222</v>
      </c>
      <c r="B78" s="1064"/>
      <c r="C78" s="1064"/>
      <c r="D78" s="1065"/>
      <c r="E78" s="1065"/>
      <c r="F78" s="1065"/>
      <c r="G78" s="1065"/>
      <c r="H78" s="1065"/>
      <c r="I78" s="1065"/>
      <c r="J78" s="1065"/>
      <c r="K78" s="1065"/>
      <c r="L78" s="1065"/>
      <c r="M78" s="1065"/>
      <c r="N78" s="1065"/>
      <c r="O78" s="1066">
        <f>+(O79*AC79)+(O92*AC92)+(O97*AC97)</f>
        <v>0.84599999999999986</v>
      </c>
      <c r="P78" s="1066">
        <f>+(P79*AD79)+(P92*AD92)+(P97*AD97)</f>
        <v>0.85649999999999993</v>
      </c>
      <c r="Q78" s="1066">
        <f>+(Q79*AE79)+(Q92*AE92)+(Q97*AE97)</f>
        <v>0.91599999999999981</v>
      </c>
      <c r="R78" s="1066">
        <f>+(R79*AF79)+(R92*AF92)+(R97*AF97)</f>
        <v>0.88156000000000001</v>
      </c>
      <c r="S78" s="1064"/>
      <c r="T78" s="1064"/>
      <c r="U78" s="1064"/>
      <c r="V78" s="1064"/>
      <c r="W78" s="1064"/>
      <c r="X78" s="1064"/>
      <c r="Y78" s="1067"/>
      <c r="Z78" s="1067"/>
      <c r="AA78" s="1066">
        <f>+(AA79*AB79)+(AA92*AB92)+(AA97*AB97)</f>
        <v>0.89131701631701621</v>
      </c>
      <c r="AB78" s="885">
        <v>0.4</v>
      </c>
      <c r="AC78" s="885">
        <v>0.4</v>
      </c>
      <c r="AD78" s="885">
        <v>0.4</v>
      </c>
      <c r="AE78" s="885">
        <v>0.4</v>
      </c>
      <c r="AF78" s="885">
        <v>0.4</v>
      </c>
      <c r="AG78" s="883">
        <f>+AG79+AG92+AG97</f>
        <v>2218000000</v>
      </c>
      <c r="AH78" s="883">
        <f>+AH79+AH92+AH97</f>
        <v>213135000</v>
      </c>
      <c r="AI78" s="883">
        <f>+AI79+AI92+AI97</f>
        <v>2513740137</v>
      </c>
      <c r="AJ78" s="883">
        <f>+AJ79+AJ92+AJ97</f>
        <v>3138727280</v>
      </c>
      <c r="AK78" s="883">
        <f>+AK79+AK92+AK97</f>
        <v>2143365549</v>
      </c>
      <c r="AL78" s="888">
        <f t="shared" si="118"/>
        <v>0.96635056311992784</v>
      </c>
      <c r="AM78" s="883">
        <f>+AM79+AM92+AM97</f>
        <v>102200000</v>
      </c>
      <c r="AN78" s="883">
        <f>+AN79+AN92+AN97</f>
        <v>1959280320</v>
      </c>
      <c r="AO78" s="883">
        <f>+AO79+AO92+AO97</f>
        <v>3022454871</v>
      </c>
      <c r="AP78" s="883">
        <f>+AP79+AP92+AP97</f>
        <v>1571929376.6900001</v>
      </c>
      <c r="AQ78" s="890">
        <f t="shared" si="119"/>
        <v>0.70871477758791712</v>
      </c>
      <c r="AR78" s="883">
        <f t="shared" ref="AR78:AX78" si="130">+AR79+AR92+AR97</f>
        <v>116272409</v>
      </c>
      <c r="AS78" s="883">
        <f t="shared" si="130"/>
        <v>110935000</v>
      </c>
      <c r="AT78" s="883">
        <f t="shared" si="130"/>
        <v>110935000</v>
      </c>
      <c r="AU78" s="883">
        <f t="shared" si="130"/>
        <v>554459817</v>
      </c>
      <c r="AV78" s="883">
        <f t="shared" si="130"/>
        <v>552311447</v>
      </c>
      <c r="AW78" s="883">
        <f t="shared" si="130"/>
        <v>116272409</v>
      </c>
      <c r="AX78" s="883">
        <f t="shared" si="130"/>
        <v>111009490</v>
      </c>
      <c r="AY78" s="1068">
        <f t="shared" si="110"/>
        <v>0.95473630377779484</v>
      </c>
      <c r="AZ78" s="883">
        <f>+AZ79+AZ92+AZ97</f>
        <v>9272460427</v>
      </c>
      <c r="BA78" s="883">
        <f t="shared" si="121"/>
        <v>8008967966</v>
      </c>
      <c r="BB78" s="885">
        <f t="shared" si="116"/>
        <v>0.86373708780455927</v>
      </c>
      <c r="BC78" s="967">
        <f t="shared" si="122"/>
        <v>7430120504.6900005</v>
      </c>
      <c r="BD78" s="885">
        <f t="shared" si="123"/>
        <v>0.80131056510682053</v>
      </c>
      <c r="BE78" s="883"/>
      <c r="BF78" s="883" t="s">
        <v>1693</v>
      </c>
      <c r="BG78" s="883"/>
      <c r="BH78" s="883"/>
      <c r="BI78" s="865" t="s">
        <v>2081</v>
      </c>
    </row>
    <row r="79" spans="1:61" s="865" customFormat="1" ht="47.4" customHeight="1">
      <c r="A79" s="893" t="s">
        <v>2223</v>
      </c>
      <c r="B79" s="894"/>
      <c r="C79" s="894"/>
      <c r="D79" s="895"/>
      <c r="E79" s="895"/>
      <c r="F79" s="895"/>
      <c r="G79" s="895"/>
      <c r="H79" s="895"/>
      <c r="I79" s="895"/>
      <c r="J79" s="895"/>
      <c r="K79" s="895"/>
      <c r="L79" s="895"/>
      <c r="M79" s="895"/>
      <c r="N79" s="895"/>
      <c r="O79" s="896">
        <f>+SUMPRODUCT(O80:O91,AC80:AC91)</f>
        <v>0.78</v>
      </c>
      <c r="P79" s="896">
        <f>+SUMPRODUCT(P80:P91,AD80:AD91)</f>
        <v>0.79500000000000004</v>
      </c>
      <c r="Q79" s="896">
        <f>+SUMPRODUCT(Q80:Q91,AE80:AE91)</f>
        <v>0.87999999999999989</v>
      </c>
      <c r="R79" s="896">
        <f>+SUMPRODUCT(R80:R91,AF80:AF91)</f>
        <v>0.83079999999999998</v>
      </c>
      <c r="S79" s="894"/>
      <c r="T79" s="894"/>
      <c r="U79" s="894"/>
      <c r="V79" s="894"/>
      <c r="W79" s="894"/>
      <c r="X79" s="894"/>
      <c r="Y79" s="897"/>
      <c r="Z79" s="897"/>
      <c r="AA79" s="896">
        <f>+SUMPRODUCT(AA80:AA91,AB80:AB91)</f>
        <v>0.84473859473859469</v>
      </c>
      <c r="AB79" s="896">
        <v>0.7</v>
      </c>
      <c r="AC79" s="896">
        <v>0.7</v>
      </c>
      <c r="AD79" s="896">
        <v>0.7</v>
      </c>
      <c r="AE79" s="896">
        <v>0.7</v>
      </c>
      <c r="AF79" s="896">
        <v>0.7</v>
      </c>
      <c r="AG79" s="894">
        <f>SUM(AG80:AG91)</f>
        <v>1718000000</v>
      </c>
      <c r="AH79" s="894">
        <f>SUM(AH80:AH91)</f>
        <v>124485000</v>
      </c>
      <c r="AI79" s="894">
        <f>SUM(AI80:AI91)</f>
        <v>1702980006</v>
      </c>
      <c r="AJ79" s="894">
        <f>SUM(AJ80:AJ91)</f>
        <v>2714064642</v>
      </c>
      <c r="AK79" s="894">
        <f>SUM(AK80:AK91)</f>
        <v>1643385187</v>
      </c>
      <c r="AL79" s="900">
        <f t="shared" si="118"/>
        <v>0.95656879336437717</v>
      </c>
      <c r="AM79" s="894">
        <f>SUM(AM80:AM91)</f>
        <v>31500000</v>
      </c>
      <c r="AN79" s="894">
        <f>SUM(AN80:AN91)</f>
        <v>1488878058</v>
      </c>
      <c r="AO79" s="894">
        <f>SUM(AO80:AO91)</f>
        <v>2603319345</v>
      </c>
      <c r="AP79" s="894">
        <f>SUM(AP80:AP91)</f>
        <v>1086006008.6900001</v>
      </c>
      <c r="AQ79" s="901">
        <f t="shared" si="119"/>
        <v>0.63213388165890572</v>
      </c>
      <c r="AR79" s="902">
        <f t="shared" ref="AR79:AX79" si="131">SUM(AR80:AR91)</f>
        <v>110745297</v>
      </c>
      <c r="AS79" s="894">
        <f t="shared" si="131"/>
        <v>92985000</v>
      </c>
      <c r="AT79" s="894">
        <f t="shared" si="131"/>
        <v>92985000</v>
      </c>
      <c r="AU79" s="894">
        <f t="shared" si="131"/>
        <v>214101948</v>
      </c>
      <c r="AV79" s="894">
        <f t="shared" si="131"/>
        <v>213186143</v>
      </c>
      <c r="AW79" s="894">
        <f t="shared" si="131"/>
        <v>110745297</v>
      </c>
      <c r="AX79" s="894">
        <f t="shared" si="131"/>
        <v>107066195</v>
      </c>
      <c r="AY79" s="903">
        <f t="shared" si="110"/>
        <v>0.96677870663889232</v>
      </c>
      <c r="AZ79" s="894">
        <f>SUM(AZ80:AZ91)</f>
        <v>7417460427</v>
      </c>
      <c r="BA79" s="894">
        <f t="shared" si="121"/>
        <v>6184914835</v>
      </c>
      <c r="BB79" s="896">
        <f t="shared" si="116"/>
        <v>0.83383186143960264</v>
      </c>
      <c r="BC79" s="962">
        <f t="shared" si="122"/>
        <v>5622940749.6900005</v>
      </c>
      <c r="BD79" s="896">
        <f t="shared" si="123"/>
        <v>0.75806818317791891</v>
      </c>
      <c r="BE79" s="902"/>
      <c r="BF79" s="902"/>
      <c r="BG79" s="902"/>
      <c r="BH79" s="902"/>
      <c r="BI79" s="865" t="s">
        <v>2081</v>
      </c>
    </row>
    <row r="80" spans="1:61" s="865" customFormat="1" ht="167.25" customHeight="1">
      <c r="A80" s="1069" t="s">
        <v>2224</v>
      </c>
      <c r="B80" s="1070" t="s">
        <v>2225</v>
      </c>
      <c r="C80" s="937" t="s">
        <v>2086</v>
      </c>
      <c r="D80" s="1023">
        <v>1</v>
      </c>
      <c r="E80" s="1023">
        <v>2</v>
      </c>
      <c r="F80" s="1023">
        <v>0</v>
      </c>
      <c r="G80" s="1023">
        <v>0</v>
      </c>
      <c r="H80" s="907">
        <v>0</v>
      </c>
      <c r="I80" s="907">
        <v>0</v>
      </c>
      <c r="J80" s="906">
        <v>0</v>
      </c>
      <c r="K80" s="906">
        <v>0</v>
      </c>
      <c r="L80" s="906">
        <v>1</v>
      </c>
      <c r="M80" s="906">
        <v>1</v>
      </c>
      <c r="N80" s="906"/>
      <c r="O80" s="908">
        <f t="shared" ref="O80:Q91" si="132">+IFERROR(IF((H80+L80)/D80&gt;=100%,100%,(H80+L80)/D80),0)</f>
        <v>1</v>
      </c>
      <c r="P80" s="908">
        <f t="shared" si="132"/>
        <v>0.5</v>
      </c>
      <c r="Q80" s="908">
        <f t="shared" si="132"/>
        <v>0</v>
      </c>
      <c r="R80" s="908">
        <v>0</v>
      </c>
      <c r="S80" s="1072"/>
      <c r="T80" s="909"/>
      <c r="U80" s="941"/>
      <c r="V80" s="942"/>
      <c r="W80" s="909"/>
      <c r="X80" s="909"/>
      <c r="Y80" s="992">
        <f t="shared" ref="Y80:Y91" si="133">SUM(D80:G80)</f>
        <v>3</v>
      </c>
      <c r="Z80" s="913">
        <f t="shared" ref="Z80:Z91" si="134">SUM(H80:N80)</f>
        <v>2</v>
      </c>
      <c r="AA80" s="978">
        <f>IF(Z80/Y80&gt;=100%,100%,Z80/Y80)</f>
        <v>0.66666666666666663</v>
      </c>
      <c r="AB80" s="953">
        <v>0.1</v>
      </c>
      <c r="AC80" s="953">
        <v>0.27</v>
      </c>
      <c r="AD80" s="930">
        <v>0.17</v>
      </c>
      <c r="AE80" s="908">
        <v>0</v>
      </c>
      <c r="AF80" s="908">
        <v>0</v>
      </c>
      <c r="AG80" s="1073">
        <v>0</v>
      </c>
      <c r="AH80" s="915">
        <v>80985000</v>
      </c>
      <c r="AI80" s="915">
        <v>541127629</v>
      </c>
      <c r="AJ80" s="915">
        <v>0</v>
      </c>
      <c r="AK80" s="915"/>
      <c r="AL80" s="982" t="e">
        <f t="shared" si="118"/>
        <v>#DIV/0!</v>
      </c>
      <c r="AM80" s="915">
        <v>31500000</v>
      </c>
      <c r="AN80" s="915">
        <v>533734832</v>
      </c>
      <c r="AO80" s="915"/>
      <c r="AP80" s="915"/>
      <c r="AQ80" s="983" t="e">
        <f t="shared" si="119"/>
        <v>#DIV/0!</v>
      </c>
      <c r="AR80" s="915">
        <f t="shared" ref="AR80:AR91" si="135">+AJ80-AO80</f>
        <v>0</v>
      </c>
      <c r="AS80" s="915">
        <v>49485000</v>
      </c>
      <c r="AT80" s="915">
        <v>49485000</v>
      </c>
      <c r="AU80" s="915">
        <v>7392797</v>
      </c>
      <c r="AV80" s="915">
        <v>7129592</v>
      </c>
      <c r="AW80" s="915"/>
      <c r="AX80" s="915"/>
      <c r="AY80" s="984" t="e">
        <f t="shared" si="110"/>
        <v>#DIV/0!</v>
      </c>
      <c r="AZ80" s="1028">
        <v>870000000</v>
      </c>
      <c r="BA80" s="957">
        <f t="shared" si="121"/>
        <v>622112629</v>
      </c>
      <c r="BB80" s="983">
        <f t="shared" si="116"/>
        <v>0.71507198735632183</v>
      </c>
      <c r="BC80" s="986">
        <f t="shared" si="122"/>
        <v>621849424</v>
      </c>
      <c r="BD80" s="930">
        <f t="shared" si="123"/>
        <v>0.71476945287356319</v>
      </c>
      <c r="BE80" s="987"/>
      <c r="BF80" s="987"/>
      <c r="BG80" s="909" t="s">
        <v>448</v>
      </c>
      <c r="BH80" s="1029" t="s">
        <v>2201</v>
      </c>
      <c r="BI80" s="865" t="s">
        <v>2081</v>
      </c>
    </row>
    <row r="81" spans="1:61" s="865" customFormat="1" ht="47.4" customHeight="1">
      <c r="A81" s="1069" t="s">
        <v>1915</v>
      </c>
      <c r="B81" s="1070" t="s">
        <v>2226</v>
      </c>
      <c r="C81" s="937" t="s">
        <v>2086</v>
      </c>
      <c r="D81" s="990">
        <v>0</v>
      </c>
      <c r="E81" s="990">
        <v>0</v>
      </c>
      <c r="F81" s="990">
        <v>1</v>
      </c>
      <c r="G81" s="990">
        <v>2</v>
      </c>
      <c r="H81" s="906">
        <v>0</v>
      </c>
      <c r="I81" s="906">
        <v>0</v>
      </c>
      <c r="J81" s="939">
        <v>1</v>
      </c>
      <c r="K81" s="939">
        <v>2</v>
      </c>
      <c r="L81" s="906"/>
      <c r="M81" s="906"/>
      <c r="N81" s="906"/>
      <c r="O81" s="930">
        <f t="shared" si="132"/>
        <v>0</v>
      </c>
      <c r="P81" s="978">
        <f t="shared" si="132"/>
        <v>0</v>
      </c>
      <c r="Q81" s="930">
        <f t="shared" si="132"/>
        <v>1</v>
      </c>
      <c r="R81" s="908">
        <f t="shared" ref="R81:R91" si="136">+IFERROR(IF(K81/G81&gt;=100%,100%,K81/G81),0)</f>
        <v>1</v>
      </c>
      <c r="S81" s="909" t="s">
        <v>2726</v>
      </c>
      <c r="T81" s="931">
        <v>45291</v>
      </c>
      <c r="U81" s="942" t="s">
        <v>2092</v>
      </c>
      <c r="V81" s="942"/>
      <c r="W81" s="909" t="s">
        <v>2683</v>
      </c>
      <c r="X81" s="933" t="s">
        <v>2198</v>
      </c>
      <c r="Y81" s="992">
        <f t="shared" si="133"/>
        <v>3</v>
      </c>
      <c r="Z81" s="913">
        <f t="shared" si="134"/>
        <v>3</v>
      </c>
      <c r="AA81" s="978">
        <f t="shared" ref="AA81:AA83" si="137">IF(Z81/Y81&gt;=100%,100%,Z81/Y81)</f>
        <v>1</v>
      </c>
      <c r="AB81" s="953">
        <v>0.13</v>
      </c>
      <c r="AC81" s="953">
        <v>0</v>
      </c>
      <c r="AD81" s="930">
        <v>0</v>
      </c>
      <c r="AE81" s="980">
        <v>0.16</v>
      </c>
      <c r="AF81" s="980">
        <v>0.22</v>
      </c>
      <c r="AG81" s="1074">
        <v>500000000</v>
      </c>
      <c r="AH81" s="915">
        <v>0</v>
      </c>
      <c r="AI81" s="915">
        <v>0</v>
      </c>
      <c r="AJ81" s="915">
        <v>349413380</v>
      </c>
      <c r="AK81" s="915">
        <v>495010937</v>
      </c>
      <c r="AL81" s="982">
        <f t="shared" si="118"/>
        <v>0.99002187399999997</v>
      </c>
      <c r="AM81" s="915">
        <v>0</v>
      </c>
      <c r="AN81" s="915">
        <v>0</v>
      </c>
      <c r="AO81" s="915">
        <v>346183084</v>
      </c>
      <c r="AP81" s="915">
        <v>472400614</v>
      </c>
      <c r="AQ81" s="983">
        <f t="shared" si="119"/>
        <v>0.94480122799999999</v>
      </c>
      <c r="AR81" s="915">
        <f t="shared" si="135"/>
        <v>3230296</v>
      </c>
      <c r="AS81" s="915">
        <v>0</v>
      </c>
      <c r="AT81" s="915">
        <v>0</v>
      </c>
      <c r="AU81" s="915"/>
      <c r="AV81" s="915"/>
      <c r="AW81" s="915">
        <v>3230296</v>
      </c>
      <c r="AX81" s="915">
        <v>3065118</v>
      </c>
      <c r="AY81" s="984">
        <f t="shared" si="110"/>
        <v>0.94886598627494201</v>
      </c>
      <c r="AZ81" s="1028">
        <v>850000000</v>
      </c>
      <c r="BA81" s="957">
        <f t="shared" si="121"/>
        <v>844424317</v>
      </c>
      <c r="BB81" s="930">
        <f t="shared" si="116"/>
        <v>0.99344037294117649</v>
      </c>
      <c r="BC81" s="986">
        <f t="shared" si="122"/>
        <v>821648816</v>
      </c>
      <c r="BD81" s="930">
        <f t="shared" si="123"/>
        <v>0.9666456658823529</v>
      </c>
      <c r="BE81" s="987"/>
      <c r="BF81" s="987"/>
      <c r="BG81" s="909" t="s">
        <v>448</v>
      </c>
      <c r="BH81" s="1029" t="s">
        <v>2201</v>
      </c>
      <c r="BI81" s="865" t="s">
        <v>2081</v>
      </c>
    </row>
    <row r="82" spans="1:61" s="865" customFormat="1" ht="47.4" customHeight="1">
      <c r="A82" s="1069" t="s">
        <v>1840</v>
      </c>
      <c r="B82" s="1070" t="s">
        <v>2227</v>
      </c>
      <c r="C82" s="937" t="s">
        <v>2086</v>
      </c>
      <c r="D82" s="990">
        <v>0.1</v>
      </c>
      <c r="E82" s="990">
        <v>0.1</v>
      </c>
      <c r="F82" s="990">
        <v>100</v>
      </c>
      <c r="G82" s="990">
        <v>100</v>
      </c>
      <c r="H82" s="990">
        <v>0.1</v>
      </c>
      <c r="I82" s="990">
        <v>0.1</v>
      </c>
      <c r="J82" s="906">
        <v>100</v>
      </c>
      <c r="K82" s="906">
        <v>56</v>
      </c>
      <c r="L82" s="906"/>
      <c r="M82" s="906">
        <v>0.1</v>
      </c>
      <c r="N82" s="906"/>
      <c r="O82" s="930">
        <f t="shared" si="132"/>
        <v>1</v>
      </c>
      <c r="P82" s="930">
        <f t="shared" si="132"/>
        <v>1</v>
      </c>
      <c r="Q82" s="930">
        <f t="shared" si="132"/>
        <v>1</v>
      </c>
      <c r="R82" s="908">
        <f t="shared" si="136"/>
        <v>0.56000000000000005</v>
      </c>
      <c r="S82" s="910" t="s">
        <v>2727</v>
      </c>
      <c r="T82" s="931">
        <v>45291</v>
      </c>
      <c r="U82" s="942" t="s">
        <v>2092</v>
      </c>
      <c r="V82" s="942"/>
      <c r="W82" s="909" t="s">
        <v>2683</v>
      </c>
      <c r="X82" s="933" t="s">
        <v>2198</v>
      </c>
      <c r="Y82" s="992">
        <f t="shared" si="133"/>
        <v>200.2</v>
      </c>
      <c r="Z82" s="913">
        <f t="shared" si="134"/>
        <v>156.29999999999998</v>
      </c>
      <c r="AA82" s="978">
        <f t="shared" si="137"/>
        <v>0.78071928071928065</v>
      </c>
      <c r="AB82" s="953">
        <v>0.1</v>
      </c>
      <c r="AC82" s="953">
        <v>0.26</v>
      </c>
      <c r="AD82" s="930">
        <v>0.17</v>
      </c>
      <c r="AE82" s="980">
        <v>0.13</v>
      </c>
      <c r="AF82" s="980">
        <v>0.18</v>
      </c>
      <c r="AG82" s="1075">
        <v>563000000</v>
      </c>
      <c r="AH82" s="994">
        <v>43500000</v>
      </c>
      <c r="AI82" s="915">
        <v>57995812</v>
      </c>
      <c r="AJ82" s="915">
        <v>425207843</v>
      </c>
      <c r="AK82" s="915">
        <v>493374250</v>
      </c>
      <c r="AL82" s="982">
        <f t="shared" si="118"/>
        <v>0.87633081705150973</v>
      </c>
      <c r="AM82" s="994">
        <v>0</v>
      </c>
      <c r="AN82" s="1075">
        <v>36224932</v>
      </c>
      <c r="AO82" s="1075">
        <v>422120093</v>
      </c>
      <c r="AP82" s="1075">
        <v>467731208.69</v>
      </c>
      <c r="AQ82" s="983">
        <f t="shared" si="119"/>
        <v>0.83078367440497336</v>
      </c>
      <c r="AR82" s="915">
        <f t="shared" si="135"/>
        <v>3087750</v>
      </c>
      <c r="AS82" s="915">
        <v>43500000</v>
      </c>
      <c r="AT82" s="915">
        <v>43500000</v>
      </c>
      <c r="AU82" s="915">
        <v>21770880</v>
      </c>
      <c r="AV82" s="915">
        <v>21715850</v>
      </c>
      <c r="AW82" s="915">
        <v>3087750</v>
      </c>
      <c r="AX82" s="915">
        <v>2769462</v>
      </c>
      <c r="AY82" s="984">
        <f t="shared" si="110"/>
        <v>0.89691911586106388</v>
      </c>
      <c r="AZ82" s="1007">
        <v>1130160427</v>
      </c>
      <c r="BA82" s="957">
        <f t="shared" si="121"/>
        <v>1020077905</v>
      </c>
      <c r="BB82" s="930">
        <f t="shared" si="116"/>
        <v>0.90259566750871556</v>
      </c>
      <c r="BC82" s="986">
        <f t="shared" si="122"/>
        <v>994061545.69000006</v>
      </c>
      <c r="BD82" s="930">
        <f t="shared" si="123"/>
        <v>0.87957560886176744</v>
      </c>
      <c r="BE82" s="987"/>
      <c r="BF82" s="987"/>
      <c r="BG82" s="909" t="s">
        <v>556</v>
      </c>
      <c r="BH82" s="1029" t="s">
        <v>2201</v>
      </c>
      <c r="BI82" s="865" t="s">
        <v>2081</v>
      </c>
    </row>
    <row r="83" spans="1:61" s="865" customFormat="1" ht="47.4" customHeight="1">
      <c r="A83" s="1069" t="s">
        <v>2228</v>
      </c>
      <c r="B83" s="1070" t="s">
        <v>2229</v>
      </c>
      <c r="C83" s="937" t="s">
        <v>2086</v>
      </c>
      <c r="D83" s="990">
        <v>0</v>
      </c>
      <c r="E83" s="990">
        <v>0</v>
      </c>
      <c r="F83" s="990">
        <v>50</v>
      </c>
      <c r="G83" s="1283">
        <v>86</v>
      </c>
      <c r="H83" s="906">
        <v>0</v>
      </c>
      <c r="I83" s="906">
        <v>0</v>
      </c>
      <c r="J83" s="906">
        <v>63</v>
      </c>
      <c r="K83" s="906">
        <v>86</v>
      </c>
      <c r="L83" s="906"/>
      <c r="M83" s="906"/>
      <c r="N83" s="906"/>
      <c r="O83" s="930">
        <f t="shared" si="132"/>
        <v>0</v>
      </c>
      <c r="P83" s="978">
        <f t="shared" si="132"/>
        <v>0</v>
      </c>
      <c r="Q83" s="930">
        <f t="shared" si="132"/>
        <v>1</v>
      </c>
      <c r="R83" s="908">
        <f t="shared" si="136"/>
        <v>1</v>
      </c>
      <c r="S83" s="909" t="s">
        <v>2230</v>
      </c>
      <c r="T83" s="931">
        <v>45291</v>
      </c>
      <c r="U83" s="932"/>
      <c r="V83" s="1076"/>
      <c r="W83" s="909"/>
      <c r="X83" s="1076"/>
      <c r="Y83" s="992">
        <f t="shared" si="133"/>
        <v>136</v>
      </c>
      <c r="Z83" s="913">
        <f t="shared" si="134"/>
        <v>149</v>
      </c>
      <c r="AA83" s="978">
        <f t="shared" si="137"/>
        <v>1</v>
      </c>
      <c r="AB83" s="953">
        <v>0.18</v>
      </c>
      <c r="AC83" s="953">
        <v>0</v>
      </c>
      <c r="AD83" s="930">
        <v>0</v>
      </c>
      <c r="AE83" s="980">
        <v>0.21</v>
      </c>
      <c r="AF83" s="980">
        <v>0.26</v>
      </c>
      <c r="AG83" s="1074">
        <v>5000000</v>
      </c>
      <c r="AH83" s="915">
        <v>0</v>
      </c>
      <c r="AI83" s="915">
        <v>0</v>
      </c>
      <c r="AJ83" s="915">
        <v>66525102</v>
      </c>
      <c r="AK83" s="915">
        <v>5000000</v>
      </c>
      <c r="AL83" s="982">
        <f t="shared" si="118"/>
        <v>1</v>
      </c>
      <c r="AM83" s="915">
        <v>0</v>
      </c>
      <c r="AN83" s="915">
        <v>0</v>
      </c>
      <c r="AO83" s="915">
        <v>63484848</v>
      </c>
      <c r="AP83" s="915">
        <v>5000000</v>
      </c>
      <c r="AQ83" s="983">
        <f t="shared" si="119"/>
        <v>1</v>
      </c>
      <c r="AR83" s="915">
        <f t="shared" si="135"/>
        <v>3040254</v>
      </c>
      <c r="AS83" s="915">
        <v>0</v>
      </c>
      <c r="AT83" s="915">
        <v>0</v>
      </c>
      <c r="AU83" s="915"/>
      <c r="AV83" s="915"/>
      <c r="AW83" s="915">
        <v>3040254</v>
      </c>
      <c r="AX83" s="915">
        <v>2531142</v>
      </c>
      <c r="AY83" s="984">
        <f t="shared" si="110"/>
        <v>0.83254293884655695</v>
      </c>
      <c r="AZ83" s="1028">
        <v>72300000</v>
      </c>
      <c r="BA83" s="957">
        <f t="shared" si="121"/>
        <v>71525102</v>
      </c>
      <c r="BB83" s="930">
        <f t="shared" si="116"/>
        <v>0.9892821853388658</v>
      </c>
      <c r="BC83" s="986">
        <f t="shared" si="122"/>
        <v>71015990</v>
      </c>
      <c r="BD83" s="930">
        <f t="shared" si="123"/>
        <v>0.98224052558782848</v>
      </c>
      <c r="BE83" s="987"/>
      <c r="BF83" s="987"/>
      <c r="BG83" s="909" t="s">
        <v>1701</v>
      </c>
      <c r="BH83" s="1029" t="s">
        <v>2231</v>
      </c>
      <c r="BI83" s="865" t="s">
        <v>2081</v>
      </c>
    </row>
    <row r="84" spans="1:61" s="865" customFormat="1" ht="47.4" customHeight="1">
      <c r="A84" s="1069" t="s">
        <v>2232</v>
      </c>
      <c r="B84" s="1070" t="s">
        <v>2233</v>
      </c>
      <c r="C84" s="937" t="s">
        <v>2086</v>
      </c>
      <c r="D84" s="990">
        <v>0</v>
      </c>
      <c r="E84" s="990">
        <v>0</v>
      </c>
      <c r="F84" s="990">
        <v>750</v>
      </c>
      <c r="G84" s="990">
        <v>750</v>
      </c>
      <c r="H84" s="906">
        <v>0</v>
      </c>
      <c r="I84" s="906">
        <v>0</v>
      </c>
      <c r="J84" s="906">
        <v>0</v>
      </c>
      <c r="K84" s="906">
        <v>0</v>
      </c>
      <c r="L84" s="906"/>
      <c r="M84" s="906"/>
      <c r="N84" s="906"/>
      <c r="O84" s="930">
        <f t="shared" si="132"/>
        <v>0</v>
      </c>
      <c r="P84" s="978">
        <f t="shared" si="132"/>
        <v>0</v>
      </c>
      <c r="Q84" s="930">
        <f t="shared" si="132"/>
        <v>0</v>
      </c>
      <c r="R84" s="908">
        <f t="shared" si="136"/>
        <v>0</v>
      </c>
      <c r="S84" s="909" t="s">
        <v>2728</v>
      </c>
      <c r="T84" s="931">
        <v>45291</v>
      </c>
      <c r="U84" s="942" t="s">
        <v>2092</v>
      </c>
      <c r="V84" s="942"/>
      <c r="W84" s="909" t="s">
        <v>2683</v>
      </c>
      <c r="X84" s="933" t="s">
        <v>2198</v>
      </c>
      <c r="Y84" s="992">
        <f t="shared" si="133"/>
        <v>1500</v>
      </c>
      <c r="Z84" s="913">
        <f t="shared" si="134"/>
        <v>0</v>
      </c>
      <c r="AA84" s="978">
        <f>IF(Z84/Y84&gt;=100%,100%,Z84/Y84)</f>
        <v>0</v>
      </c>
      <c r="AB84" s="953">
        <v>0.05</v>
      </c>
      <c r="AC84" s="953">
        <v>0</v>
      </c>
      <c r="AD84" s="930">
        <v>0</v>
      </c>
      <c r="AE84" s="980">
        <v>0.06</v>
      </c>
      <c r="AF84" s="980">
        <v>0.09</v>
      </c>
      <c r="AG84" s="1074">
        <v>300000000</v>
      </c>
      <c r="AH84" s="915">
        <v>0</v>
      </c>
      <c r="AI84" s="915">
        <v>0</v>
      </c>
      <c r="AJ84" s="915">
        <v>349613127</v>
      </c>
      <c r="AK84" s="915">
        <v>300000000</v>
      </c>
      <c r="AL84" s="982">
        <f t="shared" si="118"/>
        <v>1</v>
      </c>
      <c r="AM84" s="915">
        <v>0</v>
      </c>
      <c r="AN84" s="915">
        <v>0</v>
      </c>
      <c r="AO84" s="915">
        <v>347348899</v>
      </c>
      <c r="AP84" s="915">
        <v>106071163</v>
      </c>
      <c r="AQ84" s="983">
        <f t="shared" si="119"/>
        <v>0.35357054333333332</v>
      </c>
      <c r="AR84" s="915">
        <f t="shared" si="135"/>
        <v>2264228</v>
      </c>
      <c r="AS84" s="915">
        <v>0</v>
      </c>
      <c r="AT84" s="915">
        <v>0</v>
      </c>
      <c r="AU84" s="915"/>
      <c r="AV84" s="915"/>
      <c r="AW84" s="915">
        <v>2264228</v>
      </c>
      <c r="AX84" s="915">
        <v>2010050</v>
      </c>
      <c r="AY84" s="984">
        <f t="shared" si="110"/>
        <v>0.88774187051833997</v>
      </c>
      <c r="AZ84" s="1007">
        <v>650000000</v>
      </c>
      <c r="BA84" s="957">
        <f t="shared" si="121"/>
        <v>649613127</v>
      </c>
      <c r="BB84" s="930">
        <f t="shared" si="116"/>
        <v>0.99940481076923082</v>
      </c>
      <c r="BC84" s="986">
        <f t="shared" si="122"/>
        <v>455430112</v>
      </c>
      <c r="BD84" s="930">
        <f t="shared" si="123"/>
        <v>0.70066171076923078</v>
      </c>
      <c r="BE84" s="987"/>
      <c r="BF84" s="987"/>
      <c r="BG84" s="909" t="s">
        <v>347</v>
      </c>
      <c r="BH84" s="1029" t="s">
        <v>2231</v>
      </c>
    </row>
    <row r="85" spans="1:61" s="865" customFormat="1" ht="179.4">
      <c r="A85" s="1077" t="s">
        <v>2234</v>
      </c>
      <c r="B85" s="1070" t="s">
        <v>2235</v>
      </c>
      <c r="C85" s="937" t="s">
        <v>2086</v>
      </c>
      <c r="D85" s="1023">
        <v>0</v>
      </c>
      <c r="E85" s="1023">
        <v>0</v>
      </c>
      <c r="F85" s="1023">
        <v>0</v>
      </c>
      <c r="G85" s="1024">
        <v>1</v>
      </c>
      <c r="H85" s="907">
        <v>0</v>
      </c>
      <c r="I85" s="907">
        <v>0</v>
      </c>
      <c r="J85" s="906">
        <v>0</v>
      </c>
      <c r="K85" s="906">
        <v>1</v>
      </c>
      <c r="L85" s="907"/>
      <c r="M85" s="907"/>
      <c r="N85" s="907"/>
      <c r="O85" s="930">
        <f t="shared" si="132"/>
        <v>0</v>
      </c>
      <c r="P85" s="978">
        <f t="shared" si="132"/>
        <v>0</v>
      </c>
      <c r="Q85" s="930">
        <f t="shared" si="132"/>
        <v>0</v>
      </c>
      <c r="R85" s="908">
        <f t="shared" si="136"/>
        <v>1</v>
      </c>
      <c r="S85" s="909" t="s">
        <v>2729</v>
      </c>
      <c r="T85" s="931">
        <v>45291</v>
      </c>
      <c r="U85" s="942" t="s">
        <v>2092</v>
      </c>
      <c r="V85" s="942"/>
      <c r="W85" s="909" t="s">
        <v>2687</v>
      </c>
      <c r="X85" s="933" t="s">
        <v>2198</v>
      </c>
      <c r="Y85" s="992">
        <f t="shared" ref="Y85" si="138">SUM(D85:G85)</f>
        <v>1</v>
      </c>
      <c r="Z85" s="913">
        <f t="shared" si="134"/>
        <v>1</v>
      </c>
      <c r="AA85" s="978">
        <f>IF(Z85/Y85&gt;=100%,100%,Z85/Y85)</f>
        <v>1</v>
      </c>
      <c r="AB85" s="953">
        <v>0.05</v>
      </c>
      <c r="AC85" s="953">
        <v>0</v>
      </c>
      <c r="AD85" s="930">
        <v>0</v>
      </c>
      <c r="AE85" s="980">
        <v>0.06</v>
      </c>
      <c r="AF85" s="980">
        <v>0.09</v>
      </c>
      <c r="AG85" s="1074">
        <v>0</v>
      </c>
      <c r="AH85" s="915">
        <v>0</v>
      </c>
      <c r="AI85" s="915">
        <v>0</v>
      </c>
      <c r="AJ85" s="915">
        <v>0</v>
      </c>
      <c r="AK85" s="915">
        <v>0</v>
      </c>
      <c r="AL85" s="982" t="e">
        <f t="shared" si="118"/>
        <v>#DIV/0!</v>
      </c>
      <c r="AM85" s="915">
        <v>0</v>
      </c>
      <c r="AN85" s="915">
        <v>0</v>
      </c>
      <c r="AO85" s="915">
        <v>0</v>
      </c>
      <c r="AP85" s="915">
        <v>0</v>
      </c>
      <c r="AQ85" s="983">
        <v>0</v>
      </c>
      <c r="AR85" s="915">
        <f t="shared" si="135"/>
        <v>0</v>
      </c>
      <c r="AS85" s="915">
        <v>0</v>
      </c>
      <c r="AT85" s="915">
        <v>0</v>
      </c>
      <c r="AU85" s="915"/>
      <c r="AV85" s="915"/>
      <c r="AW85" s="915"/>
      <c r="AX85" s="915"/>
      <c r="AY85" s="984" t="e">
        <f t="shared" si="110"/>
        <v>#DIV/0!</v>
      </c>
      <c r="AZ85" s="1007">
        <v>0</v>
      </c>
      <c r="BA85" s="957">
        <f t="shared" ref="BA85" si="139">SUM(AH85:AK85)</f>
        <v>0</v>
      </c>
      <c r="BB85" s="930">
        <v>0</v>
      </c>
      <c r="BC85" s="986">
        <f t="shared" ref="BC85" si="140">SUM(AM85:AP85)+AT85+AV85+AX85</f>
        <v>0</v>
      </c>
      <c r="BD85" s="930">
        <v>0</v>
      </c>
      <c r="BE85" s="987"/>
      <c r="BF85" s="987"/>
      <c r="BG85" s="909" t="s">
        <v>347</v>
      </c>
      <c r="BH85" s="1029" t="s">
        <v>2231</v>
      </c>
    </row>
    <row r="86" spans="1:61" s="865" customFormat="1" ht="47.4" customHeight="1">
      <c r="A86" s="1069" t="s">
        <v>1914</v>
      </c>
      <c r="B86" s="1070" t="s">
        <v>2236</v>
      </c>
      <c r="C86" s="937" t="s">
        <v>2086</v>
      </c>
      <c r="D86" s="990">
        <v>0</v>
      </c>
      <c r="E86" s="990">
        <v>0</v>
      </c>
      <c r="F86" s="990">
        <v>2</v>
      </c>
      <c r="G86" s="990">
        <v>2</v>
      </c>
      <c r="H86" s="906">
        <v>0</v>
      </c>
      <c r="I86" s="906">
        <v>0</v>
      </c>
      <c r="J86" s="906">
        <v>2</v>
      </c>
      <c r="K86" s="906">
        <v>2</v>
      </c>
      <c r="L86" s="906"/>
      <c r="M86" s="906"/>
      <c r="N86" s="906"/>
      <c r="O86" s="930">
        <f t="shared" si="132"/>
        <v>0</v>
      </c>
      <c r="P86" s="978">
        <f t="shared" si="132"/>
        <v>0</v>
      </c>
      <c r="Q86" s="930">
        <f t="shared" si="132"/>
        <v>1</v>
      </c>
      <c r="R86" s="908">
        <f t="shared" si="136"/>
        <v>1</v>
      </c>
      <c r="S86" s="909" t="s">
        <v>2730</v>
      </c>
      <c r="T86" s="931">
        <v>45291</v>
      </c>
      <c r="U86" s="942" t="s">
        <v>2092</v>
      </c>
      <c r="V86" s="942"/>
      <c r="W86" s="909" t="s">
        <v>2683</v>
      </c>
      <c r="X86" s="933" t="s">
        <v>2198</v>
      </c>
      <c r="Y86" s="992">
        <f t="shared" si="133"/>
        <v>4</v>
      </c>
      <c r="Z86" s="913">
        <f t="shared" si="134"/>
        <v>4</v>
      </c>
      <c r="AA86" s="978">
        <f t="shared" ref="AA86:AA87" si="141">IF(Z86/Y86&gt;=100%,100%,Z86/Y86)</f>
        <v>1</v>
      </c>
      <c r="AB86" s="953">
        <v>0.08</v>
      </c>
      <c r="AC86" s="953">
        <v>0</v>
      </c>
      <c r="AD86" s="930">
        <v>0</v>
      </c>
      <c r="AE86" s="980">
        <v>0.12</v>
      </c>
      <c r="AF86" s="980">
        <v>0.16</v>
      </c>
      <c r="AG86" s="1074">
        <v>350000000</v>
      </c>
      <c r="AH86" s="915">
        <v>0</v>
      </c>
      <c r="AI86" s="915">
        <v>0</v>
      </c>
      <c r="AJ86" s="915">
        <v>349613127</v>
      </c>
      <c r="AK86" s="915">
        <v>350000000</v>
      </c>
      <c r="AL86" s="982">
        <f t="shared" si="118"/>
        <v>1</v>
      </c>
      <c r="AM86" s="915">
        <v>0</v>
      </c>
      <c r="AN86" s="915">
        <v>0</v>
      </c>
      <c r="AO86" s="915">
        <v>347050299</v>
      </c>
      <c r="AP86" s="915">
        <v>34803023</v>
      </c>
      <c r="AQ86" s="983">
        <f t="shared" si="119"/>
        <v>9.943720857142857E-2</v>
      </c>
      <c r="AR86" s="915">
        <f t="shared" si="135"/>
        <v>2562828</v>
      </c>
      <c r="AS86" s="915">
        <v>0</v>
      </c>
      <c r="AT86" s="915">
        <v>0</v>
      </c>
      <c r="AU86" s="915"/>
      <c r="AV86" s="915"/>
      <c r="AW86" s="915">
        <v>2562828</v>
      </c>
      <c r="AX86" s="915">
        <v>2308650</v>
      </c>
      <c r="AY86" s="984">
        <f t="shared" si="110"/>
        <v>0.90082128024198271</v>
      </c>
      <c r="AZ86" s="1007">
        <v>700000000</v>
      </c>
      <c r="BA86" s="957">
        <f t="shared" si="121"/>
        <v>699613127</v>
      </c>
      <c r="BB86" s="930">
        <f t="shared" si="116"/>
        <v>0.99944732428571426</v>
      </c>
      <c r="BC86" s="986">
        <f t="shared" si="122"/>
        <v>384161972</v>
      </c>
      <c r="BD86" s="930">
        <f t="shared" si="123"/>
        <v>0.54880281714285717</v>
      </c>
      <c r="BE86" s="987"/>
      <c r="BF86" s="987"/>
      <c r="BG86" s="909" t="s">
        <v>448</v>
      </c>
      <c r="BH86" s="1361" t="s">
        <v>2201</v>
      </c>
      <c r="BI86" s="865" t="s">
        <v>2081</v>
      </c>
    </row>
    <row r="87" spans="1:61" s="865" customFormat="1" ht="87" customHeight="1">
      <c r="A87" s="1069" t="s">
        <v>1833</v>
      </c>
      <c r="B87" s="1070" t="s">
        <v>2237</v>
      </c>
      <c r="C87" s="937" t="s">
        <v>2086</v>
      </c>
      <c r="D87" s="1023">
        <v>0</v>
      </c>
      <c r="E87" s="1023">
        <v>2</v>
      </c>
      <c r="F87" s="1023">
        <v>2</v>
      </c>
      <c r="G87" s="1023">
        <v>0</v>
      </c>
      <c r="H87" s="907">
        <v>0</v>
      </c>
      <c r="I87" s="907">
        <v>2</v>
      </c>
      <c r="J87" s="906">
        <v>2</v>
      </c>
      <c r="K87" s="906"/>
      <c r="L87" s="907"/>
      <c r="M87" s="907"/>
      <c r="N87" s="907"/>
      <c r="O87" s="930">
        <f t="shared" si="132"/>
        <v>0</v>
      </c>
      <c r="P87" s="930">
        <f t="shared" si="132"/>
        <v>1</v>
      </c>
      <c r="Q87" s="930">
        <f t="shared" si="132"/>
        <v>1</v>
      </c>
      <c r="R87" s="908">
        <f t="shared" si="136"/>
        <v>0</v>
      </c>
      <c r="S87" s="909"/>
      <c r="T87" s="909"/>
      <c r="U87" s="942"/>
      <c r="V87" s="942"/>
      <c r="W87" s="909"/>
      <c r="X87" s="905"/>
      <c r="Y87" s="992">
        <f t="shared" si="133"/>
        <v>4</v>
      </c>
      <c r="Z87" s="913">
        <f t="shared" si="134"/>
        <v>4</v>
      </c>
      <c r="AA87" s="978">
        <f t="shared" si="141"/>
        <v>1</v>
      </c>
      <c r="AB87" s="953">
        <v>0.08</v>
      </c>
      <c r="AC87" s="953">
        <v>0</v>
      </c>
      <c r="AD87" s="930">
        <v>0.15</v>
      </c>
      <c r="AE87" s="980">
        <v>0.11</v>
      </c>
      <c r="AF87" s="908">
        <v>0</v>
      </c>
      <c r="AG87" s="1073">
        <v>0</v>
      </c>
      <c r="AH87" s="915">
        <v>0</v>
      </c>
      <c r="AI87" s="915">
        <v>295651488</v>
      </c>
      <c r="AJ87" s="915">
        <v>299660398</v>
      </c>
      <c r="AK87" s="915">
        <v>0</v>
      </c>
      <c r="AL87" s="982" t="e">
        <f t="shared" si="118"/>
        <v>#DIV/0!</v>
      </c>
      <c r="AM87" s="915">
        <v>0</v>
      </c>
      <c r="AN87" s="915">
        <v>163351145</v>
      </c>
      <c r="AO87" s="915">
        <v>297396474</v>
      </c>
      <c r="AP87" s="915"/>
      <c r="AQ87" s="983" t="e">
        <f t="shared" si="119"/>
        <v>#DIV/0!</v>
      </c>
      <c r="AR87" s="915">
        <f t="shared" si="135"/>
        <v>2263924</v>
      </c>
      <c r="AS87" s="915">
        <v>0</v>
      </c>
      <c r="AT87" s="915">
        <v>0</v>
      </c>
      <c r="AU87" s="915">
        <v>132300343</v>
      </c>
      <c r="AV87" s="915">
        <v>132171341</v>
      </c>
      <c r="AW87" s="915">
        <v>2263924</v>
      </c>
      <c r="AX87" s="915">
        <v>1957201</v>
      </c>
      <c r="AY87" s="984">
        <f t="shared" si="110"/>
        <v>0.86451709509683183</v>
      </c>
      <c r="AZ87" s="1028">
        <v>600000000</v>
      </c>
      <c r="BA87" s="957">
        <f t="shared" si="121"/>
        <v>595311886</v>
      </c>
      <c r="BB87" s="930">
        <f t="shared" si="116"/>
        <v>0.99218647666666671</v>
      </c>
      <c r="BC87" s="986">
        <f t="shared" si="122"/>
        <v>594876161</v>
      </c>
      <c r="BD87" s="930">
        <f t="shared" si="123"/>
        <v>0.99146026833333334</v>
      </c>
      <c r="BE87" s="987"/>
      <c r="BF87" s="987"/>
      <c r="BG87" s="909" t="s">
        <v>448</v>
      </c>
      <c r="BH87" s="1361"/>
      <c r="BI87" s="865" t="s">
        <v>2081</v>
      </c>
    </row>
    <row r="88" spans="1:61" s="865" customFormat="1" ht="117" customHeight="1">
      <c r="A88" s="1069" t="s">
        <v>2238</v>
      </c>
      <c r="B88" s="1070" t="s">
        <v>2239</v>
      </c>
      <c r="C88" s="937" t="s">
        <v>2086</v>
      </c>
      <c r="D88" s="1023">
        <v>2</v>
      </c>
      <c r="E88" s="1023">
        <v>2</v>
      </c>
      <c r="F88" s="1023">
        <v>0</v>
      </c>
      <c r="G88" s="1023">
        <v>0</v>
      </c>
      <c r="H88" s="907">
        <v>1</v>
      </c>
      <c r="I88" s="907">
        <v>2</v>
      </c>
      <c r="J88" s="906">
        <v>0</v>
      </c>
      <c r="K88" s="906"/>
      <c r="L88" s="906">
        <v>1</v>
      </c>
      <c r="M88" s="907"/>
      <c r="N88" s="907"/>
      <c r="O88" s="930">
        <f t="shared" si="132"/>
        <v>1</v>
      </c>
      <c r="P88" s="930">
        <f t="shared" si="132"/>
        <v>1</v>
      </c>
      <c r="Q88" s="908">
        <f t="shared" si="132"/>
        <v>0</v>
      </c>
      <c r="R88" s="908">
        <f t="shared" si="136"/>
        <v>0</v>
      </c>
      <c r="S88" s="909"/>
      <c r="T88" s="909"/>
      <c r="U88" s="941"/>
      <c r="V88" s="942"/>
      <c r="W88" s="909"/>
      <c r="X88" s="909"/>
      <c r="Y88" s="992">
        <f t="shared" si="133"/>
        <v>4</v>
      </c>
      <c r="Z88" s="913">
        <f t="shared" si="134"/>
        <v>4</v>
      </c>
      <c r="AA88" s="978">
        <f>IF(Z88/Y88&gt;=100%,100%,Z88/Y88)</f>
        <v>1</v>
      </c>
      <c r="AB88" s="953">
        <v>0.08</v>
      </c>
      <c r="AC88" s="953">
        <v>0.25</v>
      </c>
      <c r="AD88" s="930">
        <v>0.15</v>
      </c>
      <c r="AE88" s="908">
        <v>0</v>
      </c>
      <c r="AF88" s="908">
        <v>0</v>
      </c>
      <c r="AG88" s="1073">
        <v>0</v>
      </c>
      <c r="AH88" s="915">
        <v>0</v>
      </c>
      <c r="AI88" s="915">
        <v>345340879</v>
      </c>
      <c r="AJ88" s="915">
        <v>0</v>
      </c>
      <c r="AK88" s="915"/>
      <c r="AL88" s="982" t="e">
        <f t="shared" si="118"/>
        <v>#DIV/0!</v>
      </c>
      <c r="AM88" s="915">
        <v>0</v>
      </c>
      <c r="AN88" s="915">
        <v>313958452</v>
      </c>
      <c r="AO88" s="915"/>
      <c r="AP88" s="915"/>
      <c r="AQ88" s="983" t="e">
        <f t="shared" si="119"/>
        <v>#DIV/0!</v>
      </c>
      <c r="AR88" s="915">
        <f t="shared" si="135"/>
        <v>0</v>
      </c>
      <c r="AS88" s="915">
        <v>0</v>
      </c>
      <c r="AT88" s="915">
        <v>0</v>
      </c>
      <c r="AU88" s="915">
        <v>31382427</v>
      </c>
      <c r="AV88" s="915">
        <v>31244211</v>
      </c>
      <c r="AW88" s="915"/>
      <c r="AX88" s="915"/>
      <c r="AY88" s="984" t="e">
        <f t="shared" si="110"/>
        <v>#DIV/0!</v>
      </c>
      <c r="AZ88" s="1028">
        <v>700000000</v>
      </c>
      <c r="BA88" s="957">
        <f t="shared" si="121"/>
        <v>345340879</v>
      </c>
      <c r="BB88" s="930">
        <f t="shared" si="116"/>
        <v>0.49334411285714286</v>
      </c>
      <c r="BC88" s="986">
        <f t="shared" si="122"/>
        <v>345202663</v>
      </c>
      <c r="BD88" s="930">
        <f t="shared" si="123"/>
        <v>0.49314666142857144</v>
      </c>
      <c r="BE88" s="987"/>
      <c r="BF88" s="987"/>
      <c r="BG88" s="909" t="s">
        <v>448</v>
      </c>
      <c r="BH88" s="1029" t="s">
        <v>2126</v>
      </c>
      <c r="BI88" s="865" t="s">
        <v>2081</v>
      </c>
    </row>
    <row r="89" spans="1:61" s="865" customFormat="1" ht="85.5" customHeight="1">
      <c r="A89" s="1069" t="s">
        <v>1834</v>
      </c>
      <c r="B89" s="1070" t="s">
        <v>2240</v>
      </c>
      <c r="C89" s="937" t="s">
        <v>2086</v>
      </c>
      <c r="D89" s="1023">
        <v>0</v>
      </c>
      <c r="E89" s="1023">
        <v>2</v>
      </c>
      <c r="F89" s="990">
        <v>2</v>
      </c>
      <c r="G89" s="990">
        <v>0</v>
      </c>
      <c r="H89" s="907">
        <v>0</v>
      </c>
      <c r="I89" s="907">
        <v>2</v>
      </c>
      <c r="J89" s="906">
        <v>2</v>
      </c>
      <c r="K89" s="906"/>
      <c r="L89" s="907"/>
      <c r="M89" s="907"/>
      <c r="N89" s="907"/>
      <c r="O89" s="930">
        <f t="shared" si="132"/>
        <v>0</v>
      </c>
      <c r="P89" s="930">
        <f t="shared" si="132"/>
        <v>1</v>
      </c>
      <c r="Q89" s="930">
        <f t="shared" si="132"/>
        <v>1</v>
      </c>
      <c r="R89" s="908">
        <f t="shared" si="136"/>
        <v>0</v>
      </c>
      <c r="S89" s="909"/>
      <c r="T89" s="909"/>
      <c r="U89" s="942"/>
      <c r="V89" s="942"/>
      <c r="W89" s="909"/>
      <c r="X89" s="905"/>
      <c r="Y89" s="992">
        <f t="shared" si="133"/>
        <v>4</v>
      </c>
      <c r="Z89" s="913">
        <f t="shared" si="134"/>
        <v>4</v>
      </c>
      <c r="AA89" s="978">
        <f t="shared" ref="AA89:AA91" si="142">IF(Z89/Y89&gt;=100%,100%,Z89/Y89)</f>
        <v>1</v>
      </c>
      <c r="AB89" s="953">
        <v>0.05</v>
      </c>
      <c r="AC89" s="953">
        <v>0</v>
      </c>
      <c r="AD89" s="930">
        <v>0.12</v>
      </c>
      <c r="AE89" s="980">
        <v>0.08</v>
      </c>
      <c r="AF89" s="908">
        <v>0</v>
      </c>
      <c r="AG89" s="1073">
        <v>0</v>
      </c>
      <c r="AH89" s="915">
        <v>0</v>
      </c>
      <c r="AI89" s="915">
        <v>247208620</v>
      </c>
      <c r="AJ89" s="915">
        <v>699225102</v>
      </c>
      <c r="AK89" s="915"/>
      <c r="AL89" s="982" t="e">
        <f t="shared" si="118"/>
        <v>#DIV/0!</v>
      </c>
      <c r="AM89" s="915">
        <v>0</v>
      </c>
      <c r="AN89" s="915">
        <v>238066644</v>
      </c>
      <c r="AO89" s="915">
        <v>665935670</v>
      </c>
      <c r="AP89" s="915"/>
      <c r="AQ89" s="983" t="e">
        <f t="shared" si="119"/>
        <v>#DIV/0!</v>
      </c>
      <c r="AR89" s="915">
        <f t="shared" si="135"/>
        <v>33289432</v>
      </c>
      <c r="AS89" s="915">
        <v>0</v>
      </c>
      <c r="AT89" s="915">
        <v>0</v>
      </c>
      <c r="AU89" s="915">
        <v>9141976</v>
      </c>
      <c r="AV89" s="915">
        <v>8999836</v>
      </c>
      <c r="AW89" s="915">
        <v>33289432</v>
      </c>
      <c r="AX89" s="915">
        <v>32950319</v>
      </c>
      <c r="AY89" s="984">
        <f t="shared" si="110"/>
        <v>0.98981319356845743</v>
      </c>
      <c r="AZ89" s="1028">
        <v>1000000000</v>
      </c>
      <c r="BA89" s="957">
        <f t="shared" si="121"/>
        <v>946433722</v>
      </c>
      <c r="BB89" s="983">
        <f t="shared" si="116"/>
        <v>0.94643372199999998</v>
      </c>
      <c r="BC89" s="986">
        <f t="shared" si="122"/>
        <v>945952469</v>
      </c>
      <c r="BD89" s="930">
        <f t="shared" si="123"/>
        <v>0.94595246899999996</v>
      </c>
      <c r="BE89" s="987"/>
      <c r="BF89" s="987"/>
      <c r="BG89" s="909" t="s">
        <v>448</v>
      </c>
      <c r="BH89" s="1029" t="s">
        <v>2241</v>
      </c>
      <c r="BI89" s="865" t="s">
        <v>2081</v>
      </c>
    </row>
    <row r="90" spans="1:61" s="865" customFormat="1" ht="74.25" customHeight="1">
      <c r="A90" s="1069" t="s">
        <v>1835</v>
      </c>
      <c r="B90" s="1070" t="s">
        <v>2242</v>
      </c>
      <c r="C90" s="937" t="s">
        <v>2086</v>
      </c>
      <c r="D90" s="1023">
        <v>1</v>
      </c>
      <c r="E90" s="1023">
        <v>1</v>
      </c>
      <c r="F90" s="1023">
        <v>0</v>
      </c>
      <c r="G90" s="1023">
        <v>0</v>
      </c>
      <c r="H90" s="907">
        <v>0</v>
      </c>
      <c r="I90" s="907">
        <v>0</v>
      </c>
      <c r="J90" s="906">
        <v>0</v>
      </c>
      <c r="K90" s="906"/>
      <c r="L90" s="907">
        <v>0</v>
      </c>
      <c r="M90" s="907">
        <v>0</v>
      </c>
      <c r="N90" s="907"/>
      <c r="O90" s="930">
        <f t="shared" si="132"/>
        <v>0</v>
      </c>
      <c r="P90" s="930">
        <f t="shared" si="132"/>
        <v>0</v>
      </c>
      <c r="Q90" s="908">
        <f t="shared" si="132"/>
        <v>0</v>
      </c>
      <c r="R90" s="908">
        <f t="shared" si="136"/>
        <v>0</v>
      </c>
      <c r="S90" s="909"/>
      <c r="T90" s="909"/>
      <c r="U90" s="941"/>
      <c r="V90" s="942"/>
      <c r="W90" s="909"/>
      <c r="X90" s="909"/>
      <c r="Y90" s="992">
        <f t="shared" si="133"/>
        <v>2</v>
      </c>
      <c r="Z90" s="913">
        <f t="shared" si="134"/>
        <v>0</v>
      </c>
      <c r="AA90" s="978">
        <f t="shared" si="142"/>
        <v>0</v>
      </c>
      <c r="AB90" s="953">
        <v>0.05</v>
      </c>
      <c r="AC90" s="953">
        <v>0.22</v>
      </c>
      <c r="AD90" s="930">
        <v>0.12</v>
      </c>
      <c r="AE90" s="908">
        <v>0</v>
      </c>
      <c r="AF90" s="908">
        <v>0</v>
      </c>
      <c r="AG90" s="1073">
        <v>0</v>
      </c>
      <c r="AH90" s="915">
        <v>0</v>
      </c>
      <c r="AI90" s="915">
        <v>18451051</v>
      </c>
      <c r="AJ90" s="915">
        <v>0</v>
      </c>
      <c r="AK90" s="915"/>
      <c r="AL90" s="982" t="e">
        <f t="shared" si="118"/>
        <v>#DIV/0!</v>
      </c>
      <c r="AM90" s="915">
        <v>0</v>
      </c>
      <c r="AN90" s="915">
        <v>11676317</v>
      </c>
      <c r="AO90" s="915"/>
      <c r="AP90" s="915"/>
      <c r="AQ90" s="983" t="e">
        <f t="shared" si="119"/>
        <v>#DIV/0!</v>
      </c>
      <c r="AR90" s="915">
        <f t="shared" si="135"/>
        <v>0</v>
      </c>
      <c r="AS90" s="915">
        <v>0</v>
      </c>
      <c r="AT90" s="915">
        <v>0</v>
      </c>
      <c r="AU90" s="915">
        <v>6774734</v>
      </c>
      <c r="AV90" s="915">
        <v>6669452</v>
      </c>
      <c r="AW90" s="915"/>
      <c r="AX90" s="915"/>
      <c r="AY90" s="984" t="e">
        <f t="shared" si="110"/>
        <v>#DIV/0!</v>
      </c>
      <c r="AZ90" s="1028">
        <v>470000000</v>
      </c>
      <c r="BA90" s="957">
        <f t="shared" si="121"/>
        <v>18451051</v>
      </c>
      <c r="BB90" s="930">
        <f t="shared" si="116"/>
        <v>3.9257555319148936E-2</v>
      </c>
      <c r="BC90" s="986">
        <f t="shared" si="122"/>
        <v>18345769</v>
      </c>
      <c r="BD90" s="930">
        <f t="shared" si="123"/>
        <v>3.9033551063829788E-2</v>
      </c>
      <c r="BE90" s="987"/>
      <c r="BF90" s="987"/>
      <c r="BG90" s="909" t="s">
        <v>448</v>
      </c>
      <c r="BH90" s="1361" t="s">
        <v>2241</v>
      </c>
      <c r="BI90" s="865" t="s">
        <v>2081</v>
      </c>
    </row>
    <row r="91" spans="1:61" s="865" customFormat="1" ht="124.5" customHeight="1">
      <c r="A91" s="1069" t="s">
        <v>2243</v>
      </c>
      <c r="B91" s="1070" t="s">
        <v>2244</v>
      </c>
      <c r="C91" s="937" t="s">
        <v>2086</v>
      </c>
      <c r="D91" s="1023">
        <v>0</v>
      </c>
      <c r="E91" s="1023">
        <v>2</v>
      </c>
      <c r="F91" s="1023">
        <v>2</v>
      </c>
      <c r="G91" s="1023">
        <v>0</v>
      </c>
      <c r="H91" s="907">
        <v>0</v>
      </c>
      <c r="I91" s="907">
        <v>2</v>
      </c>
      <c r="J91" s="906">
        <v>2</v>
      </c>
      <c r="K91" s="906"/>
      <c r="L91" s="907"/>
      <c r="M91" s="907"/>
      <c r="N91" s="907"/>
      <c r="O91" s="930">
        <f t="shared" si="132"/>
        <v>0</v>
      </c>
      <c r="P91" s="930">
        <f t="shared" si="132"/>
        <v>1</v>
      </c>
      <c r="Q91" s="930">
        <f t="shared" si="132"/>
        <v>1</v>
      </c>
      <c r="R91" s="908">
        <f t="shared" si="136"/>
        <v>0</v>
      </c>
      <c r="S91" s="909"/>
      <c r="T91" s="909"/>
      <c r="U91" s="942"/>
      <c r="V91" s="942"/>
      <c r="W91" s="909"/>
      <c r="X91" s="905"/>
      <c r="Y91" s="992">
        <f t="shared" si="133"/>
        <v>4</v>
      </c>
      <c r="Z91" s="913">
        <f t="shared" si="134"/>
        <v>4</v>
      </c>
      <c r="AA91" s="978">
        <f t="shared" si="142"/>
        <v>1</v>
      </c>
      <c r="AB91" s="953">
        <v>0.05</v>
      </c>
      <c r="AC91" s="953">
        <v>0</v>
      </c>
      <c r="AD91" s="930">
        <v>0.12</v>
      </c>
      <c r="AE91" s="980">
        <v>7.0000000000000007E-2</v>
      </c>
      <c r="AF91" s="908">
        <v>0</v>
      </c>
      <c r="AG91" s="1073">
        <v>0</v>
      </c>
      <c r="AH91" s="915">
        <v>0</v>
      </c>
      <c r="AI91" s="915">
        <v>197204527</v>
      </c>
      <c r="AJ91" s="915">
        <v>174806563</v>
      </c>
      <c r="AK91" s="915"/>
      <c r="AL91" s="982" t="e">
        <f t="shared" si="118"/>
        <v>#DIV/0!</v>
      </c>
      <c r="AM91" s="915">
        <v>0</v>
      </c>
      <c r="AN91" s="915">
        <v>191865736</v>
      </c>
      <c r="AO91" s="915">
        <v>113799978</v>
      </c>
      <c r="AP91" s="915"/>
      <c r="AQ91" s="983" t="e">
        <f t="shared" si="119"/>
        <v>#DIV/0!</v>
      </c>
      <c r="AR91" s="915">
        <f t="shared" si="135"/>
        <v>61006585</v>
      </c>
      <c r="AS91" s="915">
        <v>0</v>
      </c>
      <c r="AT91" s="915">
        <v>0</v>
      </c>
      <c r="AU91" s="915">
        <v>5338791</v>
      </c>
      <c r="AV91" s="915">
        <v>5255861</v>
      </c>
      <c r="AW91" s="915">
        <v>61006585</v>
      </c>
      <c r="AX91" s="915">
        <v>59474253</v>
      </c>
      <c r="AY91" s="984">
        <f t="shared" si="110"/>
        <v>0.97488251473181131</v>
      </c>
      <c r="AZ91" s="1028">
        <v>375000000</v>
      </c>
      <c r="BA91" s="957">
        <f t="shared" si="121"/>
        <v>372011090</v>
      </c>
      <c r="BB91" s="930">
        <f t="shared" si="116"/>
        <v>0.9920295733333333</v>
      </c>
      <c r="BC91" s="986">
        <f t="shared" si="122"/>
        <v>370395828</v>
      </c>
      <c r="BD91" s="930">
        <f t="shared" si="123"/>
        <v>0.98772220799999999</v>
      </c>
      <c r="BE91" s="987"/>
      <c r="BF91" s="987"/>
      <c r="BG91" s="909" t="s">
        <v>1701</v>
      </c>
      <c r="BH91" s="1345"/>
      <c r="BI91" s="865" t="s">
        <v>2081</v>
      </c>
    </row>
    <row r="92" spans="1:61" s="865" customFormat="1" ht="54" customHeight="1">
      <c r="A92" s="893" t="s">
        <v>2245</v>
      </c>
      <c r="B92" s="894"/>
      <c r="C92" s="894"/>
      <c r="D92" s="895"/>
      <c r="E92" s="895"/>
      <c r="F92" s="895"/>
      <c r="G92" s="895"/>
      <c r="H92" s="895"/>
      <c r="I92" s="895"/>
      <c r="J92" s="895"/>
      <c r="K92" s="895"/>
      <c r="L92" s="895"/>
      <c r="M92" s="895"/>
      <c r="N92" s="895"/>
      <c r="O92" s="896">
        <f>+SUMPRODUCT(O93:O96,AC93:AC96)</f>
        <v>0</v>
      </c>
      <c r="P92" s="896">
        <f t="shared" ref="P92:R92" si="143">+SUMPRODUCT(P93:P96,AD93:AD96)</f>
        <v>1</v>
      </c>
      <c r="Q92" s="896">
        <f t="shared" si="143"/>
        <v>1</v>
      </c>
      <c r="R92" s="896">
        <f t="shared" si="143"/>
        <v>1</v>
      </c>
      <c r="S92" s="894"/>
      <c r="T92" s="894"/>
      <c r="U92" s="894"/>
      <c r="V92" s="894"/>
      <c r="W92" s="894"/>
      <c r="X92" s="894"/>
      <c r="Y92" s="897"/>
      <c r="Z92" s="897"/>
      <c r="AA92" s="896">
        <f>+SUMPRODUCT(AA93:AA96,AB93:AB96)</f>
        <v>1</v>
      </c>
      <c r="AB92" s="896">
        <v>0.2</v>
      </c>
      <c r="AC92" s="896">
        <v>0</v>
      </c>
      <c r="AD92" s="896">
        <v>0.2</v>
      </c>
      <c r="AE92" s="896">
        <v>0.2</v>
      </c>
      <c r="AF92" s="896">
        <v>0.2</v>
      </c>
      <c r="AG92" s="894">
        <f>SUM(AG93:AG96)</f>
        <v>400000000</v>
      </c>
      <c r="AH92" s="894">
        <f>SUM(AH93:AH96)</f>
        <v>0</v>
      </c>
      <c r="AI92" s="894">
        <f>SUM(AI93:AI96)</f>
        <v>719594635</v>
      </c>
      <c r="AJ92" s="894">
        <f>SUM(AJ93:AJ96)</f>
        <v>324714322</v>
      </c>
      <c r="AK92" s="894">
        <f>SUM(AK93:AK96)</f>
        <v>400000000</v>
      </c>
      <c r="AL92" s="900">
        <f t="shared" si="118"/>
        <v>1</v>
      </c>
      <c r="AM92" s="894">
        <f>SUM(AM93:AM96)</f>
        <v>0</v>
      </c>
      <c r="AN92" s="894">
        <f>SUM(AN93:AN96)</f>
        <v>396251203</v>
      </c>
      <c r="AO92" s="894">
        <f>SUM(AO93:AO96)</f>
        <v>320749853</v>
      </c>
      <c r="AP92" s="894">
        <f>SUM(AP93:AP96)</f>
        <v>392220750</v>
      </c>
      <c r="AQ92" s="901">
        <f t="shared" si="119"/>
        <v>0.98055187499999996</v>
      </c>
      <c r="AR92" s="902">
        <f t="shared" ref="AR92:AX92" si="144">SUM(AR93:AR96)</f>
        <v>3964469</v>
      </c>
      <c r="AS92" s="894">
        <f t="shared" si="144"/>
        <v>0</v>
      </c>
      <c r="AT92" s="894">
        <f t="shared" si="144"/>
        <v>0</v>
      </c>
      <c r="AU92" s="894">
        <f t="shared" si="144"/>
        <v>323343432</v>
      </c>
      <c r="AV92" s="894">
        <f t="shared" si="144"/>
        <v>323034750</v>
      </c>
      <c r="AW92" s="894">
        <f t="shared" si="144"/>
        <v>3964469</v>
      </c>
      <c r="AX92" s="894">
        <f t="shared" si="144"/>
        <v>2572083</v>
      </c>
      <c r="AY92" s="903">
        <f t="shared" si="110"/>
        <v>0.64878373371061804</v>
      </c>
      <c r="AZ92" s="894">
        <f>SUM(AZ93:AZ96)</f>
        <v>1455000000</v>
      </c>
      <c r="BA92" s="894">
        <f t="shared" si="121"/>
        <v>1444308957</v>
      </c>
      <c r="BB92" s="974">
        <f t="shared" si="116"/>
        <v>0.99265220412371136</v>
      </c>
      <c r="BC92" s="975">
        <f t="shared" si="122"/>
        <v>1434828639</v>
      </c>
      <c r="BD92" s="974">
        <f t="shared" si="123"/>
        <v>0.98613652164948451</v>
      </c>
      <c r="BE92" s="902"/>
      <c r="BF92" s="902"/>
      <c r="BG92" s="902"/>
      <c r="BH92" s="902"/>
      <c r="BI92" s="865" t="s">
        <v>2081</v>
      </c>
    </row>
    <row r="93" spans="1:61" s="865" customFormat="1" ht="59.25" customHeight="1">
      <c r="A93" s="1060" t="s">
        <v>2246</v>
      </c>
      <c r="B93" s="1047" t="s">
        <v>2247</v>
      </c>
      <c r="C93" s="937" t="s">
        <v>2086</v>
      </c>
      <c r="D93" s="1048">
        <v>0</v>
      </c>
      <c r="E93" s="1048">
        <v>1</v>
      </c>
      <c r="F93" s="1048">
        <v>0</v>
      </c>
      <c r="G93" s="1048">
        <v>0</v>
      </c>
      <c r="H93" s="1048">
        <v>0</v>
      </c>
      <c r="I93" s="906">
        <v>1</v>
      </c>
      <c r="J93" s="906">
        <v>0</v>
      </c>
      <c r="K93" s="906"/>
      <c r="L93" s="906"/>
      <c r="M93" s="906"/>
      <c r="N93" s="906"/>
      <c r="O93" s="908">
        <f t="shared" ref="O93:Q96" si="145">+IFERROR(IF((H93+L93)/D93&gt;=100%,100%,(H93+L93)/D93),0)</f>
        <v>0</v>
      </c>
      <c r="P93" s="930">
        <f t="shared" si="145"/>
        <v>1</v>
      </c>
      <c r="Q93" s="908">
        <f t="shared" si="145"/>
        <v>0</v>
      </c>
      <c r="R93" s="908">
        <f t="shared" ref="R93:R96" si="146">+IFERROR(IF(K93/G93&gt;=100%,100%,K93/G93),0)</f>
        <v>0</v>
      </c>
      <c r="S93" s="910"/>
      <c r="T93" s="910"/>
      <c r="U93" s="911"/>
      <c r="V93" s="869"/>
      <c r="W93" s="910"/>
      <c r="X93" s="910"/>
      <c r="Y93" s="1048">
        <f t="shared" ref="Y93:Y96" si="147">SUM(D93:G93)</f>
        <v>1</v>
      </c>
      <c r="Z93" s="913">
        <f t="shared" ref="Z93:Z96" si="148">SUM(H93:N93)</f>
        <v>1</v>
      </c>
      <c r="AA93" s="914">
        <f t="shared" ref="AA93:AA96" si="149">IF(Z93/Y93&gt;=100%,100%,Z93/Y93)</f>
        <v>1</v>
      </c>
      <c r="AB93" s="953">
        <v>0.2</v>
      </c>
      <c r="AC93" s="953">
        <v>0</v>
      </c>
      <c r="AD93" s="953">
        <v>0.2</v>
      </c>
      <c r="AE93" s="953">
        <v>0</v>
      </c>
      <c r="AF93" s="908">
        <v>0</v>
      </c>
      <c r="AG93" s="1063">
        <v>0</v>
      </c>
      <c r="AH93" s="915">
        <v>0</v>
      </c>
      <c r="AI93" s="1063">
        <v>148136352</v>
      </c>
      <c r="AJ93" s="1063">
        <v>0</v>
      </c>
      <c r="AK93" s="1063"/>
      <c r="AL93" s="982" t="e">
        <f t="shared" si="118"/>
        <v>#DIV/0!</v>
      </c>
      <c r="AM93" s="915">
        <v>0</v>
      </c>
      <c r="AN93" s="1063">
        <v>140580493</v>
      </c>
      <c r="AO93" s="1063"/>
      <c r="AP93" s="1063"/>
      <c r="AQ93" s="983" t="e">
        <f t="shared" si="119"/>
        <v>#DIV/0!</v>
      </c>
      <c r="AR93" s="915">
        <f t="shared" ref="AR93:AR96" si="150">+AJ93-AO93</f>
        <v>0</v>
      </c>
      <c r="AS93" s="915">
        <v>0</v>
      </c>
      <c r="AT93" s="915">
        <v>0</v>
      </c>
      <c r="AU93" s="915">
        <v>7555859</v>
      </c>
      <c r="AV93" s="915">
        <v>7500573</v>
      </c>
      <c r="AW93" s="915"/>
      <c r="AX93" s="915"/>
      <c r="AY93" s="984" t="e">
        <f t="shared" si="110"/>
        <v>#DIV/0!</v>
      </c>
      <c r="AZ93" s="1028">
        <v>150000000</v>
      </c>
      <c r="BA93" s="957">
        <f t="shared" si="121"/>
        <v>148136352</v>
      </c>
      <c r="BB93" s="983">
        <f t="shared" si="116"/>
        <v>0.98757567999999996</v>
      </c>
      <c r="BC93" s="986">
        <f t="shared" si="122"/>
        <v>148081066</v>
      </c>
      <c r="BD93" s="930">
        <f t="shared" si="123"/>
        <v>0.98720710666666667</v>
      </c>
      <c r="BE93" s="987"/>
      <c r="BF93" s="926"/>
      <c r="BG93" s="910" t="s">
        <v>767</v>
      </c>
      <c r="BH93" s="1362" t="s">
        <v>2201</v>
      </c>
    </row>
    <row r="94" spans="1:61" s="865" customFormat="1" ht="47.4" customHeight="1">
      <c r="A94" s="1060" t="s">
        <v>2248</v>
      </c>
      <c r="B94" s="1047" t="s">
        <v>2249</v>
      </c>
      <c r="C94" s="937" t="s">
        <v>2086</v>
      </c>
      <c r="D94" s="990">
        <v>0</v>
      </c>
      <c r="E94" s="990">
        <v>21</v>
      </c>
      <c r="F94" s="990">
        <v>20</v>
      </c>
      <c r="G94" s="990">
        <v>20</v>
      </c>
      <c r="H94" s="990">
        <v>0</v>
      </c>
      <c r="I94" s="906">
        <v>27</v>
      </c>
      <c r="J94" s="906">
        <v>6</v>
      </c>
      <c r="K94" s="906">
        <v>20</v>
      </c>
      <c r="L94" s="906"/>
      <c r="M94" s="906"/>
      <c r="N94" s="906">
        <v>14</v>
      </c>
      <c r="O94" s="908">
        <f t="shared" si="145"/>
        <v>0</v>
      </c>
      <c r="P94" s="930">
        <f t="shared" si="145"/>
        <v>1</v>
      </c>
      <c r="Q94" s="930">
        <f t="shared" si="145"/>
        <v>1</v>
      </c>
      <c r="R94" s="908">
        <f t="shared" si="146"/>
        <v>1</v>
      </c>
      <c r="S94" s="910" t="s">
        <v>2731</v>
      </c>
      <c r="T94" s="931">
        <v>45291</v>
      </c>
      <c r="U94" s="942" t="s">
        <v>2092</v>
      </c>
      <c r="V94" s="942"/>
      <c r="W94" s="909" t="s">
        <v>2683</v>
      </c>
      <c r="X94" s="933" t="s">
        <v>2250</v>
      </c>
      <c r="Y94" s="913">
        <f t="shared" si="147"/>
        <v>61</v>
      </c>
      <c r="Z94" s="913">
        <f t="shared" si="148"/>
        <v>67</v>
      </c>
      <c r="AA94" s="914">
        <f t="shared" si="149"/>
        <v>1</v>
      </c>
      <c r="AB94" s="953">
        <v>0.3</v>
      </c>
      <c r="AC94" s="953">
        <v>0</v>
      </c>
      <c r="AD94" s="953">
        <v>0.3</v>
      </c>
      <c r="AE94" s="1078">
        <v>0.55000000000000004</v>
      </c>
      <c r="AF94" s="1078">
        <v>0.5</v>
      </c>
      <c r="AG94" s="1063">
        <v>200000000</v>
      </c>
      <c r="AH94" s="915">
        <v>0</v>
      </c>
      <c r="AI94" s="1063">
        <v>206893921</v>
      </c>
      <c r="AJ94" s="1063">
        <v>309778927</v>
      </c>
      <c r="AK94" s="1063">
        <v>200000000</v>
      </c>
      <c r="AL94" s="982">
        <f t="shared" si="118"/>
        <v>1</v>
      </c>
      <c r="AM94" s="915">
        <v>0</v>
      </c>
      <c r="AN94" s="1063">
        <v>36560820</v>
      </c>
      <c r="AO94" s="1063">
        <v>308203832</v>
      </c>
      <c r="AP94" s="1063">
        <v>199390750</v>
      </c>
      <c r="AQ94" s="983">
        <f t="shared" si="119"/>
        <v>0.99695374999999997</v>
      </c>
      <c r="AR94" s="915">
        <f t="shared" si="150"/>
        <v>1575095</v>
      </c>
      <c r="AS94" s="915">
        <v>0</v>
      </c>
      <c r="AT94" s="915">
        <v>0</v>
      </c>
      <c r="AU94" s="915">
        <v>170333101</v>
      </c>
      <c r="AV94" s="915">
        <v>170240957</v>
      </c>
      <c r="AW94" s="915">
        <v>1575095</v>
      </c>
      <c r="AX94" s="915">
        <v>1370606</v>
      </c>
      <c r="AY94" s="984">
        <f t="shared" si="110"/>
        <v>0.87017354508775657</v>
      </c>
      <c r="AZ94" s="1028">
        <v>720000000</v>
      </c>
      <c r="BA94" s="957">
        <f t="shared" si="121"/>
        <v>716672848</v>
      </c>
      <c r="BB94" s="930">
        <f t="shared" si="116"/>
        <v>0.99537895555555556</v>
      </c>
      <c r="BC94" s="986">
        <f t="shared" si="122"/>
        <v>715766965</v>
      </c>
      <c r="BD94" s="930">
        <f t="shared" si="123"/>
        <v>0.99412078472222221</v>
      </c>
      <c r="BE94" s="987"/>
      <c r="BF94" s="926"/>
      <c r="BG94" s="910" t="s">
        <v>767</v>
      </c>
      <c r="BH94" s="1345"/>
      <c r="BI94" s="865" t="s">
        <v>2081</v>
      </c>
    </row>
    <row r="95" spans="1:61" s="865" customFormat="1" ht="47.4" customHeight="1">
      <c r="A95" s="1060" t="s">
        <v>1872</v>
      </c>
      <c r="B95" s="1047" t="s">
        <v>2251</v>
      </c>
      <c r="C95" s="937" t="s">
        <v>2086</v>
      </c>
      <c r="D95" s="990">
        <v>0</v>
      </c>
      <c r="E95" s="990">
        <v>1</v>
      </c>
      <c r="F95" s="990">
        <v>0</v>
      </c>
      <c r="G95" s="990">
        <v>1</v>
      </c>
      <c r="H95" s="990">
        <v>0</v>
      </c>
      <c r="I95" s="906">
        <v>1</v>
      </c>
      <c r="J95" s="906">
        <v>0</v>
      </c>
      <c r="K95" s="906">
        <v>1</v>
      </c>
      <c r="L95" s="906"/>
      <c r="M95" s="906"/>
      <c r="N95" s="906"/>
      <c r="O95" s="908">
        <f t="shared" si="145"/>
        <v>0</v>
      </c>
      <c r="P95" s="930">
        <f t="shared" si="145"/>
        <v>1</v>
      </c>
      <c r="Q95" s="908">
        <f t="shared" si="145"/>
        <v>0</v>
      </c>
      <c r="R95" s="908">
        <f t="shared" si="146"/>
        <v>1</v>
      </c>
      <c r="S95" s="910" t="s">
        <v>2732</v>
      </c>
      <c r="T95" s="931">
        <v>45291</v>
      </c>
      <c r="U95" s="942" t="s">
        <v>2092</v>
      </c>
      <c r="V95" s="942"/>
      <c r="W95" s="909" t="s">
        <v>2683</v>
      </c>
      <c r="X95" s="933" t="s">
        <v>2250</v>
      </c>
      <c r="Y95" s="913">
        <f t="shared" si="147"/>
        <v>2</v>
      </c>
      <c r="Z95" s="913">
        <f t="shared" si="148"/>
        <v>2</v>
      </c>
      <c r="AA95" s="914">
        <f t="shared" si="149"/>
        <v>1</v>
      </c>
      <c r="AB95" s="953">
        <v>0.3</v>
      </c>
      <c r="AC95" s="953">
        <v>0</v>
      </c>
      <c r="AD95" s="953">
        <v>0.3</v>
      </c>
      <c r="AE95" s="953">
        <v>0</v>
      </c>
      <c r="AF95" s="953">
        <v>0.5</v>
      </c>
      <c r="AG95" s="1063">
        <v>200000000</v>
      </c>
      <c r="AH95" s="915">
        <v>0</v>
      </c>
      <c r="AI95" s="1063">
        <v>216893921</v>
      </c>
      <c r="AJ95" s="1063">
        <v>0</v>
      </c>
      <c r="AK95" s="1063">
        <v>200000000</v>
      </c>
      <c r="AL95" s="982">
        <f t="shared" si="118"/>
        <v>1</v>
      </c>
      <c r="AM95" s="915">
        <v>0</v>
      </c>
      <c r="AN95" s="1063">
        <v>210960820</v>
      </c>
      <c r="AO95" s="1063"/>
      <c r="AP95" s="1063">
        <v>192830000</v>
      </c>
      <c r="AQ95" s="983">
        <f t="shared" si="119"/>
        <v>0.96414999999999995</v>
      </c>
      <c r="AR95" s="915">
        <f t="shared" si="150"/>
        <v>0</v>
      </c>
      <c r="AS95" s="915">
        <v>0</v>
      </c>
      <c r="AT95" s="915">
        <v>0</v>
      </c>
      <c r="AU95" s="915">
        <v>5933101</v>
      </c>
      <c r="AV95" s="915">
        <v>5840957</v>
      </c>
      <c r="AW95" s="915"/>
      <c r="AX95" s="915"/>
      <c r="AY95" s="984" t="e">
        <f t="shared" si="110"/>
        <v>#DIV/0!</v>
      </c>
      <c r="AZ95" s="1079">
        <v>420000000</v>
      </c>
      <c r="BA95" s="957">
        <f t="shared" si="121"/>
        <v>416893921</v>
      </c>
      <c r="BB95" s="930">
        <f t="shared" si="116"/>
        <v>0.99260457380952383</v>
      </c>
      <c r="BC95" s="986">
        <f t="shared" si="122"/>
        <v>409631777</v>
      </c>
      <c r="BD95" s="930">
        <f t="shared" si="123"/>
        <v>0.97531375476190474</v>
      </c>
      <c r="BE95" s="987"/>
      <c r="BF95" s="926"/>
      <c r="BG95" s="910" t="s">
        <v>767</v>
      </c>
      <c r="BH95" s="1345"/>
      <c r="BI95" s="865" t="s">
        <v>2081</v>
      </c>
    </row>
    <row r="96" spans="1:61" s="865" customFormat="1" ht="75" customHeight="1">
      <c r="A96" s="1060" t="s">
        <v>2252</v>
      </c>
      <c r="B96" s="1047" t="s">
        <v>2253</v>
      </c>
      <c r="C96" s="937" t="s">
        <v>2086</v>
      </c>
      <c r="D96" s="1048">
        <v>0</v>
      </c>
      <c r="E96" s="1048">
        <v>1</v>
      </c>
      <c r="F96" s="1048">
        <v>1</v>
      </c>
      <c r="G96" s="1048">
        <v>0</v>
      </c>
      <c r="H96" s="1048">
        <v>0</v>
      </c>
      <c r="I96" s="906">
        <v>1</v>
      </c>
      <c r="J96" s="906">
        <v>1</v>
      </c>
      <c r="K96" s="906">
        <v>0</v>
      </c>
      <c r="L96" s="906"/>
      <c r="M96" s="906"/>
      <c r="N96" s="906"/>
      <c r="O96" s="908">
        <f t="shared" si="145"/>
        <v>0</v>
      </c>
      <c r="P96" s="930">
        <f t="shared" si="145"/>
        <v>1</v>
      </c>
      <c r="Q96" s="930">
        <f t="shared" si="145"/>
        <v>1</v>
      </c>
      <c r="R96" s="908">
        <f t="shared" si="146"/>
        <v>0</v>
      </c>
      <c r="S96" s="910"/>
      <c r="T96" s="910"/>
      <c r="U96" s="942"/>
      <c r="V96" s="942"/>
      <c r="W96" s="909"/>
      <c r="X96" s="932"/>
      <c r="Y96" s="913">
        <f t="shared" si="147"/>
        <v>2</v>
      </c>
      <c r="Z96" s="913">
        <f t="shared" si="148"/>
        <v>2</v>
      </c>
      <c r="AA96" s="914">
        <f t="shared" si="149"/>
        <v>1</v>
      </c>
      <c r="AB96" s="953">
        <v>0.2</v>
      </c>
      <c r="AC96" s="953">
        <v>0</v>
      </c>
      <c r="AD96" s="953">
        <v>0.2</v>
      </c>
      <c r="AE96" s="1078">
        <v>0.45</v>
      </c>
      <c r="AF96" s="1078">
        <v>0</v>
      </c>
      <c r="AG96" s="1063">
        <v>0</v>
      </c>
      <c r="AH96" s="915">
        <v>0</v>
      </c>
      <c r="AI96" s="1063">
        <v>147670441</v>
      </c>
      <c r="AJ96" s="1063">
        <v>14935395</v>
      </c>
      <c r="AK96" s="1063"/>
      <c r="AL96" s="982" t="e">
        <f t="shared" si="118"/>
        <v>#DIV/0!</v>
      </c>
      <c r="AM96" s="915">
        <v>0</v>
      </c>
      <c r="AN96" s="1063">
        <v>8149070</v>
      </c>
      <c r="AO96" s="1063">
        <v>12546021</v>
      </c>
      <c r="AP96" s="1063"/>
      <c r="AQ96" s="983" t="e">
        <f t="shared" si="119"/>
        <v>#DIV/0!</v>
      </c>
      <c r="AR96" s="915">
        <f t="shared" si="150"/>
        <v>2389374</v>
      </c>
      <c r="AS96" s="915">
        <v>0</v>
      </c>
      <c r="AT96" s="915">
        <v>0</v>
      </c>
      <c r="AU96" s="915">
        <v>139521371</v>
      </c>
      <c r="AV96" s="915">
        <v>139452263</v>
      </c>
      <c r="AW96" s="915">
        <v>2389374</v>
      </c>
      <c r="AX96" s="915">
        <v>1201477</v>
      </c>
      <c r="AY96" s="984">
        <f t="shared" si="110"/>
        <v>0.50284174850818664</v>
      </c>
      <c r="AZ96" s="1028">
        <v>165000000</v>
      </c>
      <c r="BA96" s="957">
        <f t="shared" si="121"/>
        <v>162605836</v>
      </c>
      <c r="BB96" s="930">
        <f t="shared" si="116"/>
        <v>0.98548991515151518</v>
      </c>
      <c r="BC96" s="986">
        <f t="shared" si="122"/>
        <v>161348831</v>
      </c>
      <c r="BD96" s="930">
        <f t="shared" si="123"/>
        <v>0.97787170303030302</v>
      </c>
      <c r="BE96" s="987"/>
      <c r="BF96" s="926"/>
      <c r="BG96" s="910" t="s">
        <v>767</v>
      </c>
      <c r="BH96" s="1345"/>
      <c r="BI96" s="865" t="s">
        <v>2081</v>
      </c>
    </row>
    <row r="97" spans="1:61" s="865" customFormat="1" ht="47.4" customHeight="1">
      <c r="A97" s="893" t="s">
        <v>2254</v>
      </c>
      <c r="B97" s="894"/>
      <c r="C97" s="894"/>
      <c r="D97" s="895"/>
      <c r="E97" s="895"/>
      <c r="F97" s="895"/>
      <c r="G97" s="895"/>
      <c r="H97" s="895"/>
      <c r="I97" s="895"/>
      <c r="J97" s="895"/>
      <c r="K97" s="895"/>
      <c r="L97" s="895"/>
      <c r="M97" s="895"/>
      <c r="N97" s="895"/>
      <c r="O97" s="896">
        <f>+O98*AC98</f>
        <v>1</v>
      </c>
      <c r="P97" s="896">
        <f t="shared" ref="P97:R97" si="151">+P98*AD98</f>
        <v>1</v>
      </c>
      <c r="Q97" s="896">
        <f t="shared" si="151"/>
        <v>1</v>
      </c>
      <c r="R97" s="896">
        <f t="shared" si="151"/>
        <v>1</v>
      </c>
      <c r="S97" s="894"/>
      <c r="T97" s="894"/>
      <c r="U97" s="894"/>
      <c r="V97" s="894"/>
      <c r="W97" s="894"/>
      <c r="X97" s="894"/>
      <c r="Y97" s="897"/>
      <c r="Z97" s="897"/>
      <c r="AA97" s="896">
        <f>+SUMPRODUCT(AA98:AA98,AB98:AB98)</f>
        <v>1</v>
      </c>
      <c r="AB97" s="896">
        <v>0.1</v>
      </c>
      <c r="AC97" s="896">
        <v>0.3</v>
      </c>
      <c r="AD97" s="896">
        <v>0.1</v>
      </c>
      <c r="AE97" s="896">
        <v>0.1</v>
      </c>
      <c r="AF97" s="896">
        <v>0.1</v>
      </c>
      <c r="AG97" s="894">
        <f>SUM(AG98:AG98)</f>
        <v>100000000</v>
      </c>
      <c r="AH97" s="894">
        <f>SUM(AH98:AH98)</f>
        <v>88650000</v>
      </c>
      <c r="AI97" s="894">
        <f>SUM(AI98:AI98)</f>
        <v>91165496</v>
      </c>
      <c r="AJ97" s="894">
        <f>SUM(AJ98:AJ98)</f>
        <v>99948316</v>
      </c>
      <c r="AK97" s="894">
        <f>SUM(AK98:AK98)</f>
        <v>99980362</v>
      </c>
      <c r="AL97" s="900">
        <f t="shared" si="118"/>
        <v>0.99980362</v>
      </c>
      <c r="AM97" s="894">
        <f>SUM(AM98:AM98)</f>
        <v>70700000</v>
      </c>
      <c r="AN97" s="894">
        <f>SUM(AN98:AN98)</f>
        <v>74151059</v>
      </c>
      <c r="AO97" s="894">
        <f>SUM(AO98:AO98)</f>
        <v>98385673</v>
      </c>
      <c r="AP97" s="894">
        <f>SUM(AP98:AP98)</f>
        <v>93702618</v>
      </c>
      <c r="AQ97" s="901">
        <f t="shared" si="119"/>
        <v>0.93702618000000004</v>
      </c>
      <c r="AR97" s="902">
        <f t="shared" ref="AR97:AX97" si="152">SUM(AR98:AR98)</f>
        <v>1562643</v>
      </c>
      <c r="AS97" s="894">
        <f t="shared" si="152"/>
        <v>17950000</v>
      </c>
      <c r="AT97" s="894">
        <f t="shared" si="152"/>
        <v>17950000</v>
      </c>
      <c r="AU97" s="894">
        <f t="shared" si="152"/>
        <v>17014437</v>
      </c>
      <c r="AV97" s="894">
        <f t="shared" si="152"/>
        <v>16090554</v>
      </c>
      <c r="AW97" s="894">
        <f t="shared" si="152"/>
        <v>1562643</v>
      </c>
      <c r="AX97" s="894">
        <f t="shared" si="152"/>
        <v>1371212</v>
      </c>
      <c r="AY97" s="903">
        <f t="shared" si="110"/>
        <v>0.87749537162358904</v>
      </c>
      <c r="AZ97" s="894">
        <f>SUM(AZ98:AZ98)</f>
        <v>400000000</v>
      </c>
      <c r="BA97" s="894">
        <f t="shared" si="121"/>
        <v>379744174</v>
      </c>
      <c r="BB97" s="896">
        <f t="shared" si="116"/>
        <v>0.949360435</v>
      </c>
      <c r="BC97" s="962">
        <f t="shared" si="122"/>
        <v>372351116</v>
      </c>
      <c r="BD97" s="896">
        <f t="shared" si="123"/>
        <v>0.93087779000000004</v>
      </c>
      <c r="BE97" s="902"/>
      <c r="BF97" s="902"/>
      <c r="BG97" s="902"/>
      <c r="BH97" s="902"/>
      <c r="BI97" s="865" t="s">
        <v>2081</v>
      </c>
    </row>
    <row r="98" spans="1:61" s="865" customFormat="1" ht="47.4" customHeight="1">
      <c r="A98" s="1021" t="s">
        <v>2255</v>
      </c>
      <c r="B98" s="1030" t="s">
        <v>2256</v>
      </c>
      <c r="C98" s="1030"/>
      <c r="D98" s="1003">
        <v>1</v>
      </c>
      <c r="E98" s="1003">
        <v>1</v>
      </c>
      <c r="F98" s="1003">
        <v>1</v>
      </c>
      <c r="G98" s="1003">
        <v>1</v>
      </c>
      <c r="H98" s="906">
        <v>1</v>
      </c>
      <c r="I98" s="906">
        <v>1</v>
      </c>
      <c r="J98" s="906">
        <v>0</v>
      </c>
      <c r="K98" s="906">
        <v>1</v>
      </c>
      <c r="L98" s="906"/>
      <c r="M98" s="906"/>
      <c r="N98" s="906">
        <v>1</v>
      </c>
      <c r="O98" s="908">
        <f>+IFERROR(IF((H98+L98)/D98&gt;=100%,100%,(H98+L98)/D98),0)</f>
        <v>1</v>
      </c>
      <c r="P98" s="930">
        <f>+IFERROR(IF((I98+M98)/E98&gt;=100%,100%,(I98+M98)/E98),0)</f>
        <v>1</v>
      </c>
      <c r="Q98" s="930">
        <f>+IFERROR(IF((J98+N98)/F98&gt;=100%,100%,(J98+N98)/F98),0)</f>
        <v>1</v>
      </c>
      <c r="R98" s="908">
        <f>+IFERROR(IF(K98/G98&gt;=100%,100%,K98/G98),0)</f>
        <v>1</v>
      </c>
      <c r="S98" s="910" t="s">
        <v>2733</v>
      </c>
      <c r="T98" s="931">
        <v>45291</v>
      </c>
      <c r="U98" s="911"/>
      <c r="V98" s="869"/>
      <c r="W98" s="910"/>
      <c r="X98" s="910"/>
      <c r="Y98" s="913">
        <f t="shared" ref="Y98" si="153">SUM(D98:G98)</f>
        <v>4</v>
      </c>
      <c r="Z98" s="913">
        <f t="shared" ref="Z98" si="154">SUM(H98:N98)</f>
        <v>4</v>
      </c>
      <c r="AA98" s="914">
        <f t="shared" ref="AA98" si="155">IF(Z98/Y98&gt;=100%,100%,Z98/Y98)</f>
        <v>1</v>
      </c>
      <c r="AB98" s="1056">
        <v>1</v>
      </c>
      <c r="AC98" s="1056">
        <v>1</v>
      </c>
      <c r="AD98" s="908">
        <v>1</v>
      </c>
      <c r="AE98" s="908">
        <v>1</v>
      </c>
      <c r="AF98" s="908">
        <v>1</v>
      </c>
      <c r="AG98" s="1073">
        <v>100000000</v>
      </c>
      <c r="AH98" s="1073">
        <v>88650000</v>
      </c>
      <c r="AI98" s="1073">
        <v>91165496</v>
      </c>
      <c r="AJ98" s="1073">
        <v>99948316</v>
      </c>
      <c r="AK98" s="1073">
        <v>99980362</v>
      </c>
      <c r="AL98" s="916">
        <f t="shared" si="118"/>
        <v>0.99980362</v>
      </c>
      <c r="AM98" s="1073">
        <v>70700000</v>
      </c>
      <c r="AN98" s="1073">
        <v>74151059</v>
      </c>
      <c r="AO98" s="1073">
        <v>98385673</v>
      </c>
      <c r="AP98" s="1073">
        <v>93702618</v>
      </c>
      <c r="AQ98" s="928">
        <f t="shared" si="119"/>
        <v>0.93702618000000004</v>
      </c>
      <c r="AR98" s="915">
        <f t="shared" ref="AR98" si="156">+AJ98-AO98</f>
        <v>1562643</v>
      </c>
      <c r="AS98" s="1073">
        <v>17950000</v>
      </c>
      <c r="AT98" s="1073">
        <v>17950000</v>
      </c>
      <c r="AU98" s="1073">
        <v>17014437</v>
      </c>
      <c r="AV98" s="1073">
        <v>16090554</v>
      </c>
      <c r="AW98" s="1073">
        <v>1562643</v>
      </c>
      <c r="AX98" s="1073">
        <v>1371212</v>
      </c>
      <c r="AY98" s="956">
        <f t="shared" si="110"/>
        <v>0.87749537162358904</v>
      </c>
      <c r="AZ98" s="1041">
        <v>400000000</v>
      </c>
      <c r="BA98" s="957">
        <f t="shared" si="121"/>
        <v>379744174</v>
      </c>
      <c r="BB98" s="930">
        <f t="shared" si="116"/>
        <v>0.949360435</v>
      </c>
      <c r="BC98" s="986">
        <f t="shared" si="122"/>
        <v>372351116</v>
      </c>
      <c r="BD98" s="930">
        <f t="shared" si="123"/>
        <v>0.93087779000000004</v>
      </c>
      <c r="BE98" s="926"/>
      <c r="BF98" s="926"/>
      <c r="BG98" s="910" t="s">
        <v>1701</v>
      </c>
      <c r="BH98" s="1029" t="s">
        <v>2201</v>
      </c>
      <c r="BI98" s="865" t="s">
        <v>2081</v>
      </c>
    </row>
    <row r="99" spans="1:61" s="865" customFormat="1" ht="47.4" customHeight="1">
      <c r="A99" s="871" t="s">
        <v>2257</v>
      </c>
      <c r="B99" s="1080"/>
      <c r="C99" s="1080"/>
      <c r="D99" s="1081"/>
      <c r="E99" s="1081"/>
      <c r="F99" s="1081"/>
      <c r="G99" s="1081"/>
      <c r="H99" s="1081"/>
      <c r="I99" s="1081"/>
      <c r="J99" s="1081"/>
      <c r="K99" s="1081"/>
      <c r="L99" s="1081"/>
      <c r="M99" s="1081"/>
      <c r="N99" s="1081"/>
      <c r="O99" s="874">
        <f>+(O100*AC100)+(O117*AC117)+(O134*AC134)+(O140*AC140)</f>
        <v>1</v>
      </c>
      <c r="P99" s="874">
        <f t="shared" ref="P99:R99" si="157">+(P100*AD100)+(P117*AD117)+(P134*AD134)+(P140*AD140)</f>
        <v>1</v>
      </c>
      <c r="Q99" s="874">
        <f t="shared" si="157"/>
        <v>1</v>
      </c>
      <c r="R99" s="874">
        <f t="shared" si="157"/>
        <v>1</v>
      </c>
      <c r="S99" s="874"/>
      <c r="T99" s="874"/>
      <c r="U99" s="874"/>
      <c r="V99" s="874"/>
      <c r="W99" s="874"/>
      <c r="X99" s="874"/>
      <c r="Y99" s="874"/>
      <c r="Z99" s="874"/>
      <c r="AA99" s="874">
        <f>+(AA100*AB100)+(AA117*AB117)+(AA134*AB134)+(AA140*AB140)</f>
        <v>1</v>
      </c>
      <c r="AB99" s="877">
        <v>0.15</v>
      </c>
      <c r="AC99" s="877">
        <v>0.15</v>
      </c>
      <c r="AD99" s="877">
        <v>0.15</v>
      </c>
      <c r="AE99" s="877">
        <v>0.15</v>
      </c>
      <c r="AF99" s="877">
        <v>0.15</v>
      </c>
      <c r="AG99" s="878">
        <f>+AG100+AG117+AG134+AG140</f>
        <v>5250000000</v>
      </c>
      <c r="AH99" s="872">
        <f>+AH100+AH117+AH134+AH140</f>
        <v>1833038631</v>
      </c>
      <c r="AI99" s="878">
        <f>+AI100+AI117+AI134+AI140</f>
        <v>5358674824.6800003</v>
      </c>
      <c r="AJ99" s="878">
        <f>+AJ100+AJ117+AJ134+AJ140</f>
        <v>5997286808.1599998</v>
      </c>
      <c r="AK99" s="878">
        <f>+AK100+AK117+AK134+AK140</f>
        <v>5250000000</v>
      </c>
      <c r="AL99" s="879">
        <f t="shared" si="118"/>
        <v>1</v>
      </c>
      <c r="AM99" s="872">
        <f>+AM100+AM117+AM134+AM140</f>
        <v>932124108</v>
      </c>
      <c r="AN99" s="872">
        <f>+AN100+AN117+AN134+AN140</f>
        <v>4196895217</v>
      </c>
      <c r="AO99" s="872">
        <f>+AO100+AO117+AO134+AO140</f>
        <v>3980728610</v>
      </c>
      <c r="AP99" s="878">
        <f>+AP100+AP117+AP134+AP140</f>
        <v>3957112334.6599998</v>
      </c>
      <c r="AQ99" s="880">
        <f t="shared" si="119"/>
        <v>0.7537356827923809</v>
      </c>
      <c r="AR99" s="872">
        <f t="shared" ref="AR99:AX99" si="158">+AR100+AR117+AR134+AR140</f>
        <v>2016558198.1599998</v>
      </c>
      <c r="AS99" s="872">
        <f t="shared" si="158"/>
        <v>900914523</v>
      </c>
      <c r="AT99" s="872">
        <f t="shared" si="158"/>
        <v>751671583</v>
      </c>
      <c r="AU99" s="872">
        <f t="shared" si="158"/>
        <v>1161779607.6800001</v>
      </c>
      <c r="AV99" s="872">
        <f t="shared" si="158"/>
        <v>1145236415.2</v>
      </c>
      <c r="AW99" s="872">
        <f t="shared" si="158"/>
        <v>2016558198.1599998</v>
      </c>
      <c r="AX99" s="872">
        <f t="shared" si="158"/>
        <v>2004235212.1599998</v>
      </c>
      <c r="AY99" s="1082">
        <f t="shared" si="110"/>
        <v>0.99388909974864892</v>
      </c>
      <c r="AZ99" s="872">
        <f t="shared" ref="AZ99" si="159">+AZ100+AZ117+AZ134+AZ140</f>
        <v>21511770856</v>
      </c>
      <c r="BA99" s="872">
        <f t="shared" si="121"/>
        <v>18439000263.84</v>
      </c>
      <c r="BB99" s="877">
        <f t="shared" si="116"/>
        <v>0.85715864060057367</v>
      </c>
      <c r="BC99" s="1016">
        <f t="shared" si="122"/>
        <v>16968003480.02</v>
      </c>
      <c r="BD99" s="877">
        <f t="shared" si="123"/>
        <v>0.78877762289325126</v>
      </c>
      <c r="BE99" s="872"/>
      <c r="BF99" s="872"/>
      <c r="BG99" s="872"/>
      <c r="BH99" s="872"/>
      <c r="BI99" s="865" t="s">
        <v>2081</v>
      </c>
    </row>
    <row r="100" spans="1:61" s="892" customFormat="1" ht="47.4" customHeight="1">
      <c r="A100" s="882" t="s">
        <v>2258</v>
      </c>
      <c r="B100" s="883"/>
      <c r="C100" s="883"/>
      <c r="D100" s="884"/>
      <c r="E100" s="884"/>
      <c r="F100" s="884"/>
      <c r="G100" s="884"/>
      <c r="H100" s="884"/>
      <c r="I100" s="884"/>
      <c r="J100" s="884"/>
      <c r="K100" s="884"/>
      <c r="L100" s="884"/>
      <c r="M100" s="884"/>
      <c r="N100" s="884"/>
      <c r="O100" s="887">
        <f>+(O101*AC101)+(O105*AC105)+(O111*AC111)+(O114*AC114)</f>
        <v>1</v>
      </c>
      <c r="P100" s="887">
        <f t="shared" ref="P100:R100" si="160">+(P101*AD101)+(P105*AD105)+(P111*AD111)+(P114*AD114)</f>
        <v>1</v>
      </c>
      <c r="Q100" s="887">
        <f t="shared" si="160"/>
        <v>1</v>
      </c>
      <c r="R100" s="887">
        <f t="shared" si="160"/>
        <v>1</v>
      </c>
      <c r="S100" s="883"/>
      <c r="T100" s="883"/>
      <c r="U100" s="883"/>
      <c r="V100" s="883"/>
      <c r="W100" s="883"/>
      <c r="X100" s="883"/>
      <c r="Y100" s="886"/>
      <c r="Z100" s="886"/>
      <c r="AA100" s="887">
        <f>+(AA101*AB101)+(AA105*AB105)+(AA111*AB111)+(AA114*AB114)</f>
        <v>1</v>
      </c>
      <c r="AB100" s="885">
        <v>0.35</v>
      </c>
      <c r="AC100" s="885">
        <v>0.35</v>
      </c>
      <c r="AD100" s="885">
        <v>0.35</v>
      </c>
      <c r="AE100" s="885">
        <v>0.35</v>
      </c>
      <c r="AF100" s="885">
        <v>0.35</v>
      </c>
      <c r="AG100" s="883">
        <f>+AG101+AG105+AG111+AG114</f>
        <v>1670000000</v>
      </c>
      <c r="AH100" s="883">
        <f>+AH101+AH105+AH111+AH114</f>
        <v>833538631</v>
      </c>
      <c r="AI100" s="883">
        <f>+AI101+AI105+AI111+AI114</f>
        <v>2288896506</v>
      </c>
      <c r="AJ100" s="883">
        <f>+AJ101+AJ105+AJ111+AJ114</f>
        <v>2591775980</v>
      </c>
      <c r="AK100" s="883">
        <f>+AK101+AK105+AK111+AK114</f>
        <v>1670000000</v>
      </c>
      <c r="AL100" s="888">
        <f t="shared" si="118"/>
        <v>1</v>
      </c>
      <c r="AM100" s="883">
        <f>+AM101+AM105+AM111+AM114</f>
        <v>774874108</v>
      </c>
      <c r="AN100" s="883">
        <f>+AN101+AN105+AN111+AN114</f>
        <v>1918434383</v>
      </c>
      <c r="AO100" s="883">
        <f>+AO101+AO105+AO111+AO114</f>
        <v>1840500137</v>
      </c>
      <c r="AP100" s="883">
        <f>+AP101+AP105+AP111+AP114</f>
        <v>1498392785.9100001</v>
      </c>
      <c r="AQ100" s="890">
        <f t="shared" si="119"/>
        <v>0.89724118916766471</v>
      </c>
      <c r="AR100" s="883">
        <f t="shared" ref="AR100:AX100" si="161">+AR101+AR105+AR111+AR114</f>
        <v>751275843</v>
      </c>
      <c r="AS100" s="883">
        <f t="shared" si="161"/>
        <v>58664523</v>
      </c>
      <c r="AT100" s="883">
        <f t="shared" si="161"/>
        <v>55671583</v>
      </c>
      <c r="AU100" s="883">
        <f t="shared" si="161"/>
        <v>370462123</v>
      </c>
      <c r="AV100" s="883">
        <f t="shared" si="161"/>
        <v>362960328</v>
      </c>
      <c r="AW100" s="883">
        <f t="shared" si="161"/>
        <v>751275843</v>
      </c>
      <c r="AX100" s="883">
        <f t="shared" si="161"/>
        <v>748854914</v>
      </c>
      <c r="AY100" s="891">
        <f t="shared" si="110"/>
        <v>0.99677757640877584</v>
      </c>
      <c r="AZ100" s="883">
        <f t="shared" ref="AZ100" si="162">+AZ101+AZ105+AZ111+AZ114</f>
        <v>9651770856</v>
      </c>
      <c r="BA100" s="883">
        <f t="shared" si="121"/>
        <v>7384211117</v>
      </c>
      <c r="BB100" s="885">
        <f t="shared" si="116"/>
        <v>0.76506282910867318</v>
      </c>
      <c r="BC100" s="967">
        <f t="shared" si="122"/>
        <v>7199688238.9099998</v>
      </c>
      <c r="BD100" s="885">
        <f t="shared" si="123"/>
        <v>0.74594479565729965</v>
      </c>
      <c r="BE100" s="883"/>
      <c r="BF100" s="883" t="s">
        <v>1699</v>
      </c>
      <c r="BG100" s="883"/>
      <c r="BH100" s="883"/>
      <c r="BI100" s="892" t="s">
        <v>2081</v>
      </c>
    </row>
    <row r="101" spans="1:61" s="865" customFormat="1" ht="47.4" customHeight="1">
      <c r="A101" s="893" t="s">
        <v>2259</v>
      </c>
      <c r="B101" s="894"/>
      <c r="C101" s="894"/>
      <c r="D101" s="895"/>
      <c r="E101" s="895"/>
      <c r="F101" s="895"/>
      <c r="G101" s="895"/>
      <c r="H101" s="895"/>
      <c r="I101" s="895"/>
      <c r="J101" s="895"/>
      <c r="K101" s="895"/>
      <c r="L101" s="895"/>
      <c r="M101" s="895"/>
      <c r="N101" s="895"/>
      <c r="O101" s="896">
        <f>+SUMPRODUCT(O102:O104,AC102:AC104)</f>
        <v>1</v>
      </c>
      <c r="P101" s="896">
        <f t="shared" ref="P101:R101" si="163">+SUMPRODUCT(P102:P104,AD102:AD104)</f>
        <v>1</v>
      </c>
      <c r="Q101" s="896">
        <f t="shared" si="163"/>
        <v>1</v>
      </c>
      <c r="R101" s="896">
        <f t="shared" si="163"/>
        <v>1</v>
      </c>
      <c r="S101" s="894"/>
      <c r="T101" s="894"/>
      <c r="U101" s="894"/>
      <c r="V101" s="894"/>
      <c r="W101" s="894"/>
      <c r="X101" s="894"/>
      <c r="Y101" s="897"/>
      <c r="Z101" s="897"/>
      <c r="AA101" s="974">
        <f>+SUMPRODUCT(AA102:AA104,AB102:AB104)</f>
        <v>1</v>
      </c>
      <c r="AB101" s="896">
        <v>0.25</v>
      </c>
      <c r="AC101" s="896">
        <v>0.25</v>
      </c>
      <c r="AD101" s="896">
        <v>0.25</v>
      </c>
      <c r="AE101" s="896">
        <v>0.25</v>
      </c>
      <c r="AF101" s="896">
        <v>0.33</v>
      </c>
      <c r="AG101" s="894">
        <f>SUM(AG102:AG104)</f>
        <v>180000000</v>
      </c>
      <c r="AH101" s="894">
        <f>SUM(AH102:AH104)</f>
        <v>47000000</v>
      </c>
      <c r="AI101" s="894">
        <f>SUM(AI102:AI104)</f>
        <v>294634047</v>
      </c>
      <c r="AJ101" s="894">
        <f>SUM(AJ102:AJ104)</f>
        <v>345847852</v>
      </c>
      <c r="AK101" s="894">
        <f>SUM(AK102:AK104)</f>
        <v>180000000</v>
      </c>
      <c r="AL101" s="900">
        <f t="shared" si="118"/>
        <v>1</v>
      </c>
      <c r="AM101" s="894">
        <f>SUM(AM102:AM104)</f>
        <v>27000000</v>
      </c>
      <c r="AN101" s="894">
        <f>SUM(AN102:AN104)</f>
        <v>227384801</v>
      </c>
      <c r="AO101" s="894">
        <f>SUM(AO102:AO104)</f>
        <v>273693551</v>
      </c>
      <c r="AP101" s="894">
        <f>SUM(AP102:AP104)</f>
        <v>178400000</v>
      </c>
      <c r="AQ101" s="901">
        <f t="shared" si="119"/>
        <v>0.99111111111111116</v>
      </c>
      <c r="AR101" s="902">
        <f t="shared" ref="AR101:AX101" si="164">SUM(AR102:AR104)</f>
        <v>72154301</v>
      </c>
      <c r="AS101" s="894">
        <f t="shared" si="164"/>
        <v>20000000</v>
      </c>
      <c r="AT101" s="894">
        <f t="shared" si="164"/>
        <v>20000000</v>
      </c>
      <c r="AU101" s="894">
        <f t="shared" si="164"/>
        <v>67249246</v>
      </c>
      <c r="AV101" s="894">
        <f t="shared" si="164"/>
        <v>60512247</v>
      </c>
      <c r="AW101" s="894">
        <f t="shared" si="164"/>
        <v>72154301</v>
      </c>
      <c r="AX101" s="894">
        <f t="shared" si="164"/>
        <v>71738371</v>
      </c>
      <c r="AY101" s="903">
        <f t="shared" si="110"/>
        <v>0.99423554806524983</v>
      </c>
      <c r="AZ101" s="894">
        <f t="shared" ref="AZ101" si="165">SUM(AZ102:AZ104)</f>
        <v>1070000000</v>
      </c>
      <c r="BA101" s="894">
        <f t="shared" si="121"/>
        <v>867481899</v>
      </c>
      <c r="BB101" s="974">
        <f t="shared" si="116"/>
        <v>0.81073074672897194</v>
      </c>
      <c r="BC101" s="975">
        <f t="shared" si="122"/>
        <v>858728970</v>
      </c>
      <c r="BD101" s="974">
        <f t="shared" si="123"/>
        <v>0.80255043925233649</v>
      </c>
      <c r="BE101" s="902"/>
      <c r="BF101" s="902"/>
      <c r="BG101" s="902"/>
      <c r="BH101" s="902"/>
    </row>
    <row r="102" spans="1:61" s="865" customFormat="1" ht="87" customHeight="1">
      <c r="A102" s="1083" t="s">
        <v>1882</v>
      </c>
      <c r="B102" s="1047" t="s">
        <v>2260</v>
      </c>
      <c r="C102" s="937" t="s">
        <v>2086</v>
      </c>
      <c r="D102" s="1084">
        <v>5</v>
      </c>
      <c r="E102" s="1084">
        <v>17</v>
      </c>
      <c r="F102" s="1084">
        <v>0</v>
      </c>
      <c r="G102" s="1084">
        <v>0</v>
      </c>
      <c r="H102" s="906">
        <v>0</v>
      </c>
      <c r="I102" s="906">
        <v>0</v>
      </c>
      <c r="J102" s="906"/>
      <c r="K102" s="906"/>
      <c r="L102" s="906">
        <v>5</v>
      </c>
      <c r="M102" s="906">
        <v>17</v>
      </c>
      <c r="N102" s="906"/>
      <c r="O102" s="908">
        <f t="shared" ref="O102:Q104" si="166">+IFERROR(IF((H102+L102)/D102&gt;=100%,100%,(H102+L102)/D102),0)</f>
        <v>1</v>
      </c>
      <c r="P102" s="930">
        <f t="shared" si="166"/>
        <v>1</v>
      </c>
      <c r="Q102" s="908">
        <f t="shared" si="166"/>
        <v>0</v>
      </c>
      <c r="R102" s="908">
        <f t="shared" ref="R102:R104" si="167">+IFERROR(IF(K102/G102&gt;=100%,100%,K102/G102),0)</f>
        <v>0</v>
      </c>
      <c r="S102" s="910"/>
      <c r="T102" s="910"/>
      <c r="U102" s="911"/>
      <c r="V102" s="869"/>
      <c r="W102" s="910"/>
      <c r="X102" s="910"/>
      <c r="Y102" s="992">
        <f t="shared" ref="Y102:Y104" si="168">SUM(D102:G102)</f>
        <v>22</v>
      </c>
      <c r="Z102" s="913">
        <f t="shared" ref="Z102:Z104" si="169">SUM(H102:N102)</f>
        <v>22</v>
      </c>
      <c r="AA102" s="978">
        <f>IF(Z102/Y102&gt;=100%,100%,Z102/Y102)</f>
        <v>1</v>
      </c>
      <c r="AB102" s="1085">
        <v>0.25</v>
      </c>
      <c r="AC102" s="1085">
        <v>0.5</v>
      </c>
      <c r="AD102" s="1085">
        <v>0.25</v>
      </c>
      <c r="AE102" s="1085">
        <v>0</v>
      </c>
      <c r="AF102" s="908">
        <v>0</v>
      </c>
      <c r="AG102" s="1086">
        <v>0</v>
      </c>
      <c r="AH102" s="1086">
        <v>47000000</v>
      </c>
      <c r="AI102" s="1086">
        <v>147263496</v>
      </c>
      <c r="AJ102" s="1086">
        <v>0</v>
      </c>
      <c r="AK102" s="1086"/>
      <c r="AL102" s="982" t="e">
        <f t="shared" si="118"/>
        <v>#DIV/0!</v>
      </c>
      <c r="AM102" s="1086">
        <v>27000000</v>
      </c>
      <c r="AN102" s="1086">
        <v>128772454</v>
      </c>
      <c r="AO102" s="1086"/>
      <c r="AP102" s="1086"/>
      <c r="AQ102" s="983" t="e">
        <f t="shared" si="119"/>
        <v>#DIV/0!</v>
      </c>
      <c r="AR102" s="915">
        <f t="shared" ref="AR102:AR104" si="170">+AJ102-AO102</f>
        <v>0</v>
      </c>
      <c r="AS102" s="1086">
        <v>20000000</v>
      </c>
      <c r="AT102" s="1086">
        <v>20000000</v>
      </c>
      <c r="AU102" s="1086">
        <v>18491042</v>
      </c>
      <c r="AV102" s="1086">
        <v>16560891</v>
      </c>
      <c r="AW102" s="1086"/>
      <c r="AX102" s="1086"/>
      <c r="AY102" s="984" t="e">
        <f t="shared" si="110"/>
        <v>#DIV/0!</v>
      </c>
      <c r="AZ102" s="1028">
        <v>290000000</v>
      </c>
      <c r="BA102" s="957">
        <f t="shared" si="121"/>
        <v>194263496</v>
      </c>
      <c r="BB102" s="930">
        <f t="shared" si="116"/>
        <v>0.66987412413793102</v>
      </c>
      <c r="BC102" s="986">
        <f t="shared" si="122"/>
        <v>192333345</v>
      </c>
      <c r="BD102" s="930">
        <f t="shared" si="123"/>
        <v>0.66321843103448275</v>
      </c>
      <c r="BE102" s="987"/>
      <c r="BF102" s="926"/>
      <c r="BG102" s="910" t="s">
        <v>1107</v>
      </c>
      <c r="BH102" s="1354" t="s">
        <v>2261</v>
      </c>
    </row>
    <row r="103" spans="1:61" s="865" customFormat="1" ht="47.4" customHeight="1">
      <c r="A103" s="1083" t="s">
        <v>1883</v>
      </c>
      <c r="B103" s="1047" t="s">
        <v>2262</v>
      </c>
      <c r="C103" s="937" t="s">
        <v>2086</v>
      </c>
      <c r="D103" s="990">
        <v>0</v>
      </c>
      <c r="E103" s="990">
        <v>10</v>
      </c>
      <c r="F103" s="990">
        <v>20</v>
      </c>
      <c r="G103" s="990">
        <v>14</v>
      </c>
      <c r="H103" s="906">
        <v>0</v>
      </c>
      <c r="I103" s="906">
        <v>0</v>
      </c>
      <c r="J103" s="906">
        <v>20</v>
      </c>
      <c r="K103" s="906">
        <v>14</v>
      </c>
      <c r="L103" s="906"/>
      <c r="M103" s="906">
        <v>10</v>
      </c>
      <c r="N103" s="906"/>
      <c r="O103" s="908">
        <f t="shared" si="166"/>
        <v>0</v>
      </c>
      <c r="P103" s="930">
        <f t="shared" si="166"/>
        <v>1</v>
      </c>
      <c r="Q103" s="930">
        <f t="shared" si="166"/>
        <v>1</v>
      </c>
      <c r="R103" s="908">
        <f t="shared" si="167"/>
        <v>1</v>
      </c>
      <c r="S103" s="910" t="s">
        <v>2734</v>
      </c>
      <c r="T103" s="931">
        <v>45291</v>
      </c>
      <c r="U103" s="942" t="s">
        <v>2092</v>
      </c>
      <c r="V103" s="942"/>
      <c r="W103" s="909" t="s">
        <v>2683</v>
      </c>
      <c r="X103" s="933" t="s">
        <v>2735</v>
      </c>
      <c r="Y103" s="992">
        <f t="shared" si="168"/>
        <v>44</v>
      </c>
      <c r="Z103" s="913">
        <f t="shared" si="169"/>
        <v>44</v>
      </c>
      <c r="AA103" s="978">
        <f t="shared" ref="AA103:AA104" si="171">IF(Z103/Y103&gt;=100%,100%,Z103/Y103)</f>
        <v>1</v>
      </c>
      <c r="AB103" s="1085">
        <v>0.5</v>
      </c>
      <c r="AC103" s="1085">
        <v>0</v>
      </c>
      <c r="AD103" s="1085">
        <v>0.5</v>
      </c>
      <c r="AE103" s="1088">
        <v>0.63</v>
      </c>
      <c r="AF103" s="1088">
        <v>0.63</v>
      </c>
      <c r="AG103" s="1086">
        <v>80000000</v>
      </c>
      <c r="AH103" s="1086">
        <v>0</v>
      </c>
      <c r="AI103" s="1086">
        <v>98241360</v>
      </c>
      <c r="AJ103" s="1086">
        <v>196077931</v>
      </c>
      <c r="AK103" s="1086">
        <v>80000000</v>
      </c>
      <c r="AL103" s="982">
        <f t="shared" si="118"/>
        <v>1</v>
      </c>
      <c r="AM103" s="1086">
        <v>0</v>
      </c>
      <c r="AN103" s="1086">
        <v>77916973</v>
      </c>
      <c r="AO103" s="1086">
        <v>167648610</v>
      </c>
      <c r="AP103" s="1086">
        <v>78400000</v>
      </c>
      <c r="AQ103" s="983">
        <f t="shared" si="119"/>
        <v>0.98</v>
      </c>
      <c r="AR103" s="915">
        <f t="shared" si="170"/>
        <v>28429321</v>
      </c>
      <c r="AS103" s="1086">
        <v>0</v>
      </c>
      <c r="AT103" s="1086">
        <v>0</v>
      </c>
      <c r="AU103" s="1086">
        <v>20324387</v>
      </c>
      <c r="AV103" s="1086">
        <v>18172090</v>
      </c>
      <c r="AW103" s="1086">
        <v>28429321</v>
      </c>
      <c r="AX103" s="1086">
        <v>28284077</v>
      </c>
      <c r="AY103" s="984">
        <f t="shared" si="110"/>
        <v>0.99489104927972072</v>
      </c>
      <c r="AZ103" s="1028">
        <v>380000000</v>
      </c>
      <c r="BA103" s="957">
        <f t="shared" si="121"/>
        <v>374319291</v>
      </c>
      <c r="BB103" s="930">
        <f t="shared" si="116"/>
        <v>0.9850507657894737</v>
      </c>
      <c r="BC103" s="986">
        <f t="shared" si="122"/>
        <v>370421750</v>
      </c>
      <c r="BD103" s="930">
        <f t="shared" si="123"/>
        <v>0.97479407894736847</v>
      </c>
      <c r="BE103" s="987"/>
      <c r="BF103" s="926"/>
      <c r="BG103" s="910" t="s">
        <v>1107</v>
      </c>
      <c r="BH103" s="1345"/>
    </row>
    <row r="104" spans="1:61" s="865" customFormat="1" ht="47.4" customHeight="1">
      <c r="A104" s="1083" t="s">
        <v>1884</v>
      </c>
      <c r="B104" s="1047" t="s">
        <v>2264</v>
      </c>
      <c r="C104" s="937" t="s">
        <v>2086</v>
      </c>
      <c r="D104" s="990">
        <v>1</v>
      </c>
      <c r="E104" s="990">
        <v>1</v>
      </c>
      <c r="F104" s="990">
        <v>1</v>
      </c>
      <c r="G104" s="990">
        <v>1</v>
      </c>
      <c r="H104" s="906">
        <v>0</v>
      </c>
      <c r="I104" s="906">
        <v>1</v>
      </c>
      <c r="J104" s="906">
        <v>1</v>
      </c>
      <c r="K104" s="906">
        <v>1</v>
      </c>
      <c r="L104" s="906">
        <v>1</v>
      </c>
      <c r="M104" s="906"/>
      <c r="N104" s="906"/>
      <c r="O104" s="908">
        <f t="shared" si="166"/>
        <v>1</v>
      </c>
      <c r="P104" s="930">
        <f t="shared" si="166"/>
        <v>1</v>
      </c>
      <c r="Q104" s="930">
        <f t="shared" si="166"/>
        <v>1</v>
      </c>
      <c r="R104" s="908">
        <f t="shared" si="167"/>
        <v>1</v>
      </c>
      <c r="S104" s="910" t="s">
        <v>2736</v>
      </c>
      <c r="T104" s="931">
        <v>45291</v>
      </c>
      <c r="U104" s="942" t="s">
        <v>2092</v>
      </c>
      <c r="V104" s="942"/>
      <c r="W104" s="909" t="s">
        <v>2683</v>
      </c>
      <c r="X104" s="933" t="s">
        <v>2263</v>
      </c>
      <c r="Y104" s="992">
        <f t="shared" si="168"/>
        <v>4</v>
      </c>
      <c r="Z104" s="913">
        <f t="shared" si="169"/>
        <v>4</v>
      </c>
      <c r="AA104" s="978">
        <f t="shared" si="171"/>
        <v>1</v>
      </c>
      <c r="AB104" s="1085">
        <v>0.25</v>
      </c>
      <c r="AC104" s="1085">
        <v>0.5</v>
      </c>
      <c r="AD104" s="1085">
        <v>0.25</v>
      </c>
      <c r="AE104" s="1088">
        <v>0.37</v>
      </c>
      <c r="AF104" s="1088">
        <v>0.37</v>
      </c>
      <c r="AG104" s="1086">
        <v>100000000</v>
      </c>
      <c r="AH104" s="1086">
        <v>0</v>
      </c>
      <c r="AI104" s="1086">
        <v>49129191</v>
      </c>
      <c r="AJ104" s="1086">
        <v>149769921</v>
      </c>
      <c r="AK104" s="1086">
        <v>100000000</v>
      </c>
      <c r="AL104" s="982">
        <f t="shared" si="118"/>
        <v>1</v>
      </c>
      <c r="AM104" s="1086">
        <v>0</v>
      </c>
      <c r="AN104" s="1086">
        <v>20695374</v>
      </c>
      <c r="AO104" s="1086">
        <v>106044941</v>
      </c>
      <c r="AP104" s="1086">
        <v>100000000</v>
      </c>
      <c r="AQ104" s="983">
        <f t="shared" si="119"/>
        <v>1</v>
      </c>
      <c r="AR104" s="915">
        <f t="shared" si="170"/>
        <v>43724980</v>
      </c>
      <c r="AS104" s="1086">
        <v>0</v>
      </c>
      <c r="AT104" s="1086">
        <v>0</v>
      </c>
      <c r="AU104" s="1086">
        <v>28433817</v>
      </c>
      <c r="AV104" s="1086">
        <v>25779266</v>
      </c>
      <c r="AW104" s="1086">
        <v>43724980</v>
      </c>
      <c r="AX104" s="1086">
        <v>43454294</v>
      </c>
      <c r="AY104" s="984">
        <f t="shared" si="110"/>
        <v>0.99380935108489477</v>
      </c>
      <c r="AZ104" s="1028">
        <v>400000000</v>
      </c>
      <c r="BA104" s="957">
        <f t="shared" si="121"/>
        <v>298899112</v>
      </c>
      <c r="BB104" s="930">
        <f t="shared" si="116"/>
        <v>0.74724778000000003</v>
      </c>
      <c r="BC104" s="986">
        <f t="shared" si="122"/>
        <v>295973875</v>
      </c>
      <c r="BD104" s="930">
        <f t="shared" si="123"/>
        <v>0.73993468750000002</v>
      </c>
      <c r="BE104" s="987"/>
      <c r="BF104" s="926"/>
      <c r="BG104" s="910" t="s">
        <v>1107</v>
      </c>
      <c r="BH104" s="1345"/>
    </row>
    <row r="105" spans="1:61" s="865" customFormat="1" ht="47.4" customHeight="1">
      <c r="A105" s="893" t="s">
        <v>2265</v>
      </c>
      <c r="B105" s="894"/>
      <c r="C105" s="894"/>
      <c r="D105" s="895"/>
      <c r="E105" s="895"/>
      <c r="F105" s="895"/>
      <c r="G105" s="895"/>
      <c r="H105" s="895"/>
      <c r="I105" s="895"/>
      <c r="J105" s="895"/>
      <c r="K105" s="895"/>
      <c r="L105" s="895"/>
      <c r="M105" s="895"/>
      <c r="N105" s="895"/>
      <c r="O105" s="896">
        <f>+SUMPRODUCT(O106:O110,AC106:AC110)</f>
        <v>1</v>
      </c>
      <c r="P105" s="896">
        <f t="shared" ref="P105:R105" si="172">+SUMPRODUCT(P106:P110,AD106:AD110)</f>
        <v>1</v>
      </c>
      <c r="Q105" s="896">
        <f t="shared" si="172"/>
        <v>1</v>
      </c>
      <c r="R105" s="896">
        <f t="shared" si="172"/>
        <v>1</v>
      </c>
      <c r="S105" s="894"/>
      <c r="T105" s="894"/>
      <c r="U105" s="894"/>
      <c r="V105" s="894"/>
      <c r="W105" s="894"/>
      <c r="X105" s="894"/>
      <c r="Y105" s="897"/>
      <c r="Z105" s="897"/>
      <c r="AA105" s="896">
        <f>+SUMPRODUCT(AA106:AA110,AB106:AB110)</f>
        <v>1</v>
      </c>
      <c r="AB105" s="896">
        <v>0.25</v>
      </c>
      <c r="AC105" s="896">
        <v>0.25</v>
      </c>
      <c r="AD105" s="896">
        <v>0.25</v>
      </c>
      <c r="AE105" s="896">
        <v>0.25</v>
      </c>
      <c r="AF105" s="896">
        <v>0.33</v>
      </c>
      <c r="AG105" s="894">
        <f>SUM(AG106:AG110)</f>
        <v>700000000</v>
      </c>
      <c r="AH105" s="894">
        <f>SUM(AH106:AH110)</f>
        <v>12000000</v>
      </c>
      <c r="AI105" s="894">
        <f>SUM(AI106:AI110)</f>
        <v>543221928</v>
      </c>
      <c r="AJ105" s="894">
        <f>SUM(AJ106:AJ110)</f>
        <v>717646801</v>
      </c>
      <c r="AK105" s="894">
        <f>SUM(AK106:AK110)</f>
        <v>700000000</v>
      </c>
      <c r="AL105" s="903">
        <f t="shared" si="118"/>
        <v>1</v>
      </c>
      <c r="AM105" s="894">
        <f>SUM(AM106:AM110)</f>
        <v>12000000</v>
      </c>
      <c r="AN105" s="894">
        <f t="shared" ref="AN105:AX105" si="173">SUM(AN106:AN110)</f>
        <v>530000956</v>
      </c>
      <c r="AO105" s="894">
        <f t="shared" si="173"/>
        <v>556151541</v>
      </c>
      <c r="AP105" s="894">
        <f>SUM(AP106:AP110)</f>
        <v>699746747</v>
      </c>
      <c r="AQ105" s="901">
        <f t="shared" si="119"/>
        <v>0.99963820999999997</v>
      </c>
      <c r="AR105" s="902">
        <f t="shared" si="173"/>
        <v>161495260</v>
      </c>
      <c r="AS105" s="894">
        <f t="shared" si="173"/>
        <v>0</v>
      </c>
      <c r="AT105" s="894">
        <f t="shared" si="173"/>
        <v>0</v>
      </c>
      <c r="AU105" s="894">
        <f t="shared" si="173"/>
        <v>13220972</v>
      </c>
      <c r="AV105" s="894">
        <f t="shared" si="173"/>
        <v>13022862</v>
      </c>
      <c r="AW105" s="894">
        <f t="shared" si="173"/>
        <v>161495260</v>
      </c>
      <c r="AX105" s="894">
        <f t="shared" si="173"/>
        <v>160732670</v>
      </c>
      <c r="AY105" s="1089">
        <f t="shared" si="110"/>
        <v>0.99527794190368191</v>
      </c>
      <c r="AZ105" s="894">
        <f t="shared" ref="AZ105" si="174">SUM(AZ106:AZ110)</f>
        <v>2760000000</v>
      </c>
      <c r="BA105" s="894">
        <f t="shared" si="121"/>
        <v>1972868729</v>
      </c>
      <c r="BB105" s="896">
        <f t="shared" si="116"/>
        <v>0.71480751050724634</v>
      </c>
      <c r="BC105" s="962">
        <f t="shared" si="122"/>
        <v>1971654776</v>
      </c>
      <c r="BD105" s="896">
        <f t="shared" si="123"/>
        <v>0.71436767246376809</v>
      </c>
      <c r="BE105" s="902"/>
      <c r="BF105" s="902"/>
      <c r="BG105" s="902"/>
      <c r="BH105" s="902"/>
      <c r="BI105" s="865" t="s">
        <v>2081</v>
      </c>
    </row>
    <row r="106" spans="1:61" s="865" customFormat="1" ht="47.4" customHeight="1">
      <c r="A106" s="1090" t="s">
        <v>2266</v>
      </c>
      <c r="B106" s="1047" t="s">
        <v>2267</v>
      </c>
      <c r="C106" s="937" t="s">
        <v>2086</v>
      </c>
      <c r="D106" s="1003">
        <v>15</v>
      </c>
      <c r="E106" s="1003">
        <v>50</v>
      </c>
      <c r="F106" s="1003">
        <v>50</v>
      </c>
      <c r="G106" s="1003">
        <v>18</v>
      </c>
      <c r="H106" s="906">
        <v>0</v>
      </c>
      <c r="I106" s="906">
        <v>50</v>
      </c>
      <c r="J106" s="906">
        <v>50</v>
      </c>
      <c r="K106" s="906">
        <v>18</v>
      </c>
      <c r="L106" s="906">
        <v>15</v>
      </c>
      <c r="M106" s="906"/>
      <c r="N106" s="906"/>
      <c r="O106" s="930">
        <f t="shared" ref="O106:Q110" si="175">+IFERROR(IF((H106+L106)/D106&gt;=100%,100%,(H106+L106)/D106),0)</f>
        <v>1</v>
      </c>
      <c r="P106" s="930">
        <f t="shared" si="175"/>
        <v>1</v>
      </c>
      <c r="Q106" s="930">
        <f t="shared" si="175"/>
        <v>1</v>
      </c>
      <c r="R106" s="908">
        <f t="shared" ref="R106:R110" si="176">+IFERROR(IF(K106/G106&gt;=100%,100%,K106/G106),0)</f>
        <v>1</v>
      </c>
      <c r="S106" s="909" t="s">
        <v>2737</v>
      </c>
      <c r="T106" s="931">
        <v>45291</v>
      </c>
      <c r="U106" s="942" t="s">
        <v>2092</v>
      </c>
      <c r="V106" s="942"/>
      <c r="W106" s="909" t="s">
        <v>2683</v>
      </c>
      <c r="X106" s="933" t="s">
        <v>2263</v>
      </c>
      <c r="Y106" s="992">
        <f t="shared" ref="Y106:Y110" si="177">SUM(D106:G106)</f>
        <v>133</v>
      </c>
      <c r="Z106" s="913">
        <f t="shared" ref="Z106:Z110" si="178">SUM(H106:N106)</f>
        <v>133</v>
      </c>
      <c r="AA106" s="978">
        <f t="shared" ref="AA106:AA110" si="179">IF(Z106/Y106&gt;=100%,100%,Z106/Y106)</f>
        <v>1</v>
      </c>
      <c r="AB106" s="1092">
        <v>0.45</v>
      </c>
      <c r="AC106" s="1092">
        <v>0.5</v>
      </c>
      <c r="AD106" s="930">
        <v>0.47</v>
      </c>
      <c r="AE106" s="908">
        <v>0.47</v>
      </c>
      <c r="AF106" s="908">
        <v>0.5</v>
      </c>
      <c r="AG106" s="1093">
        <v>450000000</v>
      </c>
      <c r="AH106" s="1093">
        <v>12000000</v>
      </c>
      <c r="AI106" s="1093">
        <v>197570441</v>
      </c>
      <c r="AJ106" s="1093">
        <v>347997852</v>
      </c>
      <c r="AK106" s="1093">
        <v>450000000</v>
      </c>
      <c r="AL106" s="982">
        <f t="shared" si="118"/>
        <v>1</v>
      </c>
      <c r="AM106" s="1093">
        <v>12000000</v>
      </c>
      <c r="AN106" s="1093">
        <v>192958473</v>
      </c>
      <c r="AO106" s="1093">
        <v>335939372</v>
      </c>
      <c r="AP106" s="1093">
        <v>449746747</v>
      </c>
      <c r="AQ106" s="983">
        <f t="shared" si="119"/>
        <v>0.99943721555555554</v>
      </c>
      <c r="AR106" s="915">
        <f t="shared" ref="AR106:AR110" si="180">+AJ106-AO106</f>
        <v>12058480</v>
      </c>
      <c r="AS106" s="1086">
        <v>0</v>
      </c>
      <c r="AT106" s="1086">
        <v>0</v>
      </c>
      <c r="AU106" s="1086">
        <v>4611968</v>
      </c>
      <c r="AV106" s="1086">
        <v>4542860</v>
      </c>
      <c r="AW106" s="1086">
        <v>12058480</v>
      </c>
      <c r="AX106" s="1086">
        <v>11803546</v>
      </c>
      <c r="AY106" s="984">
        <f t="shared" si="110"/>
        <v>0.97885852943322871</v>
      </c>
      <c r="AZ106" s="1028">
        <v>1550000000</v>
      </c>
      <c r="BA106" s="957">
        <f t="shared" si="121"/>
        <v>1007568293</v>
      </c>
      <c r="BB106" s="930">
        <f t="shared" si="116"/>
        <v>0.65004406000000003</v>
      </c>
      <c r="BC106" s="986">
        <f t="shared" si="122"/>
        <v>1006990998</v>
      </c>
      <c r="BD106" s="930">
        <f t="shared" si="123"/>
        <v>0.64967161161290321</v>
      </c>
      <c r="BE106" s="987"/>
      <c r="BF106" s="987"/>
      <c r="BG106" s="910" t="s">
        <v>1107</v>
      </c>
      <c r="BH106" s="1094" t="s">
        <v>2261</v>
      </c>
      <c r="BI106" s="865" t="s">
        <v>2081</v>
      </c>
    </row>
    <row r="107" spans="1:61" s="865" customFormat="1" ht="47.4" customHeight="1">
      <c r="A107" s="1095" t="s">
        <v>1885</v>
      </c>
      <c r="B107" s="1047" t="s">
        <v>2268</v>
      </c>
      <c r="C107" s="1047"/>
      <c r="D107" s="1003">
        <v>5</v>
      </c>
      <c r="E107" s="1003">
        <v>20</v>
      </c>
      <c r="F107" s="1003">
        <v>20</v>
      </c>
      <c r="G107" s="1003">
        <v>5</v>
      </c>
      <c r="H107" s="906">
        <v>0</v>
      </c>
      <c r="I107" s="906">
        <v>20</v>
      </c>
      <c r="J107" s="906">
        <v>20</v>
      </c>
      <c r="K107" s="906">
        <v>9</v>
      </c>
      <c r="L107" s="906">
        <v>5</v>
      </c>
      <c r="M107" s="906"/>
      <c r="N107" s="906"/>
      <c r="O107" s="930">
        <f t="shared" si="175"/>
        <v>1</v>
      </c>
      <c r="P107" s="930">
        <f t="shared" si="175"/>
        <v>1</v>
      </c>
      <c r="Q107" s="930">
        <f t="shared" si="175"/>
        <v>1</v>
      </c>
      <c r="R107" s="908">
        <f t="shared" si="176"/>
        <v>1</v>
      </c>
      <c r="S107" s="909" t="s">
        <v>1993</v>
      </c>
      <c r="T107" s="931">
        <v>45291</v>
      </c>
      <c r="U107" s="942" t="s">
        <v>2092</v>
      </c>
      <c r="V107" s="942"/>
      <c r="W107" s="909" t="s">
        <v>2683</v>
      </c>
      <c r="X107" s="933" t="s">
        <v>2263</v>
      </c>
      <c r="Y107" s="992">
        <f t="shared" si="177"/>
        <v>50</v>
      </c>
      <c r="Z107" s="913">
        <f t="shared" si="178"/>
        <v>54</v>
      </c>
      <c r="AA107" s="978">
        <f t="shared" si="179"/>
        <v>1</v>
      </c>
      <c r="AB107" s="1092">
        <v>0.25</v>
      </c>
      <c r="AC107" s="1092">
        <v>0.3</v>
      </c>
      <c r="AD107" s="930">
        <v>0.26</v>
      </c>
      <c r="AE107" s="980">
        <v>0.27</v>
      </c>
      <c r="AF107" s="980">
        <v>0.3</v>
      </c>
      <c r="AG107" s="1093">
        <v>150000000</v>
      </c>
      <c r="AH107" s="1086">
        <v>0</v>
      </c>
      <c r="AI107" s="1093">
        <v>99068176</v>
      </c>
      <c r="AJ107" s="1093">
        <v>149833045</v>
      </c>
      <c r="AK107" s="1093">
        <v>150000000</v>
      </c>
      <c r="AL107" s="982">
        <f t="shared" si="118"/>
        <v>1</v>
      </c>
      <c r="AM107" s="1086">
        <v>0</v>
      </c>
      <c r="AN107" s="1093">
        <v>97223390</v>
      </c>
      <c r="AO107" s="1093">
        <v>140063341</v>
      </c>
      <c r="AP107" s="1093">
        <v>150000000</v>
      </c>
      <c r="AQ107" s="983">
        <f t="shared" si="119"/>
        <v>1</v>
      </c>
      <c r="AR107" s="915">
        <f t="shared" si="180"/>
        <v>9769704</v>
      </c>
      <c r="AS107" s="1086">
        <v>0</v>
      </c>
      <c r="AT107" s="1086">
        <v>0</v>
      </c>
      <c r="AU107" s="1086">
        <v>1844786</v>
      </c>
      <c r="AV107" s="1086">
        <v>1817143</v>
      </c>
      <c r="AW107" s="1086">
        <v>9769704</v>
      </c>
      <c r="AX107" s="1086">
        <v>9615275</v>
      </c>
      <c r="AY107" s="984">
        <f t="shared" si="110"/>
        <v>0.98419307278910395</v>
      </c>
      <c r="AZ107" s="1028">
        <v>540000000</v>
      </c>
      <c r="BA107" s="957">
        <f t="shared" si="121"/>
        <v>398901221</v>
      </c>
      <c r="BB107" s="930">
        <f t="shared" si="116"/>
        <v>0.73870596481481476</v>
      </c>
      <c r="BC107" s="986">
        <f t="shared" si="122"/>
        <v>398719149</v>
      </c>
      <c r="BD107" s="930">
        <f t="shared" si="123"/>
        <v>0.73836879444444448</v>
      </c>
      <c r="BE107" s="987"/>
      <c r="BF107" s="987"/>
      <c r="BG107" s="910" t="s">
        <v>1107</v>
      </c>
      <c r="BH107" s="1094" t="s">
        <v>2261</v>
      </c>
      <c r="BI107" s="865" t="s">
        <v>2081</v>
      </c>
    </row>
    <row r="108" spans="1:61" s="865" customFormat="1" ht="47.4" customHeight="1">
      <c r="A108" s="1095" t="s">
        <v>1886</v>
      </c>
      <c r="B108" s="1047" t="s">
        <v>2269</v>
      </c>
      <c r="C108" s="937" t="s">
        <v>2086</v>
      </c>
      <c r="D108" s="1003">
        <v>1</v>
      </c>
      <c r="E108" s="1003">
        <v>1</v>
      </c>
      <c r="F108" s="1003">
        <v>1</v>
      </c>
      <c r="G108" s="1003">
        <v>1</v>
      </c>
      <c r="H108" s="906">
        <v>1</v>
      </c>
      <c r="I108" s="906">
        <v>1</v>
      </c>
      <c r="J108" s="906">
        <v>1</v>
      </c>
      <c r="K108" s="906">
        <v>1</v>
      </c>
      <c r="L108" s="906"/>
      <c r="M108" s="906"/>
      <c r="N108" s="906"/>
      <c r="O108" s="930">
        <f t="shared" si="175"/>
        <v>1</v>
      </c>
      <c r="P108" s="930">
        <f t="shared" si="175"/>
        <v>1</v>
      </c>
      <c r="Q108" s="930">
        <f t="shared" si="175"/>
        <v>1</v>
      </c>
      <c r="R108" s="908">
        <f t="shared" si="176"/>
        <v>1</v>
      </c>
      <c r="S108" s="909" t="s">
        <v>2738</v>
      </c>
      <c r="T108" s="931">
        <v>45291</v>
      </c>
      <c r="U108" s="942" t="s">
        <v>2092</v>
      </c>
      <c r="V108" s="942"/>
      <c r="W108" s="909" t="s">
        <v>2683</v>
      </c>
      <c r="X108" s="933" t="s">
        <v>2263</v>
      </c>
      <c r="Y108" s="992">
        <f t="shared" si="177"/>
        <v>4</v>
      </c>
      <c r="Z108" s="913">
        <f t="shared" si="178"/>
        <v>4</v>
      </c>
      <c r="AA108" s="978">
        <f t="shared" si="179"/>
        <v>1</v>
      </c>
      <c r="AB108" s="1092">
        <v>0.15</v>
      </c>
      <c r="AC108" s="1092">
        <v>0.2</v>
      </c>
      <c r="AD108" s="930">
        <v>0.17</v>
      </c>
      <c r="AE108" s="908">
        <v>0.17</v>
      </c>
      <c r="AF108" s="908">
        <v>0.2</v>
      </c>
      <c r="AG108" s="1093">
        <v>100000000</v>
      </c>
      <c r="AH108" s="1093">
        <v>0</v>
      </c>
      <c r="AI108" s="1093">
        <v>49378784</v>
      </c>
      <c r="AJ108" s="1093">
        <v>99948316</v>
      </c>
      <c r="AK108" s="1093">
        <v>100000000</v>
      </c>
      <c r="AL108" s="982">
        <f t="shared" si="118"/>
        <v>1</v>
      </c>
      <c r="AM108" s="1093">
        <v>0</v>
      </c>
      <c r="AN108" s="1093">
        <v>48148926</v>
      </c>
      <c r="AO108" s="1093">
        <v>61823593</v>
      </c>
      <c r="AP108" s="1093">
        <v>100000000</v>
      </c>
      <c r="AQ108" s="983">
        <f t="shared" si="119"/>
        <v>1</v>
      </c>
      <c r="AR108" s="915">
        <f t="shared" si="180"/>
        <v>38124723</v>
      </c>
      <c r="AS108" s="1086">
        <v>0</v>
      </c>
      <c r="AT108" s="1086">
        <v>0</v>
      </c>
      <c r="AU108" s="1086">
        <v>1229858</v>
      </c>
      <c r="AV108" s="1086">
        <v>1211429</v>
      </c>
      <c r="AW108" s="1086">
        <v>38124723</v>
      </c>
      <c r="AX108" s="1086">
        <v>37933345</v>
      </c>
      <c r="AY108" s="984">
        <f t="shared" si="110"/>
        <v>0.99498021270869297</v>
      </c>
      <c r="AZ108" s="1028">
        <v>350000000</v>
      </c>
      <c r="BA108" s="957">
        <f t="shared" si="121"/>
        <v>249327100</v>
      </c>
      <c r="BB108" s="930">
        <f t="shared" si="116"/>
        <v>0.71236314285714286</v>
      </c>
      <c r="BC108" s="986">
        <f t="shared" si="122"/>
        <v>249117293</v>
      </c>
      <c r="BD108" s="930">
        <f t="shared" si="123"/>
        <v>0.71176369428571429</v>
      </c>
      <c r="BE108" s="987"/>
      <c r="BF108" s="987"/>
      <c r="BG108" s="910" t="s">
        <v>1107</v>
      </c>
      <c r="BH108" s="1351" t="s">
        <v>2261</v>
      </c>
      <c r="BI108" s="865" t="s">
        <v>2081</v>
      </c>
    </row>
    <row r="109" spans="1:61" s="865" customFormat="1" ht="65.25" customHeight="1">
      <c r="A109" s="1096" t="s">
        <v>1887</v>
      </c>
      <c r="B109" s="1047" t="s">
        <v>2270</v>
      </c>
      <c r="C109" s="1047"/>
      <c r="D109" s="1091">
        <v>0</v>
      </c>
      <c r="E109" s="1091">
        <v>1</v>
      </c>
      <c r="F109" s="1091">
        <v>0</v>
      </c>
      <c r="G109" s="1091">
        <v>0</v>
      </c>
      <c r="H109" s="906">
        <v>0</v>
      </c>
      <c r="I109" s="906">
        <v>1</v>
      </c>
      <c r="J109" s="906">
        <v>0</v>
      </c>
      <c r="K109" s="906"/>
      <c r="L109" s="906"/>
      <c r="M109" s="906"/>
      <c r="N109" s="906"/>
      <c r="O109" s="930">
        <f t="shared" si="175"/>
        <v>0</v>
      </c>
      <c r="P109" s="930">
        <f t="shared" si="175"/>
        <v>1</v>
      </c>
      <c r="Q109" s="908">
        <f t="shared" si="175"/>
        <v>0</v>
      </c>
      <c r="R109" s="908">
        <f t="shared" si="176"/>
        <v>0</v>
      </c>
      <c r="S109" s="909"/>
      <c r="T109" s="909"/>
      <c r="U109" s="941"/>
      <c r="V109" s="942"/>
      <c r="W109" s="909"/>
      <c r="X109" s="909"/>
      <c r="Y109" s="992">
        <f t="shared" si="177"/>
        <v>1</v>
      </c>
      <c r="Z109" s="913">
        <f t="shared" si="178"/>
        <v>1</v>
      </c>
      <c r="AA109" s="978">
        <f t="shared" si="179"/>
        <v>1</v>
      </c>
      <c r="AB109" s="1092">
        <v>0.08</v>
      </c>
      <c r="AC109" s="1092">
        <v>0</v>
      </c>
      <c r="AD109" s="930">
        <v>0.1</v>
      </c>
      <c r="AE109" s="908">
        <v>0</v>
      </c>
      <c r="AF109" s="908">
        <v>0</v>
      </c>
      <c r="AG109" s="1093">
        <v>0</v>
      </c>
      <c r="AH109" s="1097" t="s">
        <v>2095</v>
      </c>
      <c r="AI109" s="1093">
        <v>197204527</v>
      </c>
      <c r="AJ109" s="1093">
        <v>0</v>
      </c>
      <c r="AK109" s="1093">
        <v>0</v>
      </c>
      <c r="AL109" s="982" t="e">
        <f t="shared" si="118"/>
        <v>#DIV/0!</v>
      </c>
      <c r="AM109" s="1097" t="s">
        <v>2095</v>
      </c>
      <c r="AN109" s="1093">
        <v>191670167</v>
      </c>
      <c r="AO109" s="1093">
        <v>0</v>
      </c>
      <c r="AP109" s="1093"/>
      <c r="AQ109" s="983" t="e">
        <f t="shared" si="119"/>
        <v>#DIV/0!</v>
      </c>
      <c r="AR109" s="915">
        <f t="shared" si="180"/>
        <v>0</v>
      </c>
      <c r="AS109" s="1086">
        <v>0</v>
      </c>
      <c r="AT109" s="1086">
        <v>0</v>
      </c>
      <c r="AU109" s="1086"/>
      <c r="AV109" s="1086"/>
      <c r="AW109" s="1086"/>
      <c r="AX109" s="1086"/>
      <c r="AY109" s="984" t="e">
        <f t="shared" si="110"/>
        <v>#DIV/0!</v>
      </c>
      <c r="AZ109" s="1028">
        <v>200000000</v>
      </c>
      <c r="BA109" s="957">
        <f t="shared" si="121"/>
        <v>197204527</v>
      </c>
      <c r="BB109" s="930">
        <f t="shared" si="116"/>
        <v>0.98602263499999998</v>
      </c>
      <c r="BC109" s="986">
        <f t="shared" si="122"/>
        <v>191670167</v>
      </c>
      <c r="BD109" s="930">
        <f t="shared" si="123"/>
        <v>0.95835083499999996</v>
      </c>
      <c r="BE109" s="987"/>
      <c r="BF109" s="987"/>
      <c r="BG109" s="910" t="s">
        <v>1107</v>
      </c>
      <c r="BH109" s="1345"/>
      <c r="BI109" s="865" t="s">
        <v>2081</v>
      </c>
    </row>
    <row r="110" spans="1:61" s="865" customFormat="1" ht="64.5" customHeight="1">
      <c r="A110" s="1096" t="s">
        <v>1927</v>
      </c>
      <c r="B110" s="1047" t="s">
        <v>2271</v>
      </c>
      <c r="C110" s="937" t="s">
        <v>2086</v>
      </c>
      <c r="D110" s="1091">
        <v>0</v>
      </c>
      <c r="E110" s="1091">
        <v>0</v>
      </c>
      <c r="F110" s="1091">
        <v>1</v>
      </c>
      <c r="G110" s="1091">
        <v>0</v>
      </c>
      <c r="H110" s="906">
        <v>0</v>
      </c>
      <c r="I110" s="906">
        <v>0</v>
      </c>
      <c r="J110" s="906">
        <v>1</v>
      </c>
      <c r="K110" s="906"/>
      <c r="L110" s="906"/>
      <c r="M110" s="906"/>
      <c r="N110" s="906"/>
      <c r="O110" s="930">
        <f t="shared" si="175"/>
        <v>0</v>
      </c>
      <c r="P110" s="978">
        <f t="shared" si="175"/>
        <v>0</v>
      </c>
      <c r="Q110" s="930">
        <f t="shared" si="175"/>
        <v>1</v>
      </c>
      <c r="R110" s="908">
        <f t="shared" si="176"/>
        <v>0</v>
      </c>
      <c r="S110" s="909"/>
      <c r="T110" s="909"/>
      <c r="U110" s="941"/>
      <c r="V110" s="942"/>
      <c r="W110" s="909"/>
      <c r="X110" s="909"/>
      <c r="Y110" s="992">
        <f t="shared" si="177"/>
        <v>1</v>
      </c>
      <c r="Z110" s="913">
        <f t="shared" si="178"/>
        <v>1</v>
      </c>
      <c r="AA110" s="978">
        <f t="shared" si="179"/>
        <v>1</v>
      </c>
      <c r="AB110" s="1092">
        <v>7.0000000000000007E-2</v>
      </c>
      <c r="AC110" s="1092">
        <v>0</v>
      </c>
      <c r="AD110" s="930">
        <v>0</v>
      </c>
      <c r="AE110" s="980">
        <v>0.09</v>
      </c>
      <c r="AF110" s="908">
        <v>0</v>
      </c>
      <c r="AG110" s="1097">
        <v>0</v>
      </c>
      <c r="AH110" s="1097" t="s">
        <v>2095</v>
      </c>
      <c r="AI110" s="1097" t="s">
        <v>2095</v>
      </c>
      <c r="AJ110" s="1097">
        <v>119867588</v>
      </c>
      <c r="AK110" s="1097">
        <v>0</v>
      </c>
      <c r="AL110" s="982" t="e">
        <f t="shared" si="118"/>
        <v>#DIV/0!</v>
      </c>
      <c r="AM110" s="1097" t="s">
        <v>2095</v>
      </c>
      <c r="AN110" s="1097" t="s">
        <v>2095</v>
      </c>
      <c r="AO110" s="1097">
        <v>18325235</v>
      </c>
      <c r="AP110" s="1097"/>
      <c r="AQ110" s="983" t="e">
        <f t="shared" si="119"/>
        <v>#DIV/0!</v>
      </c>
      <c r="AR110" s="915">
        <f t="shared" si="180"/>
        <v>101542353</v>
      </c>
      <c r="AS110" s="1086">
        <v>0</v>
      </c>
      <c r="AT110" s="1086">
        <v>0</v>
      </c>
      <c r="AU110" s="1086">
        <v>5534360</v>
      </c>
      <c r="AV110" s="1086">
        <v>5451430</v>
      </c>
      <c r="AW110" s="1086">
        <v>101542353</v>
      </c>
      <c r="AX110" s="1086">
        <v>101380504</v>
      </c>
      <c r="AY110" s="984">
        <f t="shared" si="110"/>
        <v>0.998406093662218</v>
      </c>
      <c r="AZ110" s="1028">
        <v>120000000</v>
      </c>
      <c r="BA110" s="957">
        <f t="shared" si="121"/>
        <v>119867588</v>
      </c>
      <c r="BB110" s="930">
        <f t="shared" si="116"/>
        <v>0.99889656666666671</v>
      </c>
      <c r="BC110" s="986">
        <f t="shared" si="122"/>
        <v>125157169</v>
      </c>
      <c r="BD110" s="930">
        <f t="shared" si="123"/>
        <v>1.0429764083333333</v>
      </c>
      <c r="BE110" s="987"/>
      <c r="BF110" s="987"/>
      <c r="BG110" s="910" t="s">
        <v>1107</v>
      </c>
      <c r="BH110" s="1345"/>
      <c r="BI110" s="865" t="s">
        <v>2081</v>
      </c>
    </row>
    <row r="111" spans="1:61" s="865" customFormat="1" ht="79.5" customHeight="1">
      <c r="A111" s="893" t="s">
        <v>2272</v>
      </c>
      <c r="B111" s="894"/>
      <c r="C111" s="894"/>
      <c r="D111" s="895"/>
      <c r="E111" s="895"/>
      <c r="F111" s="895"/>
      <c r="G111" s="895"/>
      <c r="H111" s="895"/>
      <c r="I111" s="895"/>
      <c r="J111" s="895"/>
      <c r="K111" s="895"/>
      <c r="L111" s="895"/>
      <c r="M111" s="895"/>
      <c r="N111" s="895"/>
      <c r="O111" s="896">
        <f>+SUMPRODUCT(O112:O113,AC112:AC113)</f>
        <v>1</v>
      </c>
      <c r="P111" s="896">
        <f t="shared" ref="P111:R111" si="181">+SUMPRODUCT(P112:P113,AD112:AD113)</f>
        <v>1</v>
      </c>
      <c r="Q111" s="896">
        <f t="shared" si="181"/>
        <v>1</v>
      </c>
      <c r="R111" s="896">
        <f t="shared" si="181"/>
        <v>1</v>
      </c>
      <c r="S111" s="894"/>
      <c r="T111" s="894"/>
      <c r="U111" s="894"/>
      <c r="V111" s="894"/>
      <c r="W111" s="894"/>
      <c r="X111" s="894"/>
      <c r="Y111" s="897"/>
      <c r="Z111" s="897"/>
      <c r="AA111" s="896">
        <f>+SUMPRODUCT(AA112:AA113,AB112:AB113)</f>
        <v>1</v>
      </c>
      <c r="AB111" s="896">
        <v>0.25</v>
      </c>
      <c r="AC111" s="896">
        <v>0.25</v>
      </c>
      <c r="AD111" s="896">
        <v>0.25</v>
      </c>
      <c r="AE111" s="896">
        <v>0.25</v>
      </c>
      <c r="AF111" s="896">
        <v>0.34</v>
      </c>
      <c r="AG111" s="894">
        <f>SUM(AG112:AG113)</f>
        <v>790000000</v>
      </c>
      <c r="AH111" s="894">
        <f>SUM(AH112:AH113)</f>
        <v>0</v>
      </c>
      <c r="AI111" s="894">
        <f>SUM(AI112:AI113)</f>
        <v>839271646</v>
      </c>
      <c r="AJ111" s="894">
        <f>SUM(AJ112:AJ113)</f>
        <v>869036272</v>
      </c>
      <c r="AK111" s="894">
        <f>SUM(AK112:AK113)</f>
        <v>790000000</v>
      </c>
      <c r="AL111" s="900">
        <f t="shared" si="118"/>
        <v>1</v>
      </c>
      <c r="AM111" s="894">
        <f>SUM(AM112:AM113)</f>
        <v>0</v>
      </c>
      <c r="AN111" s="894">
        <f>SUM(AN112:AN113)</f>
        <v>707325355</v>
      </c>
      <c r="AO111" s="894">
        <f>SUM(AO112:AO113)</f>
        <v>645682334</v>
      </c>
      <c r="AP111" s="894">
        <f>SUM(AP112:AP113)</f>
        <v>620246038.91000009</v>
      </c>
      <c r="AQ111" s="901">
        <f t="shared" si="119"/>
        <v>0.78512156824050638</v>
      </c>
      <c r="AR111" s="902">
        <f t="shared" ref="AR111:AX111" si="182">SUM(AR112:AR113)</f>
        <v>223353938</v>
      </c>
      <c r="AS111" s="894">
        <f t="shared" si="182"/>
        <v>0</v>
      </c>
      <c r="AT111" s="894">
        <f t="shared" si="182"/>
        <v>0</v>
      </c>
      <c r="AU111" s="894">
        <f t="shared" si="182"/>
        <v>131946291</v>
      </c>
      <c r="AV111" s="894">
        <f t="shared" si="182"/>
        <v>131623787</v>
      </c>
      <c r="AW111" s="894">
        <f t="shared" si="182"/>
        <v>223353938</v>
      </c>
      <c r="AX111" s="894">
        <f t="shared" si="182"/>
        <v>222822766</v>
      </c>
      <c r="AY111" s="903">
        <f t="shared" si="110"/>
        <v>0.99762183731902676</v>
      </c>
      <c r="AZ111" s="894">
        <f t="shared" ref="AZ111" si="183">SUM(AZ112:AZ113)</f>
        <v>3030000000</v>
      </c>
      <c r="BA111" s="894">
        <f t="shared" si="121"/>
        <v>2498307918</v>
      </c>
      <c r="BB111" s="896">
        <f t="shared" si="116"/>
        <v>0.82452406534653466</v>
      </c>
      <c r="BC111" s="962">
        <f t="shared" si="122"/>
        <v>2327700280.9099998</v>
      </c>
      <c r="BD111" s="896">
        <f t="shared" si="123"/>
        <v>0.76821791449174914</v>
      </c>
      <c r="BE111" s="902"/>
      <c r="BF111" s="902"/>
      <c r="BG111" s="902"/>
      <c r="BH111" s="902"/>
    </row>
    <row r="112" spans="1:61" s="865" customFormat="1" ht="47.4" customHeight="1">
      <c r="A112" s="1083" t="s">
        <v>1888</v>
      </c>
      <c r="B112" s="1047" t="s">
        <v>2273</v>
      </c>
      <c r="C112" s="937" t="s">
        <v>2086</v>
      </c>
      <c r="D112" s="990">
        <v>5</v>
      </c>
      <c r="E112" s="990">
        <v>10</v>
      </c>
      <c r="F112" s="990">
        <v>10</v>
      </c>
      <c r="G112" s="990">
        <v>8</v>
      </c>
      <c r="H112" s="906">
        <v>0</v>
      </c>
      <c r="I112" s="906">
        <v>10</v>
      </c>
      <c r="J112" s="906">
        <v>10</v>
      </c>
      <c r="K112" s="906">
        <v>8</v>
      </c>
      <c r="L112" s="906">
        <v>5</v>
      </c>
      <c r="M112" s="906"/>
      <c r="N112" s="906"/>
      <c r="O112" s="908">
        <f t="shared" ref="O112:Q113" si="184">+IFERROR(IF((H112+L112)/D112&gt;=100%,100%,(H112+L112)/D112),0)</f>
        <v>1</v>
      </c>
      <c r="P112" s="930">
        <f t="shared" si="184"/>
        <v>1</v>
      </c>
      <c r="Q112" s="930">
        <f t="shared" si="184"/>
        <v>1</v>
      </c>
      <c r="R112" s="908">
        <f t="shared" ref="R112:R113" si="185">+IFERROR(IF(K112/G112&gt;=100%,100%,K112/G112),0)</f>
        <v>1</v>
      </c>
      <c r="S112" s="909" t="s">
        <v>2739</v>
      </c>
      <c r="T112" s="931">
        <v>45291</v>
      </c>
      <c r="U112" s="942" t="s">
        <v>2092</v>
      </c>
      <c r="V112" s="942"/>
      <c r="W112" s="909" t="s">
        <v>2683</v>
      </c>
      <c r="X112" s="933" t="s">
        <v>2274</v>
      </c>
      <c r="Y112" s="992">
        <f t="shared" ref="Y112:Y113" si="186">SUM(D112:G112)</f>
        <v>33</v>
      </c>
      <c r="Z112" s="913">
        <f t="shared" ref="Z112:Z113" si="187">SUM(H112:N112)</f>
        <v>33</v>
      </c>
      <c r="AA112" s="978">
        <f t="shared" ref="AA112:AA113" si="188">IF(Z112/Y112&gt;=100%,100%,Z112/Y112)</f>
        <v>1</v>
      </c>
      <c r="AB112" s="1049">
        <v>0.7</v>
      </c>
      <c r="AC112" s="1049">
        <v>1</v>
      </c>
      <c r="AD112" s="1049">
        <v>0.7</v>
      </c>
      <c r="AE112" s="1056">
        <v>0.7</v>
      </c>
      <c r="AF112" s="1056">
        <v>0.7</v>
      </c>
      <c r="AG112" s="1086">
        <v>440000000</v>
      </c>
      <c r="AH112" s="1093">
        <v>0</v>
      </c>
      <c r="AI112" s="1086">
        <v>493930767</v>
      </c>
      <c r="AJ112" s="1086">
        <v>519424295</v>
      </c>
      <c r="AK112" s="1086">
        <v>440000000</v>
      </c>
      <c r="AL112" s="982">
        <f t="shared" si="118"/>
        <v>1</v>
      </c>
      <c r="AM112" s="1093">
        <v>0</v>
      </c>
      <c r="AN112" s="1086">
        <v>371208408</v>
      </c>
      <c r="AO112" s="1086">
        <v>305890412</v>
      </c>
      <c r="AP112" s="1086">
        <v>270952382</v>
      </c>
      <c r="AQ112" s="983">
        <f t="shared" si="119"/>
        <v>0.61580086818181823</v>
      </c>
      <c r="AR112" s="915">
        <f t="shared" ref="AR112:AR113" si="189">+AJ112-AO112</f>
        <v>213533883</v>
      </c>
      <c r="AS112" s="1093">
        <v>0</v>
      </c>
      <c r="AT112" s="1093">
        <v>0</v>
      </c>
      <c r="AU112" s="1093">
        <v>122722359</v>
      </c>
      <c r="AV112" s="1093">
        <v>122538071</v>
      </c>
      <c r="AW112" s="1093">
        <v>213533883</v>
      </c>
      <c r="AX112" s="1093">
        <v>213257641</v>
      </c>
      <c r="AY112" s="984">
        <f t="shared" si="110"/>
        <v>0.9987063317721806</v>
      </c>
      <c r="AZ112" s="1028">
        <v>1980000000</v>
      </c>
      <c r="BA112" s="957">
        <f t="shared" si="121"/>
        <v>1453355062</v>
      </c>
      <c r="BB112" s="930">
        <f t="shared" si="116"/>
        <v>0.73401770808080813</v>
      </c>
      <c r="BC112" s="986">
        <f t="shared" si="122"/>
        <v>1283846914</v>
      </c>
      <c r="BD112" s="930">
        <f t="shared" si="123"/>
        <v>0.64840753232323234</v>
      </c>
      <c r="BE112" s="987"/>
      <c r="BF112" s="987"/>
      <c r="BG112" s="910" t="s">
        <v>1107</v>
      </c>
      <c r="BH112" s="1087" t="s">
        <v>2261</v>
      </c>
    </row>
    <row r="113" spans="1:61" s="865" customFormat="1" ht="47.4" customHeight="1">
      <c r="A113" s="1083" t="s">
        <v>1862</v>
      </c>
      <c r="B113" s="1047" t="s">
        <v>1863</v>
      </c>
      <c r="C113" s="937" t="s">
        <v>2086</v>
      </c>
      <c r="D113" s="990">
        <v>0</v>
      </c>
      <c r="E113" s="990">
        <v>110</v>
      </c>
      <c r="F113" s="990">
        <v>110</v>
      </c>
      <c r="G113" s="990">
        <v>110</v>
      </c>
      <c r="H113" s="906">
        <v>0</v>
      </c>
      <c r="I113" s="906">
        <v>110</v>
      </c>
      <c r="J113" s="906">
        <v>110</v>
      </c>
      <c r="K113" s="906">
        <v>110</v>
      </c>
      <c r="L113" s="906"/>
      <c r="M113" s="906"/>
      <c r="N113" s="906"/>
      <c r="O113" s="908">
        <f t="shared" si="184"/>
        <v>0</v>
      </c>
      <c r="P113" s="930">
        <f t="shared" si="184"/>
        <v>1</v>
      </c>
      <c r="Q113" s="930">
        <f t="shared" si="184"/>
        <v>1</v>
      </c>
      <c r="R113" s="908">
        <f t="shared" si="185"/>
        <v>1</v>
      </c>
      <c r="S113" s="909" t="s">
        <v>2740</v>
      </c>
      <c r="T113" s="931">
        <v>45291</v>
      </c>
      <c r="U113" s="942" t="s">
        <v>2092</v>
      </c>
      <c r="V113" s="942"/>
      <c r="W113" s="909" t="s">
        <v>2683</v>
      </c>
      <c r="X113" s="933" t="s">
        <v>2275</v>
      </c>
      <c r="Y113" s="992">
        <f t="shared" si="186"/>
        <v>330</v>
      </c>
      <c r="Z113" s="913">
        <f t="shared" si="187"/>
        <v>330</v>
      </c>
      <c r="AA113" s="978">
        <f t="shared" si="188"/>
        <v>1</v>
      </c>
      <c r="AB113" s="1049">
        <v>0.3</v>
      </c>
      <c r="AC113" s="1049">
        <v>0</v>
      </c>
      <c r="AD113" s="1049">
        <v>0.3</v>
      </c>
      <c r="AE113" s="1056">
        <v>0.3</v>
      </c>
      <c r="AF113" s="1056">
        <v>0.3</v>
      </c>
      <c r="AG113" s="1086">
        <v>350000000</v>
      </c>
      <c r="AH113" s="1097" t="s">
        <v>2095</v>
      </c>
      <c r="AI113" s="1086">
        <v>345340879</v>
      </c>
      <c r="AJ113" s="1086">
        <v>349611977</v>
      </c>
      <c r="AK113" s="1086">
        <v>350000000</v>
      </c>
      <c r="AL113" s="982">
        <f t="shared" si="118"/>
        <v>1</v>
      </c>
      <c r="AM113" s="1097" t="s">
        <v>2095</v>
      </c>
      <c r="AN113" s="1086">
        <v>336116947</v>
      </c>
      <c r="AO113" s="1086">
        <v>339791922</v>
      </c>
      <c r="AP113" s="1086">
        <v>349293656.91000003</v>
      </c>
      <c r="AQ113" s="983">
        <f t="shared" si="119"/>
        <v>0.99798187688571438</v>
      </c>
      <c r="AR113" s="915">
        <f t="shared" si="189"/>
        <v>9820055</v>
      </c>
      <c r="AS113" s="1093">
        <v>0</v>
      </c>
      <c r="AT113" s="1093">
        <v>0</v>
      </c>
      <c r="AU113" s="1093">
        <v>9223932</v>
      </c>
      <c r="AV113" s="1093">
        <v>9085716</v>
      </c>
      <c r="AW113" s="1093">
        <v>9820055</v>
      </c>
      <c r="AX113" s="1093">
        <v>9565125</v>
      </c>
      <c r="AY113" s="984">
        <f t="shared" si="110"/>
        <v>0.97403986026554845</v>
      </c>
      <c r="AZ113" s="1028">
        <v>1050000000</v>
      </c>
      <c r="BA113" s="957">
        <f t="shared" si="121"/>
        <v>1044952856</v>
      </c>
      <c r="BB113" s="930">
        <f t="shared" si="116"/>
        <v>0.99519319619047619</v>
      </c>
      <c r="BC113" s="986">
        <f t="shared" si="122"/>
        <v>1043853366.9100001</v>
      </c>
      <c r="BD113" s="930">
        <f t="shared" si="123"/>
        <v>0.99414606372380965</v>
      </c>
      <c r="BE113" s="987"/>
      <c r="BF113" s="987"/>
      <c r="BG113" s="910" t="s">
        <v>697</v>
      </c>
      <c r="BH113" s="1087" t="s">
        <v>2261</v>
      </c>
    </row>
    <row r="114" spans="1:61" s="865" customFormat="1" ht="57.75" customHeight="1">
      <c r="A114" s="893" t="s">
        <v>2276</v>
      </c>
      <c r="B114" s="894"/>
      <c r="C114" s="894"/>
      <c r="D114" s="895"/>
      <c r="E114" s="895"/>
      <c r="F114" s="895"/>
      <c r="G114" s="895"/>
      <c r="H114" s="895"/>
      <c r="I114" s="895"/>
      <c r="J114" s="895"/>
      <c r="K114" s="895"/>
      <c r="L114" s="895"/>
      <c r="M114" s="895"/>
      <c r="N114" s="895"/>
      <c r="O114" s="896">
        <f>+SUMPRODUCT(O115:O116,AC115:AC116)</f>
        <v>1</v>
      </c>
      <c r="P114" s="896">
        <f t="shared" ref="P114:R114" si="190">+SUMPRODUCT(P115:P116,AD115:AD116)</f>
        <v>1</v>
      </c>
      <c r="Q114" s="896">
        <f t="shared" si="190"/>
        <v>1</v>
      </c>
      <c r="R114" s="896">
        <f t="shared" si="190"/>
        <v>0</v>
      </c>
      <c r="S114" s="894"/>
      <c r="T114" s="894"/>
      <c r="U114" s="894"/>
      <c r="V114" s="894"/>
      <c r="W114" s="894"/>
      <c r="X114" s="894"/>
      <c r="Y114" s="897"/>
      <c r="Z114" s="897"/>
      <c r="AA114" s="896">
        <f>+SUMPRODUCT(AA115:AA116,AB115:AB116)</f>
        <v>1</v>
      </c>
      <c r="AB114" s="896">
        <v>0.25</v>
      </c>
      <c r="AC114" s="896">
        <v>0.25</v>
      </c>
      <c r="AD114" s="896">
        <v>0.25</v>
      </c>
      <c r="AE114" s="896">
        <v>0.25</v>
      </c>
      <c r="AF114" s="896">
        <v>0</v>
      </c>
      <c r="AG114" s="894">
        <f>SUM(AG115:AG116)</f>
        <v>0</v>
      </c>
      <c r="AH114" s="894">
        <f>SUM(AH115:AH116)</f>
        <v>774538631</v>
      </c>
      <c r="AI114" s="894">
        <f>SUM(AI115:AI116)</f>
        <v>611768885</v>
      </c>
      <c r="AJ114" s="894">
        <f>SUM(AJ115:AJ116)</f>
        <v>659245055</v>
      </c>
      <c r="AK114" s="894">
        <f>SUM(AK115:AK116)</f>
        <v>0</v>
      </c>
      <c r="AL114" s="900" t="e">
        <f t="shared" si="118"/>
        <v>#DIV/0!</v>
      </c>
      <c r="AM114" s="894">
        <f>SUM(AM115:AM116)</f>
        <v>735874108</v>
      </c>
      <c r="AN114" s="894">
        <f>SUM(AN115:AN116)</f>
        <v>453723271</v>
      </c>
      <c r="AO114" s="894">
        <f>SUM(AO115:AO116)</f>
        <v>364972711</v>
      </c>
      <c r="AP114" s="894"/>
      <c r="AQ114" s="901" t="e">
        <f t="shared" si="119"/>
        <v>#DIV/0!</v>
      </c>
      <c r="AR114" s="902">
        <f t="shared" ref="AR114:AX114" si="191">SUM(AR115:AR116)</f>
        <v>294272344</v>
      </c>
      <c r="AS114" s="902">
        <f t="shared" si="191"/>
        <v>38664523</v>
      </c>
      <c r="AT114" s="902">
        <f t="shared" si="191"/>
        <v>35671583</v>
      </c>
      <c r="AU114" s="902">
        <f t="shared" si="191"/>
        <v>158045614</v>
      </c>
      <c r="AV114" s="902">
        <f t="shared" si="191"/>
        <v>157801432</v>
      </c>
      <c r="AW114" s="902">
        <f t="shared" si="191"/>
        <v>294272344</v>
      </c>
      <c r="AX114" s="902">
        <f t="shared" si="191"/>
        <v>293561107</v>
      </c>
      <c r="AY114" s="903">
        <f t="shared" si="110"/>
        <v>0.9975830654341068</v>
      </c>
      <c r="AZ114" s="894">
        <f t="shared" ref="AZ114" si="192">SUM(AZ115:AZ116)</f>
        <v>2791770856</v>
      </c>
      <c r="BA114" s="894">
        <f t="shared" si="121"/>
        <v>2045552571</v>
      </c>
      <c r="BB114" s="896">
        <f t="shared" si="116"/>
        <v>0.73270790351713588</v>
      </c>
      <c r="BC114" s="962">
        <f t="shared" si="122"/>
        <v>2041604212</v>
      </c>
      <c r="BD114" s="896">
        <f t="shared" si="123"/>
        <v>0.73129361874819998</v>
      </c>
      <c r="BE114" s="902"/>
      <c r="BF114" s="902"/>
      <c r="BG114" s="902"/>
      <c r="BH114" s="902"/>
    </row>
    <row r="115" spans="1:61" s="865" customFormat="1" ht="183.75" customHeight="1">
      <c r="A115" s="1098" t="s">
        <v>1928</v>
      </c>
      <c r="B115" s="1047" t="s">
        <v>2277</v>
      </c>
      <c r="C115" s="937" t="s">
        <v>2086</v>
      </c>
      <c r="D115" s="1099">
        <v>2</v>
      </c>
      <c r="E115" s="1099">
        <v>2</v>
      </c>
      <c r="F115" s="1099">
        <v>3</v>
      </c>
      <c r="G115" s="1099">
        <v>0</v>
      </c>
      <c r="H115" s="906">
        <v>0</v>
      </c>
      <c r="I115" s="906">
        <v>0</v>
      </c>
      <c r="J115" s="906">
        <v>3</v>
      </c>
      <c r="K115" s="906"/>
      <c r="L115" s="906">
        <v>2</v>
      </c>
      <c r="M115" s="906">
        <v>2</v>
      </c>
      <c r="N115" s="906"/>
      <c r="O115" s="908">
        <f t="shared" ref="O115:Q116" si="193">+IFERROR(IF((H115+L115)/D115&gt;=100%,100%,(H115+L115)/D115),0)</f>
        <v>1</v>
      </c>
      <c r="P115" s="930">
        <f t="shared" si="193"/>
        <v>1</v>
      </c>
      <c r="Q115" s="930">
        <f t="shared" si="193"/>
        <v>1</v>
      </c>
      <c r="R115" s="908">
        <f t="shared" ref="R115:R116" si="194">+IFERROR(IF(K115/G115&gt;=100%,100%,K115/G115),0)</f>
        <v>0</v>
      </c>
      <c r="S115" s="909"/>
      <c r="T115" s="909"/>
      <c r="U115" s="941"/>
      <c r="V115" s="942"/>
      <c r="W115" s="909"/>
      <c r="X115" s="909"/>
      <c r="Y115" s="992">
        <f t="shared" ref="Y115:Y116" si="195">SUM(D115:G115)</f>
        <v>7</v>
      </c>
      <c r="Z115" s="913">
        <f t="shared" ref="Z115:Z116" si="196">SUM(H115:N115)</f>
        <v>7</v>
      </c>
      <c r="AA115" s="978">
        <f t="shared" ref="AA115:AA116" si="197">IF(Z115/Y115&gt;=100%,100%,Z115/Y115)</f>
        <v>1</v>
      </c>
      <c r="AB115" s="1049">
        <v>0.25</v>
      </c>
      <c r="AC115" s="1049">
        <v>0.25</v>
      </c>
      <c r="AD115" s="1049">
        <v>0.25</v>
      </c>
      <c r="AE115" s="1056">
        <v>0.25</v>
      </c>
      <c r="AF115" s="1056">
        <v>0</v>
      </c>
      <c r="AG115" s="1100">
        <v>0</v>
      </c>
      <c r="AH115" s="1100">
        <v>774538631</v>
      </c>
      <c r="AI115" s="1100">
        <v>197204527</v>
      </c>
      <c r="AJ115" s="1100">
        <v>259688348</v>
      </c>
      <c r="AK115" s="1100">
        <v>0</v>
      </c>
      <c r="AL115" s="982" t="e">
        <f t="shared" si="118"/>
        <v>#DIV/0!</v>
      </c>
      <c r="AM115" s="1100">
        <v>735874108</v>
      </c>
      <c r="AN115" s="1100">
        <v>151420167</v>
      </c>
      <c r="AO115" s="1100">
        <v>256207032</v>
      </c>
      <c r="AP115" s="1100"/>
      <c r="AQ115" s="983" t="e">
        <f t="shared" si="119"/>
        <v>#DIV/0!</v>
      </c>
      <c r="AR115" s="915">
        <f t="shared" ref="AR115:AR116" si="198">+AJ115-AO115</f>
        <v>3481316</v>
      </c>
      <c r="AS115" s="1100">
        <v>38664523</v>
      </c>
      <c r="AT115" s="1100">
        <v>35671583</v>
      </c>
      <c r="AU115" s="1100">
        <v>45784360</v>
      </c>
      <c r="AV115" s="1100">
        <v>45701430</v>
      </c>
      <c r="AW115" s="1100">
        <v>3481316</v>
      </c>
      <c r="AX115" s="1100">
        <v>3062885</v>
      </c>
      <c r="AY115" s="984">
        <f t="shared" si="110"/>
        <v>0.87980665932078561</v>
      </c>
      <c r="AZ115" s="1028">
        <v>1451770856</v>
      </c>
      <c r="BA115" s="957">
        <f t="shared" si="121"/>
        <v>1231431506</v>
      </c>
      <c r="BB115" s="983">
        <f t="shared" si="116"/>
        <v>0.84822718469008862</v>
      </c>
      <c r="BC115" s="986">
        <f t="shared" si="122"/>
        <v>1227937205</v>
      </c>
      <c r="BD115" s="930">
        <f t="shared" si="123"/>
        <v>0.84582026145867195</v>
      </c>
      <c r="BE115" s="987"/>
      <c r="BF115" s="926"/>
      <c r="BG115" s="910" t="s">
        <v>1107</v>
      </c>
      <c r="BH115" s="1352" t="s">
        <v>2216</v>
      </c>
    </row>
    <row r="116" spans="1:61" s="865" customFormat="1" ht="99" customHeight="1">
      <c r="A116" s="1098" t="s">
        <v>1865</v>
      </c>
      <c r="B116" s="1047" t="s">
        <v>1866</v>
      </c>
      <c r="C116" s="937" t="s">
        <v>2086</v>
      </c>
      <c r="D116" s="1099">
        <v>25</v>
      </c>
      <c r="E116" s="1099">
        <v>73</v>
      </c>
      <c r="F116" s="1099">
        <v>35</v>
      </c>
      <c r="G116" s="1099">
        <v>0</v>
      </c>
      <c r="H116" s="906">
        <v>0</v>
      </c>
      <c r="I116" s="906">
        <v>73</v>
      </c>
      <c r="J116" s="906">
        <v>35</v>
      </c>
      <c r="K116" s="906"/>
      <c r="L116" s="906">
        <v>25</v>
      </c>
      <c r="M116" s="906"/>
      <c r="N116" s="906"/>
      <c r="O116" s="908">
        <f t="shared" si="193"/>
        <v>1</v>
      </c>
      <c r="P116" s="930">
        <f t="shared" si="193"/>
        <v>1</v>
      </c>
      <c r="Q116" s="930">
        <f t="shared" si="193"/>
        <v>1</v>
      </c>
      <c r="R116" s="908">
        <f t="shared" si="194"/>
        <v>0</v>
      </c>
      <c r="S116" s="909"/>
      <c r="T116" s="909"/>
      <c r="U116" s="942"/>
      <c r="V116" s="942"/>
      <c r="W116" s="909"/>
      <c r="X116" s="933"/>
      <c r="Y116" s="992">
        <f t="shared" si="195"/>
        <v>133</v>
      </c>
      <c r="Z116" s="913">
        <f t="shared" si="196"/>
        <v>133</v>
      </c>
      <c r="AA116" s="978">
        <f t="shared" si="197"/>
        <v>1</v>
      </c>
      <c r="AB116" s="1049">
        <v>0.75</v>
      </c>
      <c r="AC116" s="1049">
        <v>0.75</v>
      </c>
      <c r="AD116" s="1049">
        <v>0.75</v>
      </c>
      <c r="AE116" s="1056">
        <v>0.75</v>
      </c>
      <c r="AF116" s="1056">
        <v>0</v>
      </c>
      <c r="AG116" s="1100">
        <v>0</v>
      </c>
      <c r="AH116" s="1100">
        <v>0</v>
      </c>
      <c r="AI116" s="1100">
        <v>414564358</v>
      </c>
      <c r="AJ116" s="1100">
        <v>399556707</v>
      </c>
      <c r="AK116" s="1100">
        <v>0</v>
      </c>
      <c r="AL116" s="982" t="e">
        <f t="shared" si="118"/>
        <v>#DIV/0!</v>
      </c>
      <c r="AM116" s="1100">
        <v>0</v>
      </c>
      <c r="AN116" s="1100">
        <v>302303104</v>
      </c>
      <c r="AO116" s="1100">
        <v>108765679</v>
      </c>
      <c r="AP116" s="1100"/>
      <c r="AQ116" s="983" t="e">
        <f t="shared" si="119"/>
        <v>#DIV/0!</v>
      </c>
      <c r="AR116" s="915">
        <f t="shared" si="198"/>
        <v>290791028</v>
      </c>
      <c r="AS116" s="1100">
        <v>0</v>
      </c>
      <c r="AT116" s="1100">
        <v>0</v>
      </c>
      <c r="AU116" s="1100">
        <v>112261254</v>
      </c>
      <c r="AV116" s="1100">
        <v>112100002</v>
      </c>
      <c r="AW116" s="1100">
        <v>290791028</v>
      </c>
      <c r="AX116" s="1100">
        <v>290498222</v>
      </c>
      <c r="AY116" s="984">
        <f t="shared" si="110"/>
        <v>0.99899307072156296</v>
      </c>
      <c r="AZ116" s="1028">
        <v>1340000000</v>
      </c>
      <c r="BA116" s="957">
        <f t="shared" si="121"/>
        <v>814121065</v>
      </c>
      <c r="BB116" s="930">
        <f t="shared" si="116"/>
        <v>0.60755303358208956</v>
      </c>
      <c r="BC116" s="986">
        <f t="shared" si="122"/>
        <v>813667007</v>
      </c>
      <c r="BD116" s="930">
        <f t="shared" si="123"/>
        <v>0.60721418432835816</v>
      </c>
      <c r="BE116" s="987"/>
      <c r="BF116" s="926"/>
      <c r="BG116" s="910" t="s">
        <v>697</v>
      </c>
      <c r="BH116" s="1345"/>
    </row>
    <row r="117" spans="1:61" s="892" customFormat="1" ht="47.4" customHeight="1">
      <c r="A117" s="882" t="s">
        <v>2278</v>
      </c>
      <c r="B117" s="883"/>
      <c r="C117" s="883"/>
      <c r="D117" s="884"/>
      <c r="E117" s="884"/>
      <c r="F117" s="1065"/>
      <c r="G117" s="1065"/>
      <c r="H117" s="884"/>
      <c r="I117" s="884"/>
      <c r="J117" s="1065"/>
      <c r="K117" s="1065"/>
      <c r="L117" s="884"/>
      <c r="M117" s="884"/>
      <c r="N117" s="884"/>
      <c r="O117" s="885">
        <f>+(O118*AC118)+(O121*AC121)+(O125*AC125)+(O132*AC132)</f>
        <v>1</v>
      </c>
      <c r="P117" s="885">
        <f t="shared" ref="P117:R117" si="199">+(P118*AD118)+(P121*AD121)+(P125*AD125)+(P132*AD132)</f>
        <v>1</v>
      </c>
      <c r="Q117" s="885">
        <f t="shared" si="199"/>
        <v>1</v>
      </c>
      <c r="R117" s="885">
        <f t="shared" si="199"/>
        <v>1</v>
      </c>
      <c r="S117" s="883"/>
      <c r="T117" s="883"/>
      <c r="U117" s="883"/>
      <c r="V117" s="883"/>
      <c r="W117" s="883"/>
      <c r="X117" s="883"/>
      <c r="Y117" s="886"/>
      <c r="Z117" s="886"/>
      <c r="AA117" s="885">
        <f>+(AA118*AB118)+(AA121*AB121)+(AA125*AB125)+(AA132*AB132)</f>
        <v>1</v>
      </c>
      <c r="AB117" s="885">
        <v>0.35</v>
      </c>
      <c r="AC117" s="885">
        <v>0.35</v>
      </c>
      <c r="AD117" s="885">
        <v>0.35</v>
      </c>
      <c r="AE117" s="885">
        <v>0.35</v>
      </c>
      <c r="AF117" s="885">
        <v>0.35</v>
      </c>
      <c r="AG117" s="883">
        <f>+AG118+AG121+AG125+AG132</f>
        <v>1780000000</v>
      </c>
      <c r="AH117" s="883">
        <f>+AH118+AH121+AH125+AH132</f>
        <v>874500000</v>
      </c>
      <c r="AI117" s="883">
        <f>+AI118+AI121+AI125+AI132</f>
        <v>1463313971.6800001</v>
      </c>
      <c r="AJ117" s="883">
        <f>+AJ118+AJ121+AJ125+AJ132</f>
        <v>1672302090.1599998</v>
      </c>
      <c r="AK117" s="883">
        <f>+AK118+AK121+AK125+AK132</f>
        <v>1780000000</v>
      </c>
      <c r="AL117" s="888">
        <f t="shared" si="118"/>
        <v>1</v>
      </c>
      <c r="AM117" s="883">
        <f>+AM118+AM121+AM125+AM132</f>
        <v>94500000</v>
      </c>
      <c r="AN117" s="883">
        <f>+AN118+AN121+AN125+AN132</f>
        <v>1300268561</v>
      </c>
      <c r="AO117" s="883">
        <f>+AO118+AO121+AO125+AO132</f>
        <v>1112650927</v>
      </c>
      <c r="AP117" s="889">
        <f>+AP118+AP121+AP125+AP132</f>
        <v>948282883.75</v>
      </c>
      <c r="AQ117" s="890">
        <f t="shared" si="119"/>
        <v>0.53274319311797758</v>
      </c>
      <c r="AR117" s="883">
        <f t="shared" ref="AR117:AX117" si="200">+AR118+AR121+AR125+AR132</f>
        <v>559651163.15999997</v>
      </c>
      <c r="AS117" s="883">
        <f t="shared" si="200"/>
        <v>780000000</v>
      </c>
      <c r="AT117" s="883">
        <f t="shared" si="200"/>
        <v>692000000</v>
      </c>
      <c r="AU117" s="883">
        <f t="shared" si="200"/>
        <v>163045410.68000001</v>
      </c>
      <c r="AV117" s="883">
        <f t="shared" si="200"/>
        <v>154656811.19999999</v>
      </c>
      <c r="AW117" s="883">
        <f t="shared" si="200"/>
        <v>559651163.15999997</v>
      </c>
      <c r="AX117" s="883">
        <f t="shared" si="200"/>
        <v>552773633.15999997</v>
      </c>
      <c r="AY117" s="891">
        <f t="shared" si="110"/>
        <v>0.98771104135446286</v>
      </c>
      <c r="AZ117" s="883">
        <f t="shared" ref="AZ117" si="201">+AZ118+AZ121+AZ125+AZ132</f>
        <v>6175000000</v>
      </c>
      <c r="BA117" s="883">
        <f t="shared" si="121"/>
        <v>5790116061.8400002</v>
      </c>
      <c r="BB117" s="885">
        <f t="shared" si="116"/>
        <v>0.93767061730202428</v>
      </c>
      <c r="BC117" s="967">
        <f t="shared" si="122"/>
        <v>4855132816.1099997</v>
      </c>
      <c r="BD117" s="885">
        <f t="shared" si="123"/>
        <v>0.78625632649554655</v>
      </c>
      <c r="BE117" s="883"/>
      <c r="BF117" s="883" t="s">
        <v>1699</v>
      </c>
      <c r="BG117" s="883"/>
      <c r="BH117" s="883"/>
      <c r="BI117" s="892" t="s">
        <v>2081</v>
      </c>
    </row>
    <row r="118" spans="1:61" s="865" customFormat="1" ht="47.4" customHeight="1">
      <c r="A118" s="893" t="s">
        <v>2279</v>
      </c>
      <c r="B118" s="894"/>
      <c r="C118" s="894"/>
      <c r="D118" s="895"/>
      <c r="E118" s="895"/>
      <c r="F118" s="895"/>
      <c r="G118" s="895"/>
      <c r="H118" s="895"/>
      <c r="I118" s="895"/>
      <c r="J118" s="895"/>
      <c r="K118" s="895"/>
      <c r="L118" s="895"/>
      <c r="M118" s="895"/>
      <c r="N118" s="895"/>
      <c r="O118" s="896">
        <f>+SUMPRODUCT(O119:O120,AC119:AC120)</f>
        <v>1</v>
      </c>
      <c r="P118" s="896">
        <f t="shared" ref="P118:R118" si="202">+SUMPRODUCT(P119:P120,AD119:AD120)</f>
        <v>1</v>
      </c>
      <c r="Q118" s="896">
        <f t="shared" si="202"/>
        <v>1</v>
      </c>
      <c r="R118" s="896">
        <f t="shared" si="202"/>
        <v>1</v>
      </c>
      <c r="S118" s="894"/>
      <c r="T118" s="894"/>
      <c r="U118" s="894"/>
      <c r="V118" s="894"/>
      <c r="W118" s="894"/>
      <c r="X118" s="894"/>
      <c r="Y118" s="897"/>
      <c r="Z118" s="897"/>
      <c r="AA118" s="896">
        <f>+SUMPRODUCT(AA119:AA120,AB119:AB120)</f>
        <v>1</v>
      </c>
      <c r="AB118" s="896">
        <v>0.25</v>
      </c>
      <c r="AC118" s="896">
        <v>0.25</v>
      </c>
      <c r="AD118" s="896">
        <v>0.25</v>
      </c>
      <c r="AE118" s="896">
        <v>0.25</v>
      </c>
      <c r="AF118" s="896">
        <v>0.25</v>
      </c>
      <c r="AG118" s="894">
        <f>SUM(AG119:AG120)</f>
        <v>250000000</v>
      </c>
      <c r="AH118" s="894">
        <f>SUM(AH119:AH120)</f>
        <v>94500000</v>
      </c>
      <c r="AI118" s="894">
        <f>SUM(AI119:AI120)</f>
        <v>467921845</v>
      </c>
      <c r="AJ118" s="894">
        <f>SUM(AJ119:AJ120)</f>
        <v>649281522</v>
      </c>
      <c r="AK118" s="894">
        <f>SUM(AK119:AK120)</f>
        <v>250000000</v>
      </c>
      <c r="AL118" s="900">
        <f t="shared" si="118"/>
        <v>1</v>
      </c>
      <c r="AM118" s="894">
        <f>SUM(AM119:AM120)</f>
        <v>82500000</v>
      </c>
      <c r="AN118" s="894">
        <f>SUM(AN119:AN120)</f>
        <v>452912348</v>
      </c>
      <c r="AO118" s="894">
        <f>SUM(AO119:AO120)</f>
        <v>414575379</v>
      </c>
      <c r="AP118" s="894">
        <f>SUM(AP119:AP120)</f>
        <v>75583325</v>
      </c>
      <c r="AQ118" s="901">
        <f t="shared" si="119"/>
        <v>0.30233330000000003</v>
      </c>
      <c r="AR118" s="902">
        <f t="shared" ref="AR118:AX118" si="203">SUM(AR119:AR120)</f>
        <v>234706143</v>
      </c>
      <c r="AS118" s="894">
        <f t="shared" si="203"/>
        <v>12000000</v>
      </c>
      <c r="AT118" s="894">
        <f t="shared" si="203"/>
        <v>12000000</v>
      </c>
      <c r="AU118" s="894">
        <f t="shared" si="203"/>
        <v>15009497</v>
      </c>
      <c r="AV118" s="894">
        <f t="shared" si="203"/>
        <v>14799549</v>
      </c>
      <c r="AW118" s="894">
        <f t="shared" si="203"/>
        <v>234706143</v>
      </c>
      <c r="AX118" s="894">
        <f t="shared" si="203"/>
        <v>234145237</v>
      </c>
      <c r="AY118" s="903">
        <f t="shared" si="110"/>
        <v>0.99761017759130399</v>
      </c>
      <c r="AZ118" s="902">
        <f t="shared" ref="AZ118" si="204">SUM(AZ119:AZ120)</f>
        <v>1515000000</v>
      </c>
      <c r="BA118" s="902">
        <f t="shared" si="121"/>
        <v>1461703367</v>
      </c>
      <c r="BB118" s="896">
        <f t="shared" si="116"/>
        <v>0.96482070429042899</v>
      </c>
      <c r="BC118" s="962">
        <f t="shared" si="122"/>
        <v>1286515838</v>
      </c>
      <c r="BD118" s="896">
        <f t="shared" si="123"/>
        <v>0.84918537161716168</v>
      </c>
      <c r="BE118" s="902"/>
      <c r="BF118" s="902"/>
      <c r="BG118" s="902"/>
      <c r="BH118" s="902"/>
    </row>
    <row r="119" spans="1:61" s="865" customFormat="1" ht="47.4" customHeight="1">
      <c r="A119" s="1101" t="s">
        <v>1889</v>
      </c>
      <c r="B119" s="1102" t="s">
        <v>2280</v>
      </c>
      <c r="C119" s="905" t="s">
        <v>1054</v>
      </c>
      <c r="D119" s="1278">
        <v>1</v>
      </c>
      <c r="E119" s="1278">
        <v>1</v>
      </c>
      <c r="F119" s="1278">
        <v>1</v>
      </c>
      <c r="G119" s="1278">
        <v>1</v>
      </c>
      <c r="H119" s="1278">
        <v>1</v>
      </c>
      <c r="I119" s="908">
        <v>1</v>
      </c>
      <c r="J119" s="908">
        <v>1</v>
      </c>
      <c r="K119" s="908">
        <v>1</v>
      </c>
      <c r="L119" s="906"/>
      <c r="M119" s="906"/>
      <c r="N119" s="906"/>
      <c r="O119" s="908">
        <f t="shared" ref="O119:Q120" si="205">+IFERROR(IF((H119+L119)/D119&gt;=100%,100%,(H119+L119)/D119),0)</f>
        <v>1</v>
      </c>
      <c r="P119" s="930">
        <f t="shared" si="205"/>
        <v>1</v>
      </c>
      <c r="Q119" s="930">
        <f t="shared" si="205"/>
        <v>1</v>
      </c>
      <c r="R119" s="908">
        <f t="shared" ref="R119:R120" si="206">+IFERROR(IF(K119/G119&gt;=100%,100%,K119/G119),0)</f>
        <v>1</v>
      </c>
      <c r="S119" s="910" t="s">
        <v>2741</v>
      </c>
      <c r="T119" s="931">
        <v>45291</v>
      </c>
      <c r="U119" s="942" t="s">
        <v>2092</v>
      </c>
      <c r="V119" s="942"/>
      <c r="W119" s="909" t="s">
        <v>2683</v>
      </c>
      <c r="X119" s="933" t="s">
        <v>2281</v>
      </c>
      <c r="Y119" s="1103">
        <f t="shared" ref="Y119:Y120" si="207">SUM(D119:G119)</f>
        <v>4</v>
      </c>
      <c r="Z119" s="913">
        <f t="shared" ref="Z119:Z120" si="208">SUM(H119:N119)</f>
        <v>4</v>
      </c>
      <c r="AA119" s="928">
        <f>IF(Z119/Y119&gt;=100%,100%,Z119/Y119)</f>
        <v>1</v>
      </c>
      <c r="AB119" s="1056">
        <v>0.5</v>
      </c>
      <c r="AC119" s="1056">
        <v>1</v>
      </c>
      <c r="AD119" s="1056">
        <v>0.5</v>
      </c>
      <c r="AE119" s="1056">
        <v>0.5</v>
      </c>
      <c r="AF119" s="1056">
        <v>1</v>
      </c>
      <c r="AG119" s="1104">
        <v>250000000</v>
      </c>
      <c r="AH119" s="1104">
        <v>94500000</v>
      </c>
      <c r="AI119" s="1104">
        <v>246583312</v>
      </c>
      <c r="AJ119" s="1104">
        <v>299668395</v>
      </c>
      <c r="AK119" s="1104">
        <v>250000000</v>
      </c>
      <c r="AL119" s="916">
        <f t="shared" si="118"/>
        <v>1</v>
      </c>
      <c r="AM119" s="1104">
        <v>82500000</v>
      </c>
      <c r="AN119" s="1104">
        <v>238819095</v>
      </c>
      <c r="AO119" s="1104">
        <v>262704021</v>
      </c>
      <c r="AP119" s="1104">
        <v>75583325</v>
      </c>
      <c r="AQ119" s="928">
        <f t="shared" si="119"/>
        <v>0.30233330000000003</v>
      </c>
      <c r="AR119" s="915">
        <f t="shared" ref="AR119:AR120" si="209">+AJ119-AO119</f>
        <v>36964374</v>
      </c>
      <c r="AS119" s="1104">
        <v>12000000</v>
      </c>
      <c r="AT119" s="1104">
        <v>12000000</v>
      </c>
      <c r="AU119" s="1104">
        <v>7764217</v>
      </c>
      <c r="AV119" s="1104">
        <v>7662859</v>
      </c>
      <c r="AW119" s="1104">
        <v>36964374</v>
      </c>
      <c r="AX119" s="1104">
        <v>36657646</v>
      </c>
      <c r="AY119" s="956">
        <f t="shared" si="110"/>
        <v>0.99170206426328222</v>
      </c>
      <c r="AZ119" s="1041">
        <v>940000000</v>
      </c>
      <c r="BA119" s="957">
        <f t="shared" si="121"/>
        <v>890751707</v>
      </c>
      <c r="BB119" s="930">
        <f t="shared" si="116"/>
        <v>0.94760819893617021</v>
      </c>
      <c r="BC119" s="986">
        <f t="shared" si="122"/>
        <v>715926946</v>
      </c>
      <c r="BD119" s="930">
        <f t="shared" si="123"/>
        <v>0.76162441063829789</v>
      </c>
      <c r="BE119" s="926"/>
      <c r="BF119" s="926"/>
      <c r="BG119" s="910" t="s">
        <v>1107</v>
      </c>
      <c r="BH119" s="1105" t="s">
        <v>2261</v>
      </c>
    </row>
    <row r="120" spans="1:61" s="865" customFormat="1" ht="69" customHeight="1">
      <c r="A120" s="1101" t="s">
        <v>1890</v>
      </c>
      <c r="B120" s="1102" t="s">
        <v>2282</v>
      </c>
      <c r="C120" s="937" t="s">
        <v>2086</v>
      </c>
      <c r="D120" s="1099">
        <v>0</v>
      </c>
      <c r="E120" s="1099">
        <v>10</v>
      </c>
      <c r="F120" s="1099">
        <v>12</v>
      </c>
      <c r="G120" s="1099">
        <v>0</v>
      </c>
      <c r="H120" s="1099">
        <v>0</v>
      </c>
      <c r="I120" s="906">
        <v>10</v>
      </c>
      <c r="J120" s="906">
        <v>12</v>
      </c>
      <c r="K120" s="906"/>
      <c r="L120" s="906"/>
      <c r="M120" s="906"/>
      <c r="N120" s="906"/>
      <c r="O120" s="908">
        <f t="shared" si="205"/>
        <v>0</v>
      </c>
      <c r="P120" s="930">
        <f t="shared" si="205"/>
        <v>1</v>
      </c>
      <c r="Q120" s="930">
        <f t="shared" si="205"/>
        <v>1</v>
      </c>
      <c r="R120" s="908">
        <f t="shared" si="206"/>
        <v>0</v>
      </c>
      <c r="S120" s="910"/>
      <c r="T120" s="910"/>
      <c r="U120" s="942"/>
      <c r="V120" s="942"/>
      <c r="W120" s="909"/>
      <c r="X120" s="933"/>
      <c r="Y120" s="1099">
        <f t="shared" si="207"/>
        <v>22</v>
      </c>
      <c r="Z120" s="913">
        <f t="shared" si="208"/>
        <v>22</v>
      </c>
      <c r="AA120" s="928">
        <f>IF(Z120/Y120&gt;=100%,100%,Z120/Y120)</f>
        <v>1</v>
      </c>
      <c r="AB120" s="1056">
        <v>0.5</v>
      </c>
      <c r="AC120" s="1056">
        <v>0</v>
      </c>
      <c r="AD120" s="1056">
        <v>0.5</v>
      </c>
      <c r="AE120" s="1056">
        <v>0.5</v>
      </c>
      <c r="AF120" s="1056">
        <v>0</v>
      </c>
      <c r="AG120" s="1104">
        <v>0</v>
      </c>
      <c r="AH120" s="1104">
        <v>0</v>
      </c>
      <c r="AI120" s="1104">
        <v>221338533</v>
      </c>
      <c r="AJ120" s="1104">
        <v>349613127</v>
      </c>
      <c r="AK120" s="1104">
        <v>0</v>
      </c>
      <c r="AL120" s="916" t="e">
        <f t="shared" si="118"/>
        <v>#DIV/0!</v>
      </c>
      <c r="AM120" s="1104">
        <v>0</v>
      </c>
      <c r="AN120" s="1104">
        <v>214093253</v>
      </c>
      <c r="AO120" s="1104">
        <v>151871358</v>
      </c>
      <c r="AP120" s="1104"/>
      <c r="AQ120" s="928" t="e">
        <f t="shared" si="119"/>
        <v>#DIV/0!</v>
      </c>
      <c r="AR120" s="915">
        <f t="shared" si="209"/>
        <v>197741769</v>
      </c>
      <c r="AS120" s="1104">
        <v>0</v>
      </c>
      <c r="AT120" s="1104">
        <v>0</v>
      </c>
      <c r="AU120" s="1104">
        <v>7245280</v>
      </c>
      <c r="AV120" s="1104">
        <v>7136690</v>
      </c>
      <c r="AW120" s="1104">
        <v>197741769</v>
      </c>
      <c r="AX120" s="1104">
        <v>197487591</v>
      </c>
      <c r="AY120" s="956">
        <f t="shared" si="110"/>
        <v>0.99871459630767234</v>
      </c>
      <c r="AZ120" s="1041">
        <v>575000000</v>
      </c>
      <c r="BA120" s="957">
        <f t="shared" si="121"/>
        <v>570951660</v>
      </c>
      <c r="BB120" s="930">
        <f t="shared" si="116"/>
        <v>0.99295940869565213</v>
      </c>
      <c r="BC120" s="986">
        <f t="shared" si="122"/>
        <v>570588892</v>
      </c>
      <c r="BD120" s="930">
        <f t="shared" si="123"/>
        <v>0.99232850782608695</v>
      </c>
      <c r="BE120" s="926"/>
      <c r="BF120" s="926"/>
      <c r="BG120" s="910" t="s">
        <v>1107</v>
      </c>
      <c r="BH120" s="1105" t="s">
        <v>2261</v>
      </c>
    </row>
    <row r="121" spans="1:61" s="865" customFormat="1" ht="47.4" customHeight="1">
      <c r="A121" s="893" t="s">
        <v>2283</v>
      </c>
      <c r="B121" s="894"/>
      <c r="C121" s="894"/>
      <c r="D121" s="895"/>
      <c r="E121" s="895"/>
      <c r="F121" s="895"/>
      <c r="G121" s="895"/>
      <c r="H121" s="895"/>
      <c r="I121" s="895"/>
      <c r="J121" s="895"/>
      <c r="K121" s="895"/>
      <c r="L121" s="895"/>
      <c r="M121" s="895"/>
      <c r="N121" s="895"/>
      <c r="O121" s="896">
        <f>+SUMPRODUCT(O122:O124,AC122:AC124)</f>
        <v>1</v>
      </c>
      <c r="P121" s="896">
        <f t="shared" ref="P121:R121" si="210">+SUMPRODUCT(P122:P124,AD122:AD124)</f>
        <v>1</v>
      </c>
      <c r="Q121" s="896">
        <f t="shared" si="210"/>
        <v>1</v>
      </c>
      <c r="R121" s="896">
        <f t="shared" si="210"/>
        <v>1</v>
      </c>
      <c r="S121" s="894"/>
      <c r="T121" s="894"/>
      <c r="U121" s="894"/>
      <c r="V121" s="894"/>
      <c r="W121" s="894"/>
      <c r="X121" s="894"/>
      <c r="Y121" s="897"/>
      <c r="Z121" s="897"/>
      <c r="AA121" s="896">
        <f>+SUMPRODUCT(AA122:AA124,AB122:AB124)</f>
        <v>1</v>
      </c>
      <c r="AB121" s="896">
        <v>0.25</v>
      </c>
      <c r="AC121" s="896">
        <v>0.25</v>
      </c>
      <c r="AD121" s="896">
        <v>0.25</v>
      </c>
      <c r="AE121" s="896">
        <v>0.25</v>
      </c>
      <c r="AF121" s="896">
        <v>0.25</v>
      </c>
      <c r="AG121" s="894">
        <f>SUM(AG122:AG124)</f>
        <v>680000000</v>
      </c>
      <c r="AH121" s="894">
        <f>SUM(AH122:AH124)</f>
        <v>680000000</v>
      </c>
      <c r="AI121" s="894">
        <f>SUM(AI122:AI124)</f>
        <v>523011320</v>
      </c>
      <c r="AJ121" s="894">
        <f>SUM(AJ122:AJ124)</f>
        <v>622866147</v>
      </c>
      <c r="AK121" s="894">
        <f>SUM(AK122:AK124)</f>
        <v>680000000</v>
      </c>
      <c r="AL121" s="900">
        <f t="shared" si="118"/>
        <v>1</v>
      </c>
      <c r="AM121" s="894">
        <f>SUM(AM122:AM124)</f>
        <v>0</v>
      </c>
      <c r="AN121" s="894">
        <f>SUM(AN122:AN124)</f>
        <v>479175420</v>
      </c>
      <c r="AO121" s="894">
        <f>SUM(AO122:AO124)</f>
        <v>448091489</v>
      </c>
      <c r="AP121" s="894">
        <f>SUM(AP122:AP124)</f>
        <v>519364471.75</v>
      </c>
      <c r="AQ121" s="901">
        <f t="shared" si="119"/>
        <v>0.76377128198529409</v>
      </c>
      <c r="AR121" s="902">
        <f t="shared" ref="AR121:AX121" si="211">SUM(AR122:AR124)</f>
        <v>174774658</v>
      </c>
      <c r="AS121" s="894">
        <f t="shared" si="211"/>
        <v>680000000</v>
      </c>
      <c r="AT121" s="894">
        <f t="shared" si="211"/>
        <v>680000000</v>
      </c>
      <c r="AU121" s="894">
        <f t="shared" si="211"/>
        <v>43835900</v>
      </c>
      <c r="AV121" s="894">
        <f t="shared" si="211"/>
        <v>43628576</v>
      </c>
      <c r="AW121" s="894">
        <f t="shared" si="211"/>
        <v>174774658</v>
      </c>
      <c r="AX121" s="894">
        <f t="shared" si="211"/>
        <v>172502810</v>
      </c>
      <c r="AY121" s="903">
        <f t="shared" si="110"/>
        <v>0.98700127337683019</v>
      </c>
      <c r="AZ121" s="894">
        <f t="shared" ref="AZ121" si="212">SUM(AZ122:AZ124)</f>
        <v>2520000000</v>
      </c>
      <c r="BA121" s="894">
        <f t="shared" si="121"/>
        <v>2505877467</v>
      </c>
      <c r="BB121" s="896">
        <f t="shared" si="116"/>
        <v>0.99439582023809525</v>
      </c>
      <c r="BC121" s="962">
        <f t="shared" si="122"/>
        <v>2342762766.75</v>
      </c>
      <c r="BD121" s="896">
        <f t="shared" si="123"/>
        <v>0.92966776458333333</v>
      </c>
      <c r="BE121" s="902"/>
      <c r="BF121" s="902"/>
      <c r="BG121" s="902"/>
      <c r="BH121" s="902"/>
      <c r="BI121" s="865" t="s">
        <v>2081</v>
      </c>
    </row>
    <row r="122" spans="1:61" s="865" customFormat="1" ht="47.4" customHeight="1">
      <c r="A122" s="1096" t="s">
        <v>1891</v>
      </c>
      <c r="B122" s="1106" t="s">
        <v>2284</v>
      </c>
      <c r="C122" s="937" t="s">
        <v>2086</v>
      </c>
      <c r="D122" s="990">
        <v>2</v>
      </c>
      <c r="E122" s="990">
        <v>7</v>
      </c>
      <c r="F122" s="990">
        <v>7</v>
      </c>
      <c r="G122" s="990">
        <v>4</v>
      </c>
      <c r="H122" s="906">
        <v>0</v>
      </c>
      <c r="I122" s="906">
        <v>7</v>
      </c>
      <c r="J122" s="906">
        <v>7</v>
      </c>
      <c r="K122" s="906">
        <v>4</v>
      </c>
      <c r="L122" s="906">
        <v>2</v>
      </c>
      <c r="M122" s="906"/>
      <c r="N122" s="906"/>
      <c r="O122" s="908">
        <f t="shared" ref="O122:Q124" si="213">+IFERROR(IF((H122+L122)/D122&gt;=100%,100%,(H122+L122)/D122),0)</f>
        <v>1</v>
      </c>
      <c r="P122" s="930">
        <f t="shared" si="213"/>
        <v>1</v>
      </c>
      <c r="Q122" s="930">
        <f t="shared" si="213"/>
        <v>1</v>
      </c>
      <c r="R122" s="908">
        <f t="shared" ref="R122:R124" si="214">+IFERROR(IF(K122/G122&gt;=100%,100%,K122/G122),0)</f>
        <v>1</v>
      </c>
      <c r="S122" s="910" t="s">
        <v>2742</v>
      </c>
      <c r="T122" s="931">
        <v>45291</v>
      </c>
      <c r="U122" s="942" t="s">
        <v>2092</v>
      </c>
      <c r="V122" s="942"/>
      <c r="W122" s="909" t="s">
        <v>2683</v>
      </c>
      <c r="X122" s="933" t="s">
        <v>2275</v>
      </c>
      <c r="Y122" s="913">
        <f t="shared" ref="Y122:Y124" si="215">SUM(D122:G122)</f>
        <v>20</v>
      </c>
      <c r="Z122" s="913">
        <f t="shared" ref="Z122:Z124" si="216">SUM(H122:N122)</f>
        <v>20</v>
      </c>
      <c r="AA122" s="928">
        <f>IF(Z122/Y122&gt;=100%,100%,Z122/Y122)</f>
        <v>1</v>
      </c>
      <c r="AB122" s="1056">
        <v>0.35</v>
      </c>
      <c r="AC122" s="1056">
        <v>0.35</v>
      </c>
      <c r="AD122" s="1056">
        <v>0.35</v>
      </c>
      <c r="AE122" s="1056">
        <v>0.35</v>
      </c>
      <c r="AF122" s="1056">
        <v>0.35</v>
      </c>
      <c r="AG122" s="1107">
        <v>400000000</v>
      </c>
      <c r="AH122" s="1108">
        <v>480000000</v>
      </c>
      <c r="AI122" s="1108">
        <f>345340879/2</f>
        <v>172670439.5</v>
      </c>
      <c r="AJ122" s="1108">
        <v>395553830</v>
      </c>
      <c r="AK122" s="1108">
        <v>400000000</v>
      </c>
      <c r="AL122" s="916">
        <f t="shared" si="118"/>
        <v>1</v>
      </c>
      <c r="AM122" s="1108">
        <v>0</v>
      </c>
      <c r="AN122" s="1108">
        <f>306116947/2</f>
        <v>153058473.5</v>
      </c>
      <c r="AO122" s="1109">
        <v>425232234</v>
      </c>
      <c r="AP122" s="1110">
        <v>400000000</v>
      </c>
      <c r="AQ122" s="928">
        <f t="shared" si="119"/>
        <v>1</v>
      </c>
      <c r="AR122" s="915">
        <f>+AJ122-AO122</f>
        <v>-29678404</v>
      </c>
      <c r="AS122" s="1108">
        <f>480000000/2</f>
        <v>240000000</v>
      </c>
      <c r="AT122" s="1108">
        <f>480000000/2</f>
        <v>240000000</v>
      </c>
      <c r="AU122" s="1108">
        <f>39223932/2</f>
        <v>19611966</v>
      </c>
      <c r="AV122" s="1108">
        <f>39085716/2</f>
        <v>19542858</v>
      </c>
      <c r="AW122" s="1108">
        <f>27821596/2</f>
        <v>13910798</v>
      </c>
      <c r="AX122" s="1108">
        <f>27036478/2</f>
        <v>13518239</v>
      </c>
      <c r="AY122" s="956">
        <f t="shared" si="110"/>
        <v>0.97178026738652956</v>
      </c>
      <c r="AZ122" s="1041">
        <v>1435000000</v>
      </c>
      <c r="BA122" s="957">
        <f t="shared" si="121"/>
        <v>1448224269.5</v>
      </c>
      <c r="BB122" s="930">
        <f t="shared" si="116"/>
        <v>1.0092155188153311</v>
      </c>
      <c r="BC122" s="986">
        <f t="shared" si="122"/>
        <v>1251351804.5</v>
      </c>
      <c r="BD122" s="930">
        <f t="shared" si="123"/>
        <v>0.87202216341463412</v>
      </c>
      <c r="BE122" s="987"/>
      <c r="BF122" s="987"/>
      <c r="BG122" s="910" t="s">
        <v>1107</v>
      </c>
      <c r="BH122" s="1351" t="s">
        <v>2285</v>
      </c>
      <c r="BI122" s="865" t="s">
        <v>2081</v>
      </c>
    </row>
    <row r="123" spans="1:61" s="865" customFormat="1" ht="47.4" customHeight="1">
      <c r="A123" s="1096" t="s">
        <v>1892</v>
      </c>
      <c r="B123" s="1106" t="s">
        <v>2286</v>
      </c>
      <c r="C123" s="937" t="s">
        <v>2086</v>
      </c>
      <c r="D123" s="990">
        <v>1</v>
      </c>
      <c r="E123" s="990">
        <v>1</v>
      </c>
      <c r="F123" s="990">
        <v>1</v>
      </c>
      <c r="G123" s="990">
        <v>1</v>
      </c>
      <c r="H123" s="906">
        <v>0</v>
      </c>
      <c r="I123" s="906">
        <v>1</v>
      </c>
      <c r="J123" s="906">
        <v>1</v>
      </c>
      <c r="K123" s="906">
        <v>1</v>
      </c>
      <c r="L123" s="906">
        <v>1</v>
      </c>
      <c r="M123" s="906"/>
      <c r="N123" s="906"/>
      <c r="O123" s="908">
        <f t="shared" si="213"/>
        <v>1</v>
      </c>
      <c r="P123" s="930">
        <f t="shared" si="213"/>
        <v>1</v>
      </c>
      <c r="Q123" s="930">
        <f t="shared" si="213"/>
        <v>1</v>
      </c>
      <c r="R123" s="908">
        <f t="shared" si="214"/>
        <v>1</v>
      </c>
      <c r="S123" s="910" t="s">
        <v>2743</v>
      </c>
      <c r="T123" s="931">
        <v>45291</v>
      </c>
      <c r="U123" s="942" t="s">
        <v>2092</v>
      </c>
      <c r="V123" s="942"/>
      <c r="W123" s="909" t="s">
        <v>2683</v>
      </c>
      <c r="X123" s="933" t="s">
        <v>2275</v>
      </c>
      <c r="Y123" s="913">
        <f t="shared" si="215"/>
        <v>4</v>
      </c>
      <c r="Z123" s="913">
        <f t="shared" si="216"/>
        <v>4</v>
      </c>
      <c r="AA123" s="928">
        <f t="shared" ref="AA123:AA124" si="217">IF(Z123/Y123&gt;=100%,100%,Z123/Y123)</f>
        <v>1</v>
      </c>
      <c r="AB123" s="1056">
        <v>0.35</v>
      </c>
      <c r="AC123" s="1056">
        <v>0.35</v>
      </c>
      <c r="AD123" s="1056">
        <v>0.35</v>
      </c>
      <c r="AE123" s="1056">
        <v>0.35</v>
      </c>
      <c r="AF123" s="1056">
        <v>0.35</v>
      </c>
      <c r="AG123" s="1107">
        <v>80000000</v>
      </c>
      <c r="AH123" s="1111">
        <v>0</v>
      </c>
      <c r="AI123" s="1108">
        <f>345340879/2</f>
        <v>172670439.5</v>
      </c>
      <c r="AJ123" s="1108">
        <v>57500000</v>
      </c>
      <c r="AK123" s="1108">
        <v>80000000</v>
      </c>
      <c r="AL123" s="916">
        <f t="shared" si="118"/>
        <v>1</v>
      </c>
      <c r="AM123" s="1111">
        <v>0</v>
      </c>
      <c r="AN123" s="1108">
        <f>306116947/2</f>
        <v>153058473.5</v>
      </c>
      <c r="AO123" s="1108">
        <v>0</v>
      </c>
      <c r="AP123" s="1108">
        <v>79697811.75</v>
      </c>
      <c r="AQ123" s="928">
        <f t="shared" si="119"/>
        <v>0.99622264687499995</v>
      </c>
      <c r="AR123" s="915">
        <f t="shared" ref="AR123" si="218">+AJ123-AO123</f>
        <v>57500000</v>
      </c>
      <c r="AS123" s="1108">
        <f>480000000/2</f>
        <v>240000000</v>
      </c>
      <c r="AT123" s="1108">
        <f>480000000/2</f>
        <v>240000000</v>
      </c>
      <c r="AU123" s="1108">
        <f>39223932/2</f>
        <v>19611966</v>
      </c>
      <c r="AV123" s="1108">
        <f>39085716/2</f>
        <v>19542858</v>
      </c>
      <c r="AW123" s="1108">
        <f>27821596/2</f>
        <v>13910798</v>
      </c>
      <c r="AX123" s="1108">
        <f>27036478/2</f>
        <v>13518239</v>
      </c>
      <c r="AY123" s="956">
        <f t="shared" si="110"/>
        <v>0.97178026738652956</v>
      </c>
      <c r="AZ123" s="1041">
        <v>335000000</v>
      </c>
      <c r="BA123" s="957">
        <f t="shared" si="121"/>
        <v>310170439.5</v>
      </c>
      <c r="BB123" s="983">
        <f t="shared" si="116"/>
        <v>0.92588190895522393</v>
      </c>
      <c r="BC123" s="986">
        <f t="shared" si="122"/>
        <v>505817382.25</v>
      </c>
      <c r="BD123" s="930">
        <f t="shared" si="123"/>
        <v>1.5099026335820895</v>
      </c>
      <c r="BE123" s="987"/>
      <c r="BF123" s="987"/>
      <c r="BG123" s="910" t="s">
        <v>1107</v>
      </c>
      <c r="BH123" s="1345"/>
      <c r="BI123" s="865" t="s">
        <v>2081</v>
      </c>
    </row>
    <row r="124" spans="1:61" s="865" customFormat="1" ht="47.4" customHeight="1">
      <c r="A124" s="1095" t="s">
        <v>1893</v>
      </c>
      <c r="B124" s="1106" t="s">
        <v>2287</v>
      </c>
      <c r="C124" s="937" t="s">
        <v>2086</v>
      </c>
      <c r="D124" s="990">
        <v>1</v>
      </c>
      <c r="E124" s="990">
        <v>1</v>
      </c>
      <c r="F124" s="990">
        <v>1</v>
      </c>
      <c r="G124" s="990">
        <v>1</v>
      </c>
      <c r="H124" s="906">
        <v>0</v>
      </c>
      <c r="I124" s="906">
        <v>1</v>
      </c>
      <c r="J124" s="906">
        <v>1</v>
      </c>
      <c r="K124" s="906">
        <v>1</v>
      </c>
      <c r="L124" s="906">
        <v>1</v>
      </c>
      <c r="M124" s="906"/>
      <c r="N124" s="906"/>
      <c r="O124" s="908">
        <f t="shared" si="213"/>
        <v>1</v>
      </c>
      <c r="P124" s="930">
        <f t="shared" si="213"/>
        <v>1</v>
      </c>
      <c r="Q124" s="930">
        <f t="shared" si="213"/>
        <v>1</v>
      </c>
      <c r="R124" s="908">
        <f t="shared" si="214"/>
        <v>1</v>
      </c>
      <c r="S124" s="910" t="s">
        <v>2744</v>
      </c>
      <c r="T124" s="931">
        <v>45291</v>
      </c>
      <c r="U124" s="942" t="s">
        <v>2092</v>
      </c>
      <c r="V124" s="942"/>
      <c r="W124" s="909" t="s">
        <v>2683</v>
      </c>
      <c r="X124" s="933" t="s">
        <v>2288</v>
      </c>
      <c r="Y124" s="913">
        <f t="shared" si="215"/>
        <v>4</v>
      </c>
      <c r="Z124" s="913">
        <f t="shared" si="216"/>
        <v>4</v>
      </c>
      <c r="AA124" s="928">
        <f t="shared" si="217"/>
        <v>1</v>
      </c>
      <c r="AB124" s="1056">
        <v>0.3</v>
      </c>
      <c r="AC124" s="1056">
        <v>0.3</v>
      </c>
      <c r="AD124" s="1056">
        <v>0.3</v>
      </c>
      <c r="AE124" s="1056">
        <v>0.3</v>
      </c>
      <c r="AF124" s="1056">
        <v>0.3</v>
      </c>
      <c r="AG124" s="1093">
        <v>200000000</v>
      </c>
      <c r="AH124" s="1093">
        <v>200000000</v>
      </c>
      <c r="AI124" s="1108">
        <v>177670441</v>
      </c>
      <c r="AJ124" s="1108">
        <v>169812317</v>
      </c>
      <c r="AK124" s="1108">
        <v>200000000</v>
      </c>
      <c r="AL124" s="916">
        <f t="shared" si="118"/>
        <v>1</v>
      </c>
      <c r="AM124" s="1093">
        <v>0</v>
      </c>
      <c r="AN124" s="1108">
        <v>173058473</v>
      </c>
      <c r="AO124" s="1108">
        <v>22859255</v>
      </c>
      <c r="AP124" s="1108">
        <v>39666660</v>
      </c>
      <c r="AQ124" s="928">
        <f t="shared" si="119"/>
        <v>0.19833329999999999</v>
      </c>
      <c r="AR124" s="915">
        <f>+AJ124-AO124</f>
        <v>146953062</v>
      </c>
      <c r="AS124" s="1108">
        <v>200000000</v>
      </c>
      <c r="AT124" s="1108">
        <v>200000000</v>
      </c>
      <c r="AU124" s="1108">
        <v>4611968</v>
      </c>
      <c r="AV124" s="1108">
        <v>4542860</v>
      </c>
      <c r="AW124" s="1108">
        <v>146953062</v>
      </c>
      <c r="AX124" s="1108">
        <v>145466332</v>
      </c>
      <c r="AY124" s="956">
        <f t="shared" si="110"/>
        <v>0.98988296004339127</v>
      </c>
      <c r="AZ124" s="1041">
        <v>750000000</v>
      </c>
      <c r="BA124" s="957">
        <f t="shared" si="121"/>
        <v>747482758</v>
      </c>
      <c r="BB124" s="930">
        <f t="shared" si="116"/>
        <v>0.99664367733333337</v>
      </c>
      <c r="BC124" s="986">
        <f t="shared" si="122"/>
        <v>585593580</v>
      </c>
      <c r="BD124" s="930">
        <f t="shared" si="123"/>
        <v>0.78079144</v>
      </c>
      <c r="BE124" s="987"/>
      <c r="BF124" s="987"/>
      <c r="BG124" s="910" t="s">
        <v>1107</v>
      </c>
      <c r="BH124" s="1094" t="s">
        <v>2118</v>
      </c>
      <c r="BI124" s="865" t="s">
        <v>2081</v>
      </c>
    </row>
    <row r="125" spans="1:61" s="865" customFormat="1" ht="47.4" customHeight="1">
      <c r="A125" s="893" t="s">
        <v>2289</v>
      </c>
      <c r="B125" s="894"/>
      <c r="C125" s="894"/>
      <c r="D125" s="895"/>
      <c r="E125" s="895"/>
      <c r="F125" s="895"/>
      <c r="G125" s="895"/>
      <c r="H125" s="895"/>
      <c r="I125" s="895"/>
      <c r="J125" s="895"/>
      <c r="K125" s="895"/>
      <c r="L125" s="895"/>
      <c r="M125" s="895"/>
      <c r="N125" s="895"/>
      <c r="O125" s="896">
        <f>+SUMPRODUCT(O126:O131,AC126:AC131)</f>
        <v>1</v>
      </c>
      <c r="P125" s="896">
        <f t="shared" ref="P125:R125" si="219">+SUMPRODUCT(P126:P131,AD126:AD131)</f>
        <v>1</v>
      </c>
      <c r="Q125" s="896">
        <f t="shared" si="219"/>
        <v>1</v>
      </c>
      <c r="R125" s="896">
        <f t="shared" si="219"/>
        <v>1</v>
      </c>
      <c r="S125" s="894"/>
      <c r="T125" s="894"/>
      <c r="U125" s="894"/>
      <c r="V125" s="894"/>
      <c r="W125" s="894"/>
      <c r="X125" s="894"/>
      <c r="Y125" s="897"/>
      <c r="Z125" s="897"/>
      <c r="AA125" s="896">
        <f>+SUMPRODUCT(AA126:AA131,AB126:AB131)</f>
        <v>1</v>
      </c>
      <c r="AB125" s="896">
        <v>0.25</v>
      </c>
      <c r="AC125" s="896">
        <v>0.25</v>
      </c>
      <c r="AD125" s="896">
        <v>0.25</v>
      </c>
      <c r="AE125" s="896">
        <v>0.25</v>
      </c>
      <c r="AF125" s="896">
        <v>0.25</v>
      </c>
      <c r="AG125" s="894">
        <f>SUM(AG126:AG131)</f>
        <v>750000000</v>
      </c>
      <c r="AH125" s="894">
        <f>SUM(AH126:AH131)</f>
        <v>100000000</v>
      </c>
      <c r="AI125" s="894">
        <f>SUM(AI126:AI131)</f>
        <v>373611664.68000001</v>
      </c>
      <c r="AJ125" s="894">
        <f>SUM(AJ126:AJ131)</f>
        <v>300265020.15999997</v>
      </c>
      <c r="AK125" s="894">
        <f>SUM(AK126:AK131)</f>
        <v>750000000</v>
      </c>
      <c r="AL125" s="900">
        <f t="shared" si="118"/>
        <v>1</v>
      </c>
      <c r="AM125" s="894">
        <f>SUM(AM126:AM131)</f>
        <v>12000000</v>
      </c>
      <c r="AN125" s="894">
        <f>SUM(AN126:AN131)</f>
        <v>272088917</v>
      </c>
      <c r="AO125" s="894">
        <f>SUM(AO126:AO131)</f>
        <v>243026892</v>
      </c>
      <c r="AP125" s="894">
        <f>SUM(AP126:AP131)</f>
        <v>343501757</v>
      </c>
      <c r="AQ125" s="901">
        <f t="shared" si="119"/>
        <v>0.45800234266666667</v>
      </c>
      <c r="AR125" s="902">
        <f t="shared" ref="AR125:AX125" si="220">SUM(AR126:AR131)</f>
        <v>57238128.159999996</v>
      </c>
      <c r="AS125" s="894">
        <f t="shared" si="220"/>
        <v>88000000</v>
      </c>
      <c r="AT125" s="894">
        <f t="shared" si="220"/>
        <v>0</v>
      </c>
      <c r="AU125" s="894">
        <f t="shared" si="220"/>
        <v>101522747.68000001</v>
      </c>
      <c r="AV125" s="894">
        <f t="shared" si="220"/>
        <v>93667119.200000003</v>
      </c>
      <c r="AW125" s="899">
        <f t="shared" si="220"/>
        <v>57238128.159999996</v>
      </c>
      <c r="AX125" s="894">
        <f t="shared" si="220"/>
        <v>54214398.159999996</v>
      </c>
      <c r="AY125" s="903">
        <f t="shared" si="110"/>
        <v>0.94717280076756449</v>
      </c>
      <c r="AZ125" s="894">
        <f t="shared" ref="AZ125" si="221">SUM(AZ126:AZ131)</f>
        <v>1740000000</v>
      </c>
      <c r="BA125" s="894">
        <f t="shared" si="121"/>
        <v>1523876684.8399999</v>
      </c>
      <c r="BB125" s="896">
        <f>+BA125/AZ125</f>
        <v>0.87579119818390805</v>
      </c>
      <c r="BC125" s="962">
        <f t="shared" si="122"/>
        <v>1018499083.36</v>
      </c>
      <c r="BD125" s="896">
        <f t="shared" si="123"/>
        <v>0.58534430078160915</v>
      </c>
      <c r="BE125" s="902"/>
      <c r="BF125" s="902"/>
      <c r="BG125" s="902"/>
      <c r="BH125" s="902"/>
    </row>
    <row r="126" spans="1:61" s="865" customFormat="1" ht="47.4" customHeight="1">
      <c r="A126" s="1112" t="s">
        <v>1894</v>
      </c>
      <c r="B126" s="1106" t="s">
        <v>2290</v>
      </c>
      <c r="C126" s="937" t="s">
        <v>2086</v>
      </c>
      <c r="D126" s="990">
        <v>1</v>
      </c>
      <c r="E126" s="990">
        <v>1</v>
      </c>
      <c r="F126" s="990">
        <v>1</v>
      </c>
      <c r="G126" s="990">
        <v>1</v>
      </c>
      <c r="H126" s="906">
        <v>1</v>
      </c>
      <c r="I126" s="906">
        <v>1</v>
      </c>
      <c r="J126" s="906">
        <v>1</v>
      </c>
      <c r="K126" s="906">
        <v>1</v>
      </c>
      <c r="L126" s="906"/>
      <c r="M126" s="906"/>
      <c r="N126" s="906"/>
      <c r="O126" s="908">
        <f t="shared" ref="O126:Q131" si="222">+IFERROR(IF((H126+L126)/D126&gt;=100%,100%,(H126+L126)/D126),0)</f>
        <v>1</v>
      </c>
      <c r="P126" s="930">
        <f t="shared" si="222"/>
        <v>1</v>
      </c>
      <c r="Q126" s="930">
        <f t="shared" si="222"/>
        <v>1</v>
      </c>
      <c r="R126" s="908">
        <f t="shared" ref="R126:R131" si="223">+IFERROR(IF(K126/G126&gt;=100%,100%,K126/G126),0)</f>
        <v>1</v>
      </c>
      <c r="S126" s="910" t="s">
        <v>2745</v>
      </c>
      <c r="T126" s="931">
        <v>45291</v>
      </c>
      <c r="U126" s="942" t="s">
        <v>2092</v>
      </c>
      <c r="V126" s="942"/>
      <c r="W126" s="909" t="s">
        <v>2683</v>
      </c>
      <c r="X126" s="933" t="s">
        <v>2274</v>
      </c>
      <c r="Y126" s="913">
        <f t="shared" ref="Y126:Y131" si="224">SUM(D126:G126)</f>
        <v>4</v>
      </c>
      <c r="Z126" s="913">
        <f t="shared" ref="Z126:Z131" si="225">SUM(H126:N126)</f>
        <v>4</v>
      </c>
      <c r="AA126" s="928">
        <f t="shared" ref="AA126:AA131" si="226">IF(Z126/Y126&gt;=100%,100%,Z126/Y126)</f>
        <v>1</v>
      </c>
      <c r="AB126" s="1114">
        <v>0.1</v>
      </c>
      <c r="AC126" s="1114">
        <v>0.25</v>
      </c>
      <c r="AD126" s="1114">
        <v>0.1</v>
      </c>
      <c r="AE126" s="1115">
        <v>0.13</v>
      </c>
      <c r="AF126" s="1115">
        <v>0.14000000000000001</v>
      </c>
      <c r="AG126" s="1104">
        <v>50000000</v>
      </c>
      <c r="AH126" s="1111">
        <v>50000000</v>
      </c>
      <c r="AI126" s="1111">
        <f>108446960/2</f>
        <v>54223480</v>
      </c>
      <c r="AJ126" s="1111">
        <v>49974158</v>
      </c>
      <c r="AK126" s="1111">
        <v>50000000</v>
      </c>
      <c r="AL126" s="916">
        <f t="shared" si="118"/>
        <v>1</v>
      </c>
      <c r="AM126" s="1111">
        <v>12000000</v>
      </c>
      <c r="AN126" s="1111">
        <f>100666859/2</f>
        <v>50333429.5</v>
      </c>
      <c r="AO126" s="1111">
        <v>46022601</v>
      </c>
      <c r="AP126" s="1111">
        <v>50000000</v>
      </c>
      <c r="AQ126" s="928">
        <f t="shared" si="119"/>
        <v>1</v>
      </c>
      <c r="AR126" s="915">
        <f t="shared" ref="AR126:AR131" si="227">+AJ126-AO126</f>
        <v>3951557</v>
      </c>
      <c r="AS126" s="1111">
        <f>88000000/2</f>
        <v>44000000</v>
      </c>
      <c r="AT126" s="1111">
        <v>0</v>
      </c>
      <c r="AU126" s="1111">
        <f>7780101/2</f>
        <v>3890050.5</v>
      </c>
      <c r="AV126" s="1111">
        <f>7734027/2</f>
        <v>3867013.5</v>
      </c>
      <c r="AW126" s="1111">
        <f>7903114/2</f>
        <v>3951557</v>
      </c>
      <c r="AX126" s="1111">
        <f>6938312/2</f>
        <v>3469156</v>
      </c>
      <c r="AY126" s="956">
        <f t="shared" si="110"/>
        <v>0.87792128520479396</v>
      </c>
      <c r="AZ126" s="1041">
        <v>205000000</v>
      </c>
      <c r="BA126" s="957">
        <f t="shared" si="121"/>
        <v>204197638</v>
      </c>
      <c r="BB126" s="928">
        <f t="shared" si="116"/>
        <v>0.99608603902439019</v>
      </c>
      <c r="BC126" s="958">
        <f t="shared" si="122"/>
        <v>165692200</v>
      </c>
      <c r="BD126" s="908">
        <f t="shared" si="123"/>
        <v>0.80825463414634147</v>
      </c>
      <c r="BE126" s="926"/>
      <c r="BF126" s="926"/>
      <c r="BG126" s="910" t="s">
        <v>1107</v>
      </c>
      <c r="BH126" s="1353" t="s">
        <v>2118</v>
      </c>
    </row>
    <row r="127" spans="1:61" s="865" customFormat="1" ht="47.4" customHeight="1">
      <c r="A127" s="1112" t="s">
        <v>1895</v>
      </c>
      <c r="B127" s="1106" t="s">
        <v>2291</v>
      </c>
      <c r="C127" s="937" t="s">
        <v>2086</v>
      </c>
      <c r="D127" s="990">
        <v>1</v>
      </c>
      <c r="E127" s="990">
        <v>1</v>
      </c>
      <c r="F127" s="990">
        <v>1</v>
      </c>
      <c r="G127" s="990">
        <v>1</v>
      </c>
      <c r="H127" s="906">
        <v>1</v>
      </c>
      <c r="I127" s="906">
        <v>1</v>
      </c>
      <c r="J127" s="906">
        <v>1</v>
      </c>
      <c r="K127" s="906">
        <v>1</v>
      </c>
      <c r="L127" s="906"/>
      <c r="M127" s="906"/>
      <c r="N127" s="906"/>
      <c r="O127" s="908">
        <f t="shared" si="222"/>
        <v>1</v>
      </c>
      <c r="P127" s="930">
        <f t="shared" si="222"/>
        <v>1</v>
      </c>
      <c r="Q127" s="930">
        <f t="shared" si="222"/>
        <v>1</v>
      </c>
      <c r="R127" s="908">
        <f t="shared" si="223"/>
        <v>1</v>
      </c>
      <c r="S127" s="910" t="s">
        <v>2746</v>
      </c>
      <c r="T127" s="931">
        <v>45291</v>
      </c>
      <c r="U127" s="942" t="s">
        <v>2092</v>
      </c>
      <c r="V127" s="942"/>
      <c r="W127" s="909" t="s">
        <v>2683</v>
      </c>
      <c r="X127" s="933" t="s">
        <v>2274</v>
      </c>
      <c r="Y127" s="913">
        <f t="shared" si="224"/>
        <v>4</v>
      </c>
      <c r="Z127" s="913">
        <f t="shared" si="225"/>
        <v>4</v>
      </c>
      <c r="AA127" s="928">
        <f t="shared" si="226"/>
        <v>1</v>
      </c>
      <c r="AB127" s="1114">
        <v>0.1</v>
      </c>
      <c r="AC127" s="1114">
        <v>0.25</v>
      </c>
      <c r="AD127" s="1114">
        <v>0.1</v>
      </c>
      <c r="AE127" s="1115">
        <v>0.13</v>
      </c>
      <c r="AF127" s="1115">
        <v>0.14000000000000001</v>
      </c>
      <c r="AG127" s="1104">
        <v>50000000</v>
      </c>
      <c r="AH127" s="1111">
        <v>50000000</v>
      </c>
      <c r="AI127" s="1111">
        <f>108446960/2</f>
        <v>54223480</v>
      </c>
      <c r="AJ127" s="1111">
        <v>49974158</v>
      </c>
      <c r="AK127" s="1111">
        <v>50000000</v>
      </c>
      <c r="AL127" s="982">
        <f t="shared" si="118"/>
        <v>1</v>
      </c>
      <c r="AM127" s="1111">
        <v>0</v>
      </c>
      <c r="AN127" s="1111">
        <f>100666859/2</f>
        <v>50333429.5</v>
      </c>
      <c r="AO127" s="1111">
        <v>46022601</v>
      </c>
      <c r="AP127" s="1111">
        <v>49666677</v>
      </c>
      <c r="AQ127" s="983">
        <f t="shared" si="119"/>
        <v>0.99333353999999996</v>
      </c>
      <c r="AR127" s="915">
        <f t="shared" si="227"/>
        <v>3951557</v>
      </c>
      <c r="AS127" s="1111">
        <f>88000000/2</f>
        <v>44000000</v>
      </c>
      <c r="AT127" s="1111">
        <v>0</v>
      </c>
      <c r="AU127" s="1111">
        <f>7780101/2</f>
        <v>3890050.5</v>
      </c>
      <c r="AV127" s="1111">
        <f>7734027/2</f>
        <v>3867013.5</v>
      </c>
      <c r="AW127" s="1111">
        <f>7903114/2</f>
        <v>3951557</v>
      </c>
      <c r="AX127" s="1111">
        <f>6938312/2</f>
        <v>3469156</v>
      </c>
      <c r="AY127" s="984">
        <f t="shared" si="110"/>
        <v>0.87792128520479396</v>
      </c>
      <c r="AZ127" s="1028">
        <v>205000000</v>
      </c>
      <c r="BA127" s="957">
        <f t="shared" si="121"/>
        <v>204197638</v>
      </c>
      <c r="BB127" s="983">
        <f t="shared" si="116"/>
        <v>0.99608603902439019</v>
      </c>
      <c r="BC127" s="986">
        <f t="shared" si="122"/>
        <v>153358877</v>
      </c>
      <c r="BD127" s="930">
        <f t="shared" si="123"/>
        <v>0.74809208292682927</v>
      </c>
      <c r="BE127" s="987"/>
      <c r="BF127" s="987"/>
      <c r="BG127" s="910" t="s">
        <v>1107</v>
      </c>
      <c r="BH127" s="1345"/>
    </row>
    <row r="128" spans="1:61" s="865" customFormat="1" ht="48.75" customHeight="1">
      <c r="A128" s="1101" t="s">
        <v>1896</v>
      </c>
      <c r="B128" s="1106" t="s">
        <v>2292</v>
      </c>
      <c r="C128" s="937" t="s">
        <v>2086</v>
      </c>
      <c r="D128" s="1113">
        <v>0</v>
      </c>
      <c r="E128" s="1113">
        <v>2</v>
      </c>
      <c r="F128" s="1113">
        <v>2</v>
      </c>
      <c r="G128" s="1113">
        <v>0</v>
      </c>
      <c r="H128" s="906">
        <v>0</v>
      </c>
      <c r="I128" s="906">
        <v>2</v>
      </c>
      <c r="J128" s="906">
        <v>4</v>
      </c>
      <c r="K128" s="906"/>
      <c r="L128" s="906"/>
      <c r="M128" s="906"/>
      <c r="N128" s="906"/>
      <c r="O128" s="908">
        <f t="shared" si="222"/>
        <v>0</v>
      </c>
      <c r="P128" s="930">
        <f t="shared" si="222"/>
        <v>1</v>
      </c>
      <c r="Q128" s="930">
        <f t="shared" si="222"/>
        <v>1</v>
      </c>
      <c r="R128" s="908">
        <f t="shared" si="223"/>
        <v>0</v>
      </c>
      <c r="S128" s="910"/>
      <c r="T128" s="910"/>
      <c r="U128" s="911"/>
      <c r="V128" s="869"/>
      <c r="W128" s="910"/>
      <c r="X128" s="910"/>
      <c r="Y128" s="913">
        <f t="shared" si="224"/>
        <v>4</v>
      </c>
      <c r="Z128" s="913">
        <f t="shared" si="225"/>
        <v>6</v>
      </c>
      <c r="AA128" s="928">
        <f t="shared" si="226"/>
        <v>1</v>
      </c>
      <c r="AB128" s="1114">
        <v>0.2</v>
      </c>
      <c r="AC128" s="1114">
        <v>0</v>
      </c>
      <c r="AD128" s="1114">
        <v>0.2</v>
      </c>
      <c r="AE128" s="1115">
        <v>0.23</v>
      </c>
      <c r="AF128" s="1115">
        <v>0</v>
      </c>
      <c r="AG128" s="1104">
        <v>0</v>
      </c>
      <c r="AH128" s="1104">
        <v>0</v>
      </c>
      <c r="AI128" s="1111">
        <v>39151208.200000003</v>
      </c>
      <c r="AJ128" s="1111">
        <v>71208584</v>
      </c>
      <c r="AK128" s="1111"/>
      <c r="AL128" s="982" t="e">
        <f t="shared" si="118"/>
        <v>#DIV/0!</v>
      </c>
      <c r="AM128" s="1104">
        <v>0</v>
      </c>
      <c r="AN128" s="1111">
        <v>16285692</v>
      </c>
      <c r="AO128" s="1111">
        <v>65623970</v>
      </c>
      <c r="AP128" s="1111"/>
      <c r="AQ128" s="983" t="e">
        <f t="shared" si="119"/>
        <v>#DIV/0!</v>
      </c>
      <c r="AR128" s="915">
        <f t="shared" si="227"/>
        <v>5584614</v>
      </c>
      <c r="AS128" s="1104">
        <v>0</v>
      </c>
      <c r="AT128" s="1104">
        <v>0</v>
      </c>
      <c r="AU128" s="1104">
        <v>22865516.199999999</v>
      </c>
      <c r="AV128" s="1104">
        <v>20740179.199999999</v>
      </c>
      <c r="AW128" s="1104">
        <v>5584614</v>
      </c>
      <c r="AX128" s="1104">
        <v>4795422</v>
      </c>
      <c r="AY128" s="984">
        <f t="shared" si="110"/>
        <v>0.85868459306229583</v>
      </c>
      <c r="AZ128" s="1028">
        <v>120000000</v>
      </c>
      <c r="BA128" s="957">
        <f t="shared" si="121"/>
        <v>110359792.2</v>
      </c>
      <c r="BB128" s="930">
        <f t="shared" si="116"/>
        <v>0.91966493500000002</v>
      </c>
      <c r="BC128" s="986">
        <f t="shared" si="122"/>
        <v>107445263.2</v>
      </c>
      <c r="BD128" s="930">
        <f t="shared" si="123"/>
        <v>0.89537719333333332</v>
      </c>
      <c r="BE128" s="987"/>
      <c r="BF128" s="987"/>
      <c r="BG128" s="910" t="s">
        <v>1107</v>
      </c>
      <c r="BH128" s="1116" t="s">
        <v>2293</v>
      </c>
    </row>
    <row r="129" spans="1:61" s="865" customFormat="1" ht="47.4" customHeight="1">
      <c r="A129" s="1101" t="s">
        <v>1897</v>
      </c>
      <c r="B129" s="1106" t="s">
        <v>2294</v>
      </c>
      <c r="C129" s="937" t="s">
        <v>2086</v>
      </c>
      <c r="D129" s="990">
        <v>1</v>
      </c>
      <c r="E129" s="990">
        <v>1</v>
      </c>
      <c r="F129" s="990">
        <v>1</v>
      </c>
      <c r="G129" s="990">
        <v>1</v>
      </c>
      <c r="H129" s="906">
        <v>1</v>
      </c>
      <c r="I129" s="906">
        <v>1</v>
      </c>
      <c r="J129" s="906">
        <v>1</v>
      </c>
      <c r="K129" s="906">
        <v>1</v>
      </c>
      <c r="L129" s="906"/>
      <c r="M129" s="906"/>
      <c r="N129" s="906"/>
      <c r="O129" s="908">
        <f t="shared" si="222"/>
        <v>1</v>
      </c>
      <c r="P129" s="930">
        <f t="shared" si="222"/>
        <v>1</v>
      </c>
      <c r="Q129" s="930">
        <f t="shared" si="222"/>
        <v>1</v>
      </c>
      <c r="R129" s="908">
        <f t="shared" si="223"/>
        <v>1</v>
      </c>
      <c r="S129" s="910" t="s">
        <v>2747</v>
      </c>
      <c r="T129" s="931">
        <v>45291</v>
      </c>
      <c r="U129" s="942" t="s">
        <v>2092</v>
      </c>
      <c r="V129" s="942"/>
      <c r="W129" s="909" t="s">
        <v>2683</v>
      </c>
      <c r="X129" s="933" t="s">
        <v>2274</v>
      </c>
      <c r="Y129" s="913">
        <f t="shared" si="224"/>
        <v>4</v>
      </c>
      <c r="Z129" s="913">
        <f t="shared" si="225"/>
        <v>4</v>
      </c>
      <c r="AA129" s="928">
        <f t="shared" si="226"/>
        <v>1</v>
      </c>
      <c r="AB129" s="1114">
        <v>0.3</v>
      </c>
      <c r="AC129" s="1114">
        <v>0.5</v>
      </c>
      <c r="AD129" s="1114">
        <v>0.3</v>
      </c>
      <c r="AE129" s="1115">
        <v>0.33</v>
      </c>
      <c r="AF129" s="1115">
        <v>0.34</v>
      </c>
      <c r="AG129" s="1104">
        <v>200000000</v>
      </c>
      <c r="AH129" s="1104">
        <v>0</v>
      </c>
      <c r="AI129" s="1111">
        <v>49171138</v>
      </c>
      <c r="AJ129" s="1111">
        <v>79123194.159999996</v>
      </c>
      <c r="AK129" s="1111">
        <v>200000000</v>
      </c>
      <c r="AL129" s="982">
        <f t="shared" si="118"/>
        <v>1</v>
      </c>
      <c r="AM129" s="1104">
        <v>0</v>
      </c>
      <c r="AN129" s="1111">
        <v>31442882</v>
      </c>
      <c r="AO129" s="1111">
        <v>35908271</v>
      </c>
      <c r="AP129" s="1111">
        <v>199585080</v>
      </c>
      <c r="AQ129" s="983">
        <f t="shared" si="119"/>
        <v>0.99792539999999996</v>
      </c>
      <c r="AR129" s="915">
        <f t="shared" si="227"/>
        <v>43214923.159999996</v>
      </c>
      <c r="AS129" s="1104">
        <v>0</v>
      </c>
      <c r="AT129" s="1104">
        <v>0</v>
      </c>
      <c r="AU129" s="1104">
        <v>17728256</v>
      </c>
      <c r="AV129" s="1104">
        <v>16165483</v>
      </c>
      <c r="AW129" s="1104">
        <v>43214923.159999996</v>
      </c>
      <c r="AX129" s="1104">
        <v>42226589.159999996</v>
      </c>
      <c r="AY129" s="984">
        <f t="shared" si="110"/>
        <v>0.97712979851101978</v>
      </c>
      <c r="AZ129" s="1028">
        <v>530000000</v>
      </c>
      <c r="BA129" s="957">
        <f t="shared" si="121"/>
        <v>328294332.15999997</v>
      </c>
      <c r="BB129" s="930">
        <f t="shared" si="116"/>
        <v>0.61942326822641502</v>
      </c>
      <c r="BC129" s="986">
        <f t="shared" si="122"/>
        <v>325328305.15999997</v>
      </c>
      <c r="BD129" s="930">
        <f t="shared" si="123"/>
        <v>0.61382699086792447</v>
      </c>
      <c r="BE129" s="987"/>
      <c r="BF129" s="987"/>
      <c r="BG129" s="910" t="s">
        <v>1107</v>
      </c>
      <c r="BH129" s="1105" t="s">
        <v>2118</v>
      </c>
    </row>
    <row r="130" spans="1:61" s="865" customFormat="1" ht="47.4" customHeight="1">
      <c r="A130" s="1112" t="s">
        <v>1898</v>
      </c>
      <c r="B130" s="1106" t="s">
        <v>2295</v>
      </c>
      <c r="C130" s="937" t="s">
        <v>2086</v>
      </c>
      <c r="D130" s="990">
        <v>0</v>
      </c>
      <c r="E130" s="990">
        <v>1</v>
      </c>
      <c r="F130" s="990">
        <v>0</v>
      </c>
      <c r="G130" s="990">
        <v>1</v>
      </c>
      <c r="H130" s="906">
        <v>0</v>
      </c>
      <c r="I130" s="906">
        <v>1</v>
      </c>
      <c r="J130" s="906">
        <v>0</v>
      </c>
      <c r="K130" s="906">
        <v>1</v>
      </c>
      <c r="L130" s="906"/>
      <c r="M130" s="906"/>
      <c r="N130" s="906"/>
      <c r="O130" s="908">
        <f t="shared" si="222"/>
        <v>0</v>
      </c>
      <c r="P130" s="930">
        <f t="shared" si="222"/>
        <v>1</v>
      </c>
      <c r="Q130" s="908">
        <f t="shared" si="222"/>
        <v>0</v>
      </c>
      <c r="R130" s="908">
        <f t="shared" si="223"/>
        <v>1</v>
      </c>
      <c r="S130" s="910" t="s">
        <v>2748</v>
      </c>
      <c r="T130" s="931">
        <v>45291</v>
      </c>
      <c r="U130" s="942" t="s">
        <v>2092</v>
      </c>
      <c r="V130" s="942"/>
      <c r="W130" s="909" t="s">
        <v>2683</v>
      </c>
      <c r="X130" s="933" t="s">
        <v>2185</v>
      </c>
      <c r="Y130" s="913">
        <f t="shared" si="224"/>
        <v>2</v>
      </c>
      <c r="Z130" s="913">
        <f t="shared" si="225"/>
        <v>2</v>
      </c>
      <c r="AA130" s="928">
        <f t="shared" si="226"/>
        <v>1</v>
      </c>
      <c r="AB130" s="1114">
        <v>0.15</v>
      </c>
      <c r="AC130" s="1114">
        <v>0</v>
      </c>
      <c r="AD130" s="1114">
        <v>0.15</v>
      </c>
      <c r="AE130" s="1114">
        <v>0</v>
      </c>
      <c r="AF130" s="1114">
        <v>0.19</v>
      </c>
      <c r="AG130" s="1104">
        <v>225000000</v>
      </c>
      <c r="AH130" s="1104">
        <v>0</v>
      </c>
      <c r="AI130" s="1111">
        <f>176842358.48/2</f>
        <v>88421179.239999995</v>
      </c>
      <c r="AJ130" s="1111">
        <v>0</v>
      </c>
      <c r="AK130" s="1111">
        <v>225000000</v>
      </c>
      <c r="AL130" s="982">
        <f t="shared" si="118"/>
        <v>1</v>
      </c>
      <c r="AM130" s="1104">
        <v>0</v>
      </c>
      <c r="AN130" s="1111">
        <f>123693484/2</f>
        <v>61846742</v>
      </c>
      <c r="AO130" s="1111">
        <v>0</v>
      </c>
      <c r="AP130" s="1111">
        <v>22125000</v>
      </c>
      <c r="AQ130" s="983">
        <f t="shared" si="119"/>
        <v>9.8333333333333328E-2</v>
      </c>
      <c r="AR130" s="915">
        <f t="shared" si="227"/>
        <v>0</v>
      </c>
      <c r="AS130" s="1104">
        <v>0</v>
      </c>
      <c r="AT130" s="1104">
        <v>0</v>
      </c>
      <c r="AU130" s="1104"/>
      <c r="AV130" s="1104"/>
      <c r="AW130" s="1104"/>
      <c r="AX130" s="1104"/>
      <c r="AY130" s="984" t="e">
        <f t="shared" si="110"/>
        <v>#DIV/0!</v>
      </c>
      <c r="AZ130" s="1028">
        <v>315000000</v>
      </c>
      <c r="BA130" s="957">
        <f t="shared" si="121"/>
        <v>313421179.24000001</v>
      </c>
      <c r="BB130" s="930">
        <f>+BA130/AZ130</f>
        <v>0.99498787060317462</v>
      </c>
      <c r="BC130" s="986">
        <f t="shared" si="122"/>
        <v>83971742</v>
      </c>
      <c r="BD130" s="930">
        <f t="shared" si="123"/>
        <v>0.26657695873015874</v>
      </c>
      <c r="BE130" s="987"/>
      <c r="BF130" s="987"/>
      <c r="BG130" s="910" t="s">
        <v>1107</v>
      </c>
      <c r="BH130" s="1353" t="s">
        <v>2296</v>
      </c>
    </row>
    <row r="131" spans="1:61" s="865" customFormat="1" ht="47.4" customHeight="1">
      <c r="A131" s="1112" t="s">
        <v>1899</v>
      </c>
      <c r="B131" s="1106" t="s">
        <v>2297</v>
      </c>
      <c r="C131" s="937" t="s">
        <v>2086</v>
      </c>
      <c r="D131" s="990">
        <v>0</v>
      </c>
      <c r="E131" s="990">
        <v>1</v>
      </c>
      <c r="F131" s="990">
        <v>1</v>
      </c>
      <c r="G131" s="990">
        <v>1</v>
      </c>
      <c r="H131" s="906">
        <v>0</v>
      </c>
      <c r="I131" s="906">
        <v>1</v>
      </c>
      <c r="J131" s="906">
        <v>1</v>
      </c>
      <c r="K131" s="906">
        <v>1</v>
      </c>
      <c r="L131" s="906"/>
      <c r="M131" s="906"/>
      <c r="N131" s="906"/>
      <c r="O131" s="908">
        <f t="shared" si="222"/>
        <v>0</v>
      </c>
      <c r="P131" s="930">
        <f t="shared" si="222"/>
        <v>1</v>
      </c>
      <c r="Q131" s="930">
        <f t="shared" si="222"/>
        <v>1</v>
      </c>
      <c r="R131" s="908">
        <f t="shared" si="223"/>
        <v>1</v>
      </c>
      <c r="S131" s="910" t="s">
        <v>2749</v>
      </c>
      <c r="T131" s="931">
        <v>45291</v>
      </c>
      <c r="U131" s="942" t="s">
        <v>2092</v>
      </c>
      <c r="V131" s="942"/>
      <c r="W131" s="909" t="s">
        <v>2683</v>
      </c>
      <c r="X131" s="933" t="s">
        <v>2185</v>
      </c>
      <c r="Y131" s="913">
        <f t="shared" si="224"/>
        <v>3</v>
      </c>
      <c r="Z131" s="913">
        <f t="shared" si="225"/>
        <v>3</v>
      </c>
      <c r="AA131" s="928">
        <f t="shared" si="226"/>
        <v>1</v>
      </c>
      <c r="AB131" s="1114">
        <v>0.15</v>
      </c>
      <c r="AC131" s="1114">
        <v>0</v>
      </c>
      <c r="AD131" s="1114">
        <v>0.15</v>
      </c>
      <c r="AE131" s="1115">
        <v>0.18</v>
      </c>
      <c r="AF131" s="1115">
        <v>0.19</v>
      </c>
      <c r="AG131" s="1104">
        <v>225000000</v>
      </c>
      <c r="AH131" s="1104">
        <v>0</v>
      </c>
      <c r="AI131" s="1111">
        <f>176842358.48/2</f>
        <v>88421179.239999995</v>
      </c>
      <c r="AJ131" s="1111">
        <v>49984926</v>
      </c>
      <c r="AK131" s="1111">
        <v>225000000</v>
      </c>
      <c r="AL131" s="916">
        <f t="shared" si="118"/>
        <v>1</v>
      </c>
      <c r="AM131" s="1104">
        <v>0</v>
      </c>
      <c r="AN131" s="1111">
        <f>123693484/2</f>
        <v>61846742</v>
      </c>
      <c r="AO131" s="1111">
        <v>49449449</v>
      </c>
      <c r="AP131" s="1111">
        <v>22125000</v>
      </c>
      <c r="AQ131" s="928">
        <f t="shared" si="119"/>
        <v>9.8333333333333328E-2</v>
      </c>
      <c r="AR131" s="915">
        <f t="shared" si="227"/>
        <v>535477</v>
      </c>
      <c r="AS131" s="1104">
        <v>0</v>
      </c>
      <c r="AT131" s="1104">
        <v>0</v>
      </c>
      <c r="AU131" s="1104">
        <v>53148874.479999997</v>
      </c>
      <c r="AV131" s="1104">
        <v>49027430</v>
      </c>
      <c r="AW131" s="1104">
        <v>535477</v>
      </c>
      <c r="AX131" s="1104">
        <v>254075</v>
      </c>
      <c r="AY131" s="956">
        <f t="shared" si="110"/>
        <v>0.47448349789066568</v>
      </c>
      <c r="AZ131" s="1041">
        <v>365000000</v>
      </c>
      <c r="BA131" s="957">
        <f t="shared" si="121"/>
        <v>363406105.24000001</v>
      </c>
      <c r="BB131" s="928">
        <f>+BA131/AZ131</f>
        <v>0.99563316504109589</v>
      </c>
      <c r="BC131" s="958">
        <f t="shared" si="122"/>
        <v>182702696</v>
      </c>
      <c r="BD131" s="908">
        <f t="shared" si="123"/>
        <v>0.50055533150684928</v>
      </c>
      <c r="BE131" s="926"/>
      <c r="BF131" s="926"/>
      <c r="BG131" s="910" t="s">
        <v>1107</v>
      </c>
      <c r="BH131" s="1345"/>
    </row>
    <row r="132" spans="1:61" s="865" customFormat="1" ht="56.25" customHeight="1">
      <c r="A132" s="893" t="s">
        <v>2298</v>
      </c>
      <c r="B132" s="894"/>
      <c r="C132" s="894"/>
      <c r="D132" s="895"/>
      <c r="E132" s="895"/>
      <c r="F132" s="895"/>
      <c r="G132" s="895"/>
      <c r="H132" s="895"/>
      <c r="I132" s="895"/>
      <c r="J132" s="895"/>
      <c r="K132" s="895"/>
      <c r="L132" s="895"/>
      <c r="M132" s="895"/>
      <c r="N132" s="895"/>
      <c r="O132" s="896">
        <f>+O133*AC133</f>
        <v>1</v>
      </c>
      <c r="P132" s="896">
        <f t="shared" ref="P132:R132" si="228">+P133*AD133</f>
        <v>1</v>
      </c>
      <c r="Q132" s="896">
        <f t="shared" si="228"/>
        <v>1</v>
      </c>
      <c r="R132" s="896">
        <f t="shared" si="228"/>
        <v>1</v>
      </c>
      <c r="S132" s="894"/>
      <c r="T132" s="894"/>
      <c r="U132" s="894"/>
      <c r="V132" s="894"/>
      <c r="W132" s="894"/>
      <c r="X132" s="894"/>
      <c r="Y132" s="897"/>
      <c r="Z132" s="897"/>
      <c r="AA132" s="896">
        <f>+SUMPRODUCT(AA133:AA133,AB133:AB133)</f>
        <v>1</v>
      </c>
      <c r="AB132" s="896">
        <v>0.25</v>
      </c>
      <c r="AC132" s="896">
        <v>0.25</v>
      </c>
      <c r="AD132" s="896">
        <v>0.25</v>
      </c>
      <c r="AE132" s="896">
        <v>0.25</v>
      </c>
      <c r="AF132" s="896">
        <v>0.25</v>
      </c>
      <c r="AG132" s="894">
        <f>SUM(AG133)</f>
        <v>100000000</v>
      </c>
      <c r="AH132" s="894">
        <f>SUM(AH133)</f>
        <v>0</v>
      </c>
      <c r="AI132" s="894">
        <f>SUM(AI133)</f>
        <v>98769142</v>
      </c>
      <c r="AJ132" s="894">
        <f>SUM(AJ133)</f>
        <v>99889401</v>
      </c>
      <c r="AK132" s="894">
        <f>SUM(AK133)</f>
        <v>100000000</v>
      </c>
      <c r="AL132" s="900">
        <f t="shared" si="118"/>
        <v>1</v>
      </c>
      <c r="AM132" s="894">
        <f>SUM(AM133)</f>
        <v>0</v>
      </c>
      <c r="AN132" s="894">
        <f>SUM(AN133)</f>
        <v>96091876</v>
      </c>
      <c r="AO132" s="894">
        <f>SUM(AO133)</f>
        <v>6957167</v>
      </c>
      <c r="AP132" s="894">
        <f>SUM(AP133)</f>
        <v>9833330</v>
      </c>
      <c r="AQ132" s="901">
        <f t="shared" si="119"/>
        <v>9.8333299999999998E-2</v>
      </c>
      <c r="AR132" s="902">
        <f t="shared" ref="AR132:AX132" si="229">SUM(AR133)</f>
        <v>92932234</v>
      </c>
      <c r="AS132" s="894">
        <f t="shared" si="229"/>
        <v>0</v>
      </c>
      <c r="AT132" s="894">
        <f t="shared" si="229"/>
        <v>0</v>
      </c>
      <c r="AU132" s="894">
        <f t="shared" si="229"/>
        <v>2677266</v>
      </c>
      <c r="AV132" s="894">
        <f t="shared" si="229"/>
        <v>2561567</v>
      </c>
      <c r="AW132" s="894">
        <f t="shared" si="229"/>
        <v>92932234</v>
      </c>
      <c r="AX132" s="894">
        <f t="shared" si="229"/>
        <v>91911188</v>
      </c>
      <c r="AY132" s="903">
        <f t="shared" si="110"/>
        <v>0.98901300489558874</v>
      </c>
      <c r="AZ132" s="894">
        <f t="shared" ref="AZ132" si="230">SUM(AZ133)</f>
        <v>400000000</v>
      </c>
      <c r="BA132" s="894">
        <f t="shared" si="121"/>
        <v>298658543</v>
      </c>
      <c r="BB132" s="896">
        <f t="shared" ref="BB132:BB135" si="231">+BA132/AZ132</f>
        <v>0.74664635749999997</v>
      </c>
      <c r="BC132" s="962">
        <f t="shared" si="122"/>
        <v>207355128</v>
      </c>
      <c r="BD132" s="896">
        <f t="shared" si="123"/>
        <v>0.51838782000000005</v>
      </c>
      <c r="BE132" s="902"/>
      <c r="BF132" s="902"/>
      <c r="BG132" s="902"/>
      <c r="BH132" s="902"/>
    </row>
    <row r="133" spans="1:61" s="865" customFormat="1" ht="47.4" customHeight="1">
      <c r="A133" s="1090" t="s">
        <v>1900</v>
      </c>
      <c r="B133" s="1106" t="s">
        <v>2299</v>
      </c>
      <c r="C133" s="937" t="s">
        <v>2086</v>
      </c>
      <c r="D133" s="1003">
        <v>1</v>
      </c>
      <c r="E133" s="1003">
        <v>1</v>
      </c>
      <c r="F133" s="1003">
        <v>1</v>
      </c>
      <c r="G133" s="1003">
        <v>1</v>
      </c>
      <c r="H133" s="906">
        <v>0</v>
      </c>
      <c r="I133" s="906">
        <v>1</v>
      </c>
      <c r="J133" s="906">
        <v>1</v>
      </c>
      <c r="K133" s="906">
        <v>1</v>
      </c>
      <c r="L133" s="906">
        <v>1</v>
      </c>
      <c r="M133" s="906"/>
      <c r="N133" s="906"/>
      <c r="O133" s="908">
        <f>+IFERROR(IF((H133+L133)/D133&gt;=100%,100%,(H133+L133)/D133),0)</f>
        <v>1</v>
      </c>
      <c r="P133" s="930">
        <f>+IFERROR(IF((I133+M133)/E133&gt;=100%,100%,(I133+M133)/E133),0)</f>
        <v>1</v>
      </c>
      <c r="Q133" s="930">
        <f>+IFERROR(IF((J133+N133)/F133&gt;=100%,100%,(J133+N133)/F133),0)</f>
        <v>1</v>
      </c>
      <c r="R133" s="908">
        <f>+IFERROR(IF(K133/G133&gt;=100%,100%,K133/G133),0)</f>
        <v>1</v>
      </c>
      <c r="S133" s="909" t="s">
        <v>2750</v>
      </c>
      <c r="T133" s="931">
        <v>45291</v>
      </c>
      <c r="U133" s="942" t="s">
        <v>2092</v>
      </c>
      <c r="V133" s="942"/>
      <c r="W133" s="909" t="s">
        <v>2683</v>
      </c>
      <c r="X133" s="932" t="s">
        <v>2106</v>
      </c>
      <c r="Y133" s="992">
        <f t="shared" ref="Y133" si="232">SUM(D133:G133)</f>
        <v>4</v>
      </c>
      <c r="Z133" s="913">
        <f t="shared" ref="Z133" si="233">SUM(H133:N133)</f>
        <v>4</v>
      </c>
      <c r="AA133" s="983">
        <f t="shared" ref="AA133" si="234">IF(Z133/Y133&gt;=100%,100%,Z133/Y133)</f>
        <v>1</v>
      </c>
      <c r="AB133" s="1049">
        <v>1</v>
      </c>
      <c r="AC133" s="1049">
        <v>1</v>
      </c>
      <c r="AD133" s="1049">
        <v>1</v>
      </c>
      <c r="AE133" s="1056">
        <v>1</v>
      </c>
      <c r="AF133" s="1056">
        <v>1</v>
      </c>
      <c r="AG133" s="1093">
        <v>100000000</v>
      </c>
      <c r="AH133" s="1093">
        <v>0</v>
      </c>
      <c r="AI133" s="1093">
        <v>98769142</v>
      </c>
      <c r="AJ133" s="1093">
        <v>99889401</v>
      </c>
      <c r="AK133" s="1093">
        <v>100000000</v>
      </c>
      <c r="AL133" s="982">
        <f t="shared" si="118"/>
        <v>1</v>
      </c>
      <c r="AM133" s="1093">
        <v>0</v>
      </c>
      <c r="AN133" s="1093">
        <v>96091876</v>
      </c>
      <c r="AO133" s="1093">
        <v>6957167</v>
      </c>
      <c r="AP133" s="1093">
        <v>9833330</v>
      </c>
      <c r="AQ133" s="983">
        <f t="shared" si="119"/>
        <v>9.8333299999999998E-2</v>
      </c>
      <c r="AR133" s="915">
        <f>+AJ133-AO133</f>
        <v>92932234</v>
      </c>
      <c r="AS133" s="1093">
        <v>0</v>
      </c>
      <c r="AT133" s="1093">
        <v>0</v>
      </c>
      <c r="AU133" s="1093">
        <v>2677266</v>
      </c>
      <c r="AV133" s="1093">
        <v>2561567</v>
      </c>
      <c r="AW133" s="1093">
        <v>92932234</v>
      </c>
      <c r="AX133" s="1093">
        <v>91911188</v>
      </c>
      <c r="AY133" s="984">
        <f t="shared" si="110"/>
        <v>0.98901300489558874</v>
      </c>
      <c r="AZ133" s="1028">
        <v>400000000</v>
      </c>
      <c r="BA133" s="957">
        <f t="shared" si="121"/>
        <v>298658543</v>
      </c>
      <c r="BB133" s="930">
        <f t="shared" si="231"/>
        <v>0.74664635749999997</v>
      </c>
      <c r="BC133" s="986">
        <f t="shared" si="122"/>
        <v>207355128</v>
      </c>
      <c r="BD133" s="930">
        <f t="shared" si="123"/>
        <v>0.51838782000000005</v>
      </c>
      <c r="BE133" s="987"/>
      <c r="BF133" s="926"/>
      <c r="BG133" s="910" t="s">
        <v>1107</v>
      </c>
      <c r="BH133" s="1117" t="s">
        <v>2300</v>
      </c>
    </row>
    <row r="134" spans="1:61" s="892" customFormat="1" ht="69" customHeight="1">
      <c r="A134" s="882" t="s">
        <v>2301</v>
      </c>
      <c r="B134" s="883"/>
      <c r="C134" s="883"/>
      <c r="D134" s="884"/>
      <c r="E134" s="884"/>
      <c r="F134" s="1065"/>
      <c r="G134" s="1065"/>
      <c r="H134" s="884"/>
      <c r="I134" s="884"/>
      <c r="J134" s="1065"/>
      <c r="K134" s="1065"/>
      <c r="L134" s="884"/>
      <c r="M134" s="884"/>
      <c r="N134" s="884"/>
      <c r="O134" s="885">
        <f>+(O135*AC135)</f>
        <v>1</v>
      </c>
      <c r="P134" s="885">
        <f t="shared" ref="P134:R134" si="235">+(P135*AD135)</f>
        <v>1</v>
      </c>
      <c r="Q134" s="885">
        <f t="shared" si="235"/>
        <v>1</v>
      </c>
      <c r="R134" s="885">
        <f t="shared" si="235"/>
        <v>1</v>
      </c>
      <c r="S134" s="885"/>
      <c r="T134" s="885"/>
      <c r="U134" s="885"/>
      <c r="V134" s="885"/>
      <c r="W134" s="885"/>
      <c r="X134" s="885"/>
      <c r="Y134" s="885"/>
      <c r="Z134" s="885"/>
      <c r="AA134" s="885">
        <f>+(AA135*AB135)</f>
        <v>1</v>
      </c>
      <c r="AB134" s="885">
        <v>0.15</v>
      </c>
      <c r="AC134" s="885">
        <v>0.15</v>
      </c>
      <c r="AD134" s="885">
        <v>0.15</v>
      </c>
      <c r="AE134" s="885">
        <v>0.15</v>
      </c>
      <c r="AF134" s="885">
        <v>0.15</v>
      </c>
      <c r="AG134" s="883">
        <f>+AG135</f>
        <v>600000000</v>
      </c>
      <c r="AH134" s="883">
        <f>+AH135</f>
        <v>0</v>
      </c>
      <c r="AI134" s="883">
        <f>+AI135</f>
        <v>592541079</v>
      </c>
      <c r="AJ134" s="883">
        <f>+AJ135</f>
        <v>599332244</v>
      </c>
      <c r="AK134" s="883">
        <f>+AK135</f>
        <v>600000000</v>
      </c>
      <c r="AL134" s="888">
        <f t="shared" si="118"/>
        <v>1</v>
      </c>
      <c r="AM134" s="883">
        <f>+AM135</f>
        <v>0</v>
      </c>
      <c r="AN134" s="883">
        <f>+AN135</f>
        <v>415652749</v>
      </c>
      <c r="AO134" s="883">
        <f>+AO135</f>
        <v>363796006</v>
      </c>
      <c r="AP134" s="883">
        <f>+AP135</f>
        <v>311250000</v>
      </c>
      <c r="AQ134" s="890">
        <f t="shared" si="119"/>
        <v>0.51875000000000004</v>
      </c>
      <c r="AR134" s="883">
        <f t="shared" ref="AR134:AX134" si="236">+AR135</f>
        <v>235536238</v>
      </c>
      <c r="AS134" s="883">
        <f t="shared" si="236"/>
        <v>0</v>
      </c>
      <c r="AT134" s="883">
        <f t="shared" si="236"/>
        <v>0</v>
      </c>
      <c r="AU134" s="883">
        <f t="shared" si="236"/>
        <v>176888330</v>
      </c>
      <c r="AV134" s="883">
        <f t="shared" si="236"/>
        <v>176604108</v>
      </c>
      <c r="AW134" s="883">
        <f t="shared" si="236"/>
        <v>235536238</v>
      </c>
      <c r="AX134" s="883">
        <f t="shared" si="236"/>
        <v>234918632</v>
      </c>
      <c r="AY134" s="891">
        <f t="shared" si="110"/>
        <v>0.99737787269914702</v>
      </c>
      <c r="AZ134" s="883">
        <f t="shared" ref="AZ134" si="237">+AZ135</f>
        <v>2200000000</v>
      </c>
      <c r="BA134" s="883">
        <f t="shared" si="121"/>
        <v>1791873323</v>
      </c>
      <c r="BB134" s="885">
        <f t="shared" si="231"/>
        <v>0.81448787409090906</v>
      </c>
      <c r="BC134" s="967">
        <f t="shared" si="122"/>
        <v>1502221495</v>
      </c>
      <c r="BD134" s="885">
        <f t="shared" si="123"/>
        <v>0.6828279522727273</v>
      </c>
      <c r="BE134" s="883"/>
      <c r="BF134" s="883" t="s">
        <v>1699</v>
      </c>
      <c r="BG134" s="883"/>
      <c r="BH134" s="883"/>
    </row>
    <row r="135" spans="1:61" s="865" customFormat="1" ht="52.5" customHeight="1">
      <c r="A135" s="893" t="s">
        <v>2302</v>
      </c>
      <c r="B135" s="894"/>
      <c r="C135" s="894"/>
      <c r="D135" s="895"/>
      <c r="E135" s="895"/>
      <c r="F135" s="895"/>
      <c r="G135" s="895"/>
      <c r="H135" s="895"/>
      <c r="I135" s="895"/>
      <c r="J135" s="895"/>
      <c r="K135" s="895"/>
      <c r="L135" s="895"/>
      <c r="M135" s="895"/>
      <c r="N135" s="895"/>
      <c r="O135" s="896">
        <f>+SUMPRODUCT(O136:O139,AC136:AC139)</f>
        <v>1</v>
      </c>
      <c r="P135" s="896">
        <f t="shared" ref="P135:R135" si="238">+SUMPRODUCT(P136:P139,AD136:AD139)</f>
        <v>1</v>
      </c>
      <c r="Q135" s="896">
        <f t="shared" si="238"/>
        <v>1</v>
      </c>
      <c r="R135" s="896">
        <f t="shared" si="238"/>
        <v>1</v>
      </c>
      <c r="S135" s="894"/>
      <c r="T135" s="894"/>
      <c r="U135" s="894"/>
      <c r="V135" s="894"/>
      <c r="W135" s="894"/>
      <c r="X135" s="894"/>
      <c r="Y135" s="897"/>
      <c r="Z135" s="897"/>
      <c r="AA135" s="896">
        <f>+SUMPRODUCT(AA136:AA139,AB136:AB139)</f>
        <v>1</v>
      </c>
      <c r="AB135" s="896">
        <v>1</v>
      </c>
      <c r="AC135" s="896">
        <v>1</v>
      </c>
      <c r="AD135" s="896">
        <v>1</v>
      </c>
      <c r="AE135" s="896">
        <v>1</v>
      </c>
      <c r="AF135" s="896">
        <v>1</v>
      </c>
      <c r="AG135" s="894">
        <f>SUM(AG136:AG139)</f>
        <v>600000000</v>
      </c>
      <c r="AH135" s="894">
        <f>SUM(AH136:AH139)</f>
        <v>0</v>
      </c>
      <c r="AI135" s="894">
        <f>SUM(AI136:AI139)</f>
        <v>592541079</v>
      </c>
      <c r="AJ135" s="894">
        <f>SUM(AJ136:AJ139)</f>
        <v>599332244</v>
      </c>
      <c r="AK135" s="894">
        <f>SUM(AK136:AK139)</f>
        <v>600000000</v>
      </c>
      <c r="AL135" s="900">
        <f t="shared" si="118"/>
        <v>1</v>
      </c>
      <c r="AM135" s="894">
        <f>SUM(AM136:AM139)</f>
        <v>0</v>
      </c>
      <c r="AN135" s="894">
        <f>SUM(AN136:AN139)</f>
        <v>415652749</v>
      </c>
      <c r="AO135" s="894">
        <f>SUM(AO136:AO139)</f>
        <v>363796006</v>
      </c>
      <c r="AP135" s="894">
        <f>SUM(AP136:AP139)</f>
        <v>311250000</v>
      </c>
      <c r="AQ135" s="901">
        <f t="shared" si="119"/>
        <v>0.51875000000000004</v>
      </c>
      <c r="AR135" s="902">
        <f t="shared" ref="AR135:AX135" si="239">SUM(AR136:AR139)</f>
        <v>235536238</v>
      </c>
      <c r="AS135" s="894">
        <f t="shared" si="239"/>
        <v>0</v>
      </c>
      <c r="AT135" s="894">
        <f t="shared" si="239"/>
        <v>0</v>
      </c>
      <c r="AU135" s="894">
        <f t="shared" si="239"/>
        <v>176888330</v>
      </c>
      <c r="AV135" s="894">
        <f t="shared" si="239"/>
        <v>176604108</v>
      </c>
      <c r="AW135" s="894">
        <f t="shared" si="239"/>
        <v>235536238</v>
      </c>
      <c r="AX135" s="894">
        <f t="shared" si="239"/>
        <v>234918632</v>
      </c>
      <c r="AY135" s="903">
        <f t="shared" si="110"/>
        <v>0.99737787269914702</v>
      </c>
      <c r="AZ135" s="894">
        <f t="shared" ref="AZ135" si="240">SUM(AZ136:AZ139)</f>
        <v>2200000000</v>
      </c>
      <c r="BA135" s="894">
        <f t="shared" si="121"/>
        <v>1791873323</v>
      </c>
      <c r="BB135" s="896">
        <f t="shared" si="231"/>
        <v>0.81448787409090906</v>
      </c>
      <c r="BC135" s="962">
        <f t="shared" si="122"/>
        <v>1502221495</v>
      </c>
      <c r="BD135" s="896">
        <f t="shared" si="123"/>
        <v>0.6828279522727273</v>
      </c>
      <c r="BE135" s="902"/>
      <c r="BF135" s="902"/>
      <c r="BG135" s="902"/>
      <c r="BH135" s="902"/>
    </row>
    <row r="136" spans="1:61" s="865" customFormat="1" ht="47.4" customHeight="1">
      <c r="A136" s="1083" t="s">
        <v>1901</v>
      </c>
      <c r="B136" s="1118" t="s">
        <v>2303</v>
      </c>
      <c r="C136" s="937" t="s">
        <v>2086</v>
      </c>
      <c r="D136" s="1003">
        <v>1</v>
      </c>
      <c r="E136" s="1003">
        <v>1</v>
      </c>
      <c r="F136" s="1003">
        <v>1</v>
      </c>
      <c r="G136" s="1003">
        <v>1</v>
      </c>
      <c r="H136" s="906">
        <v>0</v>
      </c>
      <c r="I136" s="906">
        <v>1</v>
      </c>
      <c r="J136" s="906">
        <v>1</v>
      </c>
      <c r="K136" s="906">
        <v>1</v>
      </c>
      <c r="L136" s="906">
        <v>1</v>
      </c>
      <c r="M136" s="906"/>
      <c r="N136" s="906"/>
      <c r="O136" s="930">
        <f t="shared" ref="O136:Q139" si="241">+IFERROR(IF((H136+L136)/D136&gt;=100%,100%,(H136+L136)/D136),0)</f>
        <v>1</v>
      </c>
      <c r="P136" s="930">
        <f t="shared" si="241"/>
        <v>1</v>
      </c>
      <c r="Q136" s="930">
        <f t="shared" si="241"/>
        <v>1</v>
      </c>
      <c r="R136" s="908">
        <f t="shared" ref="R136:R139" si="242">+IFERROR(IF(K136/G136&gt;=100%,100%,K136/G136),0)</f>
        <v>1</v>
      </c>
      <c r="S136" s="909" t="s">
        <v>2751</v>
      </c>
      <c r="T136" s="931">
        <v>45291</v>
      </c>
      <c r="U136" s="942" t="s">
        <v>2092</v>
      </c>
      <c r="V136" s="942"/>
      <c r="W136" s="909" t="s">
        <v>2683</v>
      </c>
      <c r="X136" s="932" t="s">
        <v>2752</v>
      </c>
      <c r="Y136" s="992">
        <f t="shared" ref="Y136:Y139" si="243">SUM(D136:G136)</f>
        <v>4</v>
      </c>
      <c r="Z136" s="913">
        <f t="shared" ref="Z136:Z139" si="244">SUM(H136:N136)</f>
        <v>4</v>
      </c>
      <c r="AA136" s="983">
        <f t="shared" ref="AA136:AA139" si="245">IF(Z136/Y136&gt;=100%,100%,Z136/Y136)</f>
        <v>1</v>
      </c>
      <c r="AB136" s="930">
        <v>0.25</v>
      </c>
      <c r="AC136" s="930">
        <v>0.25</v>
      </c>
      <c r="AD136" s="930">
        <v>0.25</v>
      </c>
      <c r="AE136" s="908">
        <v>0.25</v>
      </c>
      <c r="AF136" s="908">
        <v>0.25</v>
      </c>
      <c r="AG136" s="1086">
        <v>150000000</v>
      </c>
      <c r="AH136" s="1086">
        <v>0</v>
      </c>
      <c r="AI136" s="1086">
        <v>148132023</v>
      </c>
      <c r="AJ136" s="1086">
        <v>149833109</v>
      </c>
      <c r="AK136" s="1086">
        <v>150000000</v>
      </c>
      <c r="AL136" s="982">
        <f t="shared" si="118"/>
        <v>1</v>
      </c>
      <c r="AM136" s="1086">
        <v>0</v>
      </c>
      <c r="AN136" s="1119">
        <v>144167220</v>
      </c>
      <c r="AO136" s="1119">
        <v>141900353</v>
      </c>
      <c r="AP136" s="1086">
        <v>140750000</v>
      </c>
      <c r="AQ136" s="983">
        <f t="shared" si="119"/>
        <v>0.93833333333333335</v>
      </c>
      <c r="AR136" s="915">
        <f t="shared" ref="AR136:AR139" si="246">+AJ136-AO136</f>
        <v>7932756</v>
      </c>
      <c r="AS136" s="1086">
        <v>0</v>
      </c>
      <c r="AT136" s="1086">
        <v>0</v>
      </c>
      <c r="AU136" s="1086">
        <v>3964803</v>
      </c>
      <c r="AV136" s="1086">
        <v>3887145</v>
      </c>
      <c r="AW136" s="1086">
        <v>7932756</v>
      </c>
      <c r="AX136" s="1086">
        <v>7778437</v>
      </c>
      <c r="AY136" s="984">
        <f t="shared" ref="AY136:AY199" si="247">+AX136/AW136</f>
        <v>0.98054660952637396</v>
      </c>
      <c r="AZ136" s="1028">
        <v>550000000</v>
      </c>
      <c r="BA136" s="957">
        <f t="shared" si="121"/>
        <v>447965132</v>
      </c>
      <c r="BB136" s="930">
        <f t="shared" si="116"/>
        <v>0.81448205818181818</v>
      </c>
      <c r="BC136" s="986">
        <f t="shared" si="122"/>
        <v>438483155</v>
      </c>
      <c r="BD136" s="930">
        <f t="shared" si="123"/>
        <v>0.79724209999999995</v>
      </c>
      <c r="BE136" s="987"/>
      <c r="BF136" s="987"/>
      <c r="BG136" s="909" t="s">
        <v>1107</v>
      </c>
      <c r="BH136" s="1354" t="s">
        <v>2304</v>
      </c>
    </row>
    <row r="137" spans="1:61" s="865" customFormat="1" ht="47.4" customHeight="1">
      <c r="A137" s="1083" t="s">
        <v>1902</v>
      </c>
      <c r="B137" s="1118" t="s">
        <v>2305</v>
      </c>
      <c r="C137" s="937" t="s">
        <v>2086</v>
      </c>
      <c r="D137" s="1003">
        <v>1</v>
      </c>
      <c r="E137" s="1003">
        <v>1</v>
      </c>
      <c r="F137" s="1003">
        <v>1</v>
      </c>
      <c r="G137" s="1003">
        <v>1</v>
      </c>
      <c r="H137" s="906">
        <v>0</v>
      </c>
      <c r="I137" s="906">
        <v>1</v>
      </c>
      <c r="J137" s="906">
        <v>1</v>
      </c>
      <c r="K137" s="906">
        <v>1</v>
      </c>
      <c r="L137" s="906">
        <v>1</v>
      </c>
      <c r="M137" s="906"/>
      <c r="N137" s="906"/>
      <c r="O137" s="930">
        <f t="shared" si="241"/>
        <v>1</v>
      </c>
      <c r="P137" s="930">
        <f t="shared" si="241"/>
        <v>1</v>
      </c>
      <c r="Q137" s="930">
        <f t="shared" si="241"/>
        <v>1</v>
      </c>
      <c r="R137" s="908">
        <f t="shared" si="242"/>
        <v>1</v>
      </c>
      <c r="S137" s="909" t="s">
        <v>2753</v>
      </c>
      <c r="T137" s="931">
        <v>45291</v>
      </c>
      <c r="U137" s="942" t="s">
        <v>2092</v>
      </c>
      <c r="V137" s="942"/>
      <c r="W137" s="909" t="s">
        <v>2683</v>
      </c>
      <c r="X137" s="932" t="s">
        <v>2752</v>
      </c>
      <c r="Y137" s="992">
        <f t="shared" si="243"/>
        <v>4</v>
      </c>
      <c r="Z137" s="913">
        <f t="shared" si="244"/>
        <v>4</v>
      </c>
      <c r="AA137" s="983">
        <f t="shared" si="245"/>
        <v>1</v>
      </c>
      <c r="AB137" s="930">
        <v>0.25</v>
      </c>
      <c r="AC137" s="930">
        <v>0.25</v>
      </c>
      <c r="AD137" s="930">
        <v>0.25</v>
      </c>
      <c r="AE137" s="908">
        <v>0.25</v>
      </c>
      <c r="AF137" s="908">
        <v>0.25</v>
      </c>
      <c r="AG137" s="1086">
        <v>150000000</v>
      </c>
      <c r="AH137" s="1086">
        <v>0</v>
      </c>
      <c r="AI137" s="1086">
        <v>148136352</v>
      </c>
      <c r="AJ137" s="1086">
        <v>149833045</v>
      </c>
      <c r="AK137" s="1086">
        <v>150000000</v>
      </c>
      <c r="AL137" s="982">
        <f t="shared" si="118"/>
        <v>1</v>
      </c>
      <c r="AM137" s="1086">
        <v>0</v>
      </c>
      <c r="AN137" s="1086">
        <v>144161843</v>
      </c>
      <c r="AO137" s="1086">
        <v>39998551</v>
      </c>
      <c r="AP137" s="1086">
        <v>14750000</v>
      </c>
      <c r="AQ137" s="983">
        <f t="shared" si="119"/>
        <v>9.8333333333333328E-2</v>
      </c>
      <c r="AR137" s="915">
        <f t="shared" si="246"/>
        <v>109834494</v>
      </c>
      <c r="AS137" s="1086">
        <v>0</v>
      </c>
      <c r="AT137" s="1086">
        <v>0</v>
      </c>
      <c r="AU137" s="1086">
        <v>3974509</v>
      </c>
      <c r="AV137" s="1086">
        <v>3878517</v>
      </c>
      <c r="AW137" s="1086">
        <v>109834494</v>
      </c>
      <c r="AX137" s="1086">
        <v>109680065</v>
      </c>
      <c r="AY137" s="984">
        <f t="shared" si="247"/>
        <v>0.99859398450909242</v>
      </c>
      <c r="AZ137" s="1028">
        <v>550000000</v>
      </c>
      <c r="BA137" s="957">
        <f t="shared" si="121"/>
        <v>447969397</v>
      </c>
      <c r="BB137" s="930">
        <f t="shared" si="116"/>
        <v>0.81448981272727272</v>
      </c>
      <c r="BC137" s="986">
        <f t="shared" si="122"/>
        <v>312468976</v>
      </c>
      <c r="BD137" s="930">
        <f t="shared" si="123"/>
        <v>0.56812541090909086</v>
      </c>
      <c r="BE137" s="987"/>
      <c r="BF137" s="987"/>
      <c r="BG137" s="909" t="s">
        <v>1107</v>
      </c>
      <c r="BH137" s="1345"/>
    </row>
    <row r="138" spans="1:61" s="865" customFormat="1" ht="47.4" customHeight="1">
      <c r="A138" s="1083" t="s">
        <v>1903</v>
      </c>
      <c r="B138" s="1118" t="s">
        <v>2305</v>
      </c>
      <c r="C138" s="937" t="s">
        <v>2086</v>
      </c>
      <c r="D138" s="1003">
        <v>1</v>
      </c>
      <c r="E138" s="1003">
        <v>1</v>
      </c>
      <c r="F138" s="1003">
        <v>1</v>
      </c>
      <c r="G138" s="1003">
        <v>1</v>
      </c>
      <c r="H138" s="906">
        <v>0</v>
      </c>
      <c r="I138" s="906">
        <v>1</v>
      </c>
      <c r="J138" s="906">
        <v>1</v>
      </c>
      <c r="K138" s="906">
        <v>1</v>
      </c>
      <c r="L138" s="906">
        <v>1</v>
      </c>
      <c r="M138" s="906"/>
      <c r="N138" s="906"/>
      <c r="O138" s="930">
        <f t="shared" si="241"/>
        <v>1</v>
      </c>
      <c r="P138" s="930">
        <f t="shared" si="241"/>
        <v>1</v>
      </c>
      <c r="Q138" s="930">
        <f t="shared" si="241"/>
        <v>1</v>
      </c>
      <c r="R138" s="908">
        <f t="shared" si="242"/>
        <v>1</v>
      </c>
      <c r="S138" s="909" t="s">
        <v>2754</v>
      </c>
      <c r="T138" s="931">
        <v>45291</v>
      </c>
      <c r="U138" s="942" t="s">
        <v>2092</v>
      </c>
      <c r="V138" s="942"/>
      <c r="W138" s="909" t="s">
        <v>2683</v>
      </c>
      <c r="X138" s="932" t="s">
        <v>2755</v>
      </c>
      <c r="Y138" s="992">
        <f t="shared" si="243"/>
        <v>4</v>
      </c>
      <c r="Z138" s="913">
        <f t="shared" si="244"/>
        <v>4</v>
      </c>
      <c r="AA138" s="983">
        <f t="shared" si="245"/>
        <v>1</v>
      </c>
      <c r="AB138" s="930">
        <v>0.25</v>
      </c>
      <c r="AC138" s="930">
        <v>0.25</v>
      </c>
      <c r="AD138" s="930">
        <v>0.25</v>
      </c>
      <c r="AE138" s="908">
        <v>0.25</v>
      </c>
      <c r="AF138" s="908">
        <v>0.25</v>
      </c>
      <c r="AG138" s="1086">
        <v>150000000</v>
      </c>
      <c r="AH138" s="1086">
        <v>0</v>
      </c>
      <c r="AI138" s="1086">
        <v>148136352</v>
      </c>
      <c r="AJ138" s="1086">
        <v>149833045</v>
      </c>
      <c r="AK138" s="1086">
        <v>150000000</v>
      </c>
      <c r="AL138" s="982">
        <f t="shared" si="118"/>
        <v>1</v>
      </c>
      <c r="AM138" s="1086">
        <v>0</v>
      </c>
      <c r="AN138" s="1086">
        <v>121161843</v>
      </c>
      <c r="AO138" s="1086">
        <v>141898551</v>
      </c>
      <c r="AP138" s="1086">
        <v>68750000</v>
      </c>
      <c r="AQ138" s="983">
        <f t="shared" si="119"/>
        <v>0.45833333333333331</v>
      </c>
      <c r="AR138" s="915">
        <f t="shared" si="246"/>
        <v>7934494</v>
      </c>
      <c r="AS138" s="1086">
        <v>0</v>
      </c>
      <c r="AT138" s="1086">
        <v>0</v>
      </c>
      <c r="AU138" s="1086">
        <v>26974509</v>
      </c>
      <c r="AV138" s="1086">
        <v>26919223</v>
      </c>
      <c r="AW138" s="1086">
        <v>7934494</v>
      </c>
      <c r="AX138" s="1086">
        <v>7780065</v>
      </c>
      <c r="AY138" s="984">
        <f t="shared" si="247"/>
        <v>0.980537007148786</v>
      </c>
      <c r="AZ138" s="1028">
        <v>550000000</v>
      </c>
      <c r="BA138" s="957">
        <f t="shared" si="121"/>
        <v>447969397</v>
      </c>
      <c r="BB138" s="930">
        <f t="shared" si="116"/>
        <v>0.81448981272727272</v>
      </c>
      <c r="BC138" s="986">
        <f t="shared" si="122"/>
        <v>366509682</v>
      </c>
      <c r="BD138" s="930">
        <f t="shared" si="123"/>
        <v>0.66638123999999999</v>
      </c>
      <c r="BE138" s="987"/>
      <c r="BF138" s="987"/>
      <c r="BG138" s="909" t="s">
        <v>1107</v>
      </c>
      <c r="BH138" s="1345"/>
    </row>
    <row r="139" spans="1:61" s="865" customFormat="1" ht="47.4" customHeight="1">
      <c r="A139" s="1083" t="s">
        <v>2306</v>
      </c>
      <c r="B139" s="1120" t="s">
        <v>2307</v>
      </c>
      <c r="C139" s="937" t="s">
        <v>2086</v>
      </c>
      <c r="D139" s="1003">
        <v>1</v>
      </c>
      <c r="E139" s="1003">
        <v>1</v>
      </c>
      <c r="F139" s="1003">
        <v>1</v>
      </c>
      <c r="G139" s="1003">
        <v>1</v>
      </c>
      <c r="H139" s="906">
        <v>0</v>
      </c>
      <c r="I139" s="906">
        <v>1</v>
      </c>
      <c r="J139" s="906">
        <v>1</v>
      </c>
      <c r="K139" s="906">
        <v>1</v>
      </c>
      <c r="L139" s="906">
        <v>1</v>
      </c>
      <c r="M139" s="906"/>
      <c r="N139" s="906"/>
      <c r="O139" s="930">
        <f t="shared" si="241"/>
        <v>1</v>
      </c>
      <c r="P139" s="930">
        <f t="shared" si="241"/>
        <v>1</v>
      </c>
      <c r="Q139" s="930">
        <f t="shared" si="241"/>
        <v>1</v>
      </c>
      <c r="R139" s="908">
        <f t="shared" si="242"/>
        <v>1</v>
      </c>
      <c r="S139" s="909" t="s">
        <v>2756</v>
      </c>
      <c r="T139" s="931">
        <v>45291</v>
      </c>
      <c r="U139" s="942" t="s">
        <v>2092</v>
      </c>
      <c r="V139" s="942"/>
      <c r="W139" s="909" t="s">
        <v>2683</v>
      </c>
      <c r="X139" s="932" t="s">
        <v>2757</v>
      </c>
      <c r="Y139" s="992">
        <f t="shared" si="243"/>
        <v>4</v>
      </c>
      <c r="Z139" s="913">
        <f t="shared" si="244"/>
        <v>4</v>
      </c>
      <c r="AA139" s="983">
        <f t="shared" si="245"/>
        <v>1</v>
      </c>
      <c r="AB139" s="930">
        <v>0.25</v>
      </c>
      <c r="AC139" s="930">
        <v>0.25</v>
      </c>
      <c r="AD139" s="930">
        <v>0.25</v>
      </c>
      <c r="AE139" s="908">
        <v>0.25</v>
      </c>
      <c r="AF139" s="908">
        <v>0.25</v>
      </c>
      <c r="AG139" s="1086">
        <v>150000000</v>
      </c>
      <c r="AH139" s="1086">
        <v>0</v>
      </c>
      <c r="AI139" s="1086">
        <v>148136352</v>
      </c>
      <c r="AJ139" s="1086">
        <v>149833045</v>
      </c>
      <c r="AK139" s="1086">
        <v>150000000</v>
      </c>
      <c r="AL139" s="982">
        <f t="shared" si="118"/>
        <v>1</v>
      </c>
      <c r="AM139" s="1086">
        <v>0</v>
      </c>
      <c r="AN139" s="1086">
        <v>6161843</v>
      </c>
      <c r="AO139" s="1086">
        <v>39998551</v>
      </c>
      <c r="AP139" s="1086">
        <v>87000000</v>
      </c>
      <c r="AQ139" s="983">
        <f t="shared" si="119"/>
        <v>0.57999999999999996</v>
      </c>
      <c r="AR139" s="915">
        <f t="shared" si="246"/>
        <v>109834494</v>
      </c>
      <c r="AS139" s="1086">
        <v>0</v>
      </c>
      <c r="AT139" s="1086">
        <v>0</v>
      </c>
      <c r="AU139" s="1086">
        <v>141974509</v>
      </c>
      <c r="AV139" s="1086">
        <v>141919223</v>
      </c>
      <c r="AW139" s="1086">
        <v>109834494</v>
      </c>
      <c r="AX139" s="1086">
        <v>109680065</v>
      </c>
      <c r="AY139" s="984">
        <f t="shared" si="247"/>
        <v>0.99859398450909242</v>
      </c>
      <c r="AZ139" s="1028">
        <v>550000000</v>
      </c>
      <c r="BA139" s="957">
        <f t="shared" si="121"/>
        <v>447969397</v>
      </c>
      <c r="BB139" s="930">
        <f t="shared" ref="BB139:BB203" si="248">+BA139/AZ139</f>
        <v>0.81448981272727272</v>
      </c>
      <c r="BC139" s="986">
        <f t="shared" si="122"/>
        <v>384759682</v>
      </c>
      <c r="BD139" s="930">
        <f t="shared" si="123"/>
        <v>0.69956305818181819</v>
      </c>
      <c r="BE139" s="987"/>
      <c r="BF139" s="987"/>
      <c r="BG139" s="909" t="s">
        <v>1701</v>
      </c>
      <c r="BH139" s="1345"/>
    </row>
    <row r="140" spans="1:61" s="892" customFormat="1" ht="47.4" customHeight="1">
      <c r="A140" s="882" t="s">
        <v>2308</v>
      </c>
      <c r="B140" s="883"/>
      <c r="C140" s="883"/>
      <c r="D140" s="884"/>
      <c r="E140" s="884"/>
      <c r="F140" s="1065"/>
      <c r="G140" s="1065"/>
      <c r="H140" s="884"/>
      <c r="I140" s="884"/>
      <c r="J140" s="1065"/>
      <c r="K140" s="1065"/>
      <c r="L140" s="884"/>
      <c r="M140" s="884"/>
      <c r="N140" s="884"/>
      <c r="O140" s="887">
        <f>+(O141*AC141)+(O144*AC144)</f>
        <v>1</v>
      </c>
      <c r="P140" s="887">
        <f t="shared" ref="P140:R140" si="249">+(P141*AD141)+(P144*AD144)</f>
        <v>1</v>
      </c>
      <c r="Q140" s="887">
        <f t="shared" si="249"/>
        <v>1</v>
      </c>
      <c r="R140" s="887">
        <f t="shared" si="249"/>
        <v>1</v>
      </c>
      <c r="S140" s="883"/>
      <c r="T140" s="883"/>
      <c r="U140" s="883"/>
      <c r="V140" s="883"/>
      <c r="W140" s="883"/>
      <c r="X140" s="883"/>
      <c r="Y140" s="886"/>
      <c r="Z140" s="886"/>
      <c r="AA140" s="887">
        <f>+(AA141*AB141)+(AA144*AB144)</f>
        <v>1</v>
      </c>
      <c r="AB140" s="885">
        <v>0.15</v>
      </c>
      <c r="AC140" s="885">
        <v>0.15</v>
      </c>
      <c r="AD140" s="885">
        <v>0.15</v>
      </c>
      <c r="AE140" s="885">
        <v>0.15</v>
      </c>
      <c r="AF140" s="885">
        <v>0.15</v>
      </c>
      <c r="AG140" s="889">
        <f>+AG141+AG144</f>
        <v>1200000000</v>
      </c>
      <c r="AH140" s="883">
        <f>+AH141+AH144</f>
        <v>125000000</v>
      </c>
      <c r="AI140" s="889">
        <f>+AI141+AI144</f>
        <v>1013923268</v>
      </c>
      <c r="AJ140" s="889">
        <f>+AJ141+AJ144</f>
        <v>1133876494</v>
      </c>
      <c r="AK140" s="889">
        <f>+AK141+AK144</f>
        <v>1200000000</v>
      </c>
      <c r="AL140" s="888">
        <f t="shared" ref="AL140:AL203" si="250">+AK140/AG140</f>
        <v>1</v>
      </c>
      <c r="AM140" s="883">
        <f>+AM141+AM144</f>
        <v>62750000</v>
      </c>
      <c r="AN140" s="889">
        <f>+AN141+AN144</f>
        <v>562539524</v>
      </c>
      <c r="AO140" s="889">
        <f>+AO141+AO144</f>
        <v>663781540</v>
      </c>
      <c r="AP140" s="889">
        <f>+AP141+AP144</f>
        <v>1199186665</v>
      </c>
      <c r="AQ140" s="890">
        <f t="shared" ref="AQ140:AQ203" si="251">+AP140/AG140</f>
        <v>0.99932222083333333</v>
      </c>
      <c r="AR140" s="883">
        <f t="shared" ref="AR140:AX140" si="252">+AR141+AR144</f>
        <v>470094954</v>
      </c>
      <c r="AS140" s="883">
        <f t="shared" si="252"/>
        <v>62250000</v>
      </c>
      <c r="AT140" s="883">
        <f t="shared" si="252"/>
        <v>4000000</v>
      </c>
      <c r="AU140" s="883">
        <f t="shared" si="252"/>
        <v>451383744</v>
      </c>
      <c r="AV140" s="883">
        <f t="shared" si="252"/>
        <v>451015168</v>
      </c>
      <c r="AW140" s="883">
        <f t="shared" si="252"/>
        <v>470094954</v>
      </c>
      <c r="AX140" s="883">
        <f t="shared" si="252"/>
        <v>467688033</v>
      </c>
      <c r="AY140" s="891">
        <f t="shared" si="247"/>
        <v>0.99487992589684338</v>
      </c>
      <c r="AZ140" s="883">
        <f t="shared" ref="AZ140" si="253">+AZ141+AZ144</f>
        <v>3485000000</v>
      </c>
      <c r="BA140" s="883">
        <f t="shared" ref="BA140:BA203" si="254">SUM(AH140:AK140)</f>
        <v>3472799762</v>
      </c>
      <c r="BB140" s="885">
        <f t="shared" si="248"/>
        <v>0.99649921434720234</v>
      </c>
      <c r="BC140" s="967">
        <f t="shared" ref="BC140:BC203" si="255">SUM(AM140:AP140)+AT140+AV140+AX140</f>
        <v>3410960930</v>
      </c>
      <c r="BD140" s="885">
        <f t="shared" ref="BD140:BD203" si="256">+BC140/AZ140</f>
        <v>0.9787549296987087</v>
      </c>
      <c r="BE140" s="883"/>
      <c r="BF140" s="883" t="s">
        <v>1699</v>
      </c>
      <c r="BG140" s="883"/>
      <c r="BH140" s="883"/>
      <c r="BI140" s="892" t="s">
        <v>2081</v>
      </c>
    </row>
    <row r="141" spans="1:61" s="865" customFormat="1" ht="75" customHeight="1">
      <c r="A141" s="893" t="s">
        <v>2309</v>
      </c>
      <c r="B141" s="894"/>
      <c r="C141" s="894"/>
      <c r="D141" s="895"/>
      <c r="E141" s="895"/>
      <c r="F141" s="895"/>
      <c r="G141" s="895"/>
      <c r="H141" s="895"/>
      <c r="I141" s="895"/>
      <c r="J141" s="895"/>
      <c r="K141" s="895"/>
      <c r="L141" s="895"/>
      <c r="M141" s="895"/>
      <c r="N141" s="895"/>
      <c r="O141" s="896">
        <f>+SUMPRODUCT(O142:O143,AC142:AC143)</f>
        <v>0</v>
      </c>
      <c r="P141" s="896">
        <f t="shared" ref="P141:R141" si="257">+SUMPRODUCT(P142:P143,AD142:AD143)</f>
        <v>1</v>
      </c>
      <c r="Q141" s="896">
        <f t="shared" si="257"/>
        <v>1</v>
      </c>
      <c r="R141" s="896">
        <f t="shared" si="257"/>
        <v>1</v>
      </c>
      <c r="S141" s="894"/>
      <c r="T141" s="894"/>
      <c r="U141" s="894"/>
      <c r="V141" s="894"/>
      <c r="W141" s="894"/>
      <c r="X141" s="894"/>
      <c r="Y141" s="897"/>
      <c r="Z141" s="897"/>
      <c r="AA141" s="896">
        <f>+SUMPRODUCT(AA142:AA143,AB142:AB143)</f>
        <v>1</v>
      </c>
      <c r="AB141" s="896">
        <v>0.8</v>
      </c>
      <c r="AC141" s="896">
        <v>0</v>
      </c>
      <c r="AD141" s="896">
        <v>0.8</v>
      </c>
      <c r="AE141" s="896">
        <v>0.8</v>
      </c>
      <c r="AF141" s="896">
        <v>0.8</v>
      </c>
      <c r="AG141" s="899">
        <f>SUM(AG142:AG143)</f>
        <v>1075000000</v>
      </c>
      <c r="AH141" s="894">
        <f>SUM(AH142:AH143)</f>
        <v>0</v>
      </c>
      <c r="AI141" s="899">
        <f>SUM(AI142:AI143)</f>
        <v>890476308</v>
      </c>
      <c r="AJ141" s="899">
        <f>SUM(AJ142:AJ143)</f>
        <v>1008941098</v>
      </c>
      <c r="AK141" s="899">
        <f>SUM(AK142:AK143)</f>
        <v>1075000000</v>
      </c>
      <c r="AL141" s="900">
        <f t="shared" si="250"/>
        <v>1</v>
      </c>
      <c r="AM141" s="894">
        <f>SUM(AM142:AM143)</f>
        <v>0</v>
      </c>
      <c r="AN141" s="899">
        <f>SUM(AN142:AN143)</f>
        <v>497437069</v>
      </c>
      <c r="AO141" s="899">
        <f>SUM(AO142:AO143)</f>
        <v>541679251</v>
      </c>
      <c r="AP141" s="899">
        <f>SUM(AP142:AP143)</f>
        <v>1074395003</v>
      </c>
      <c r="AQ141" s="901">
        <f t="shared" si="251"/>
        <v>0.99943721209302328</v>
      </c>
      <c r="AR141" s="902">
        <f t="shared" ref="AR141:AX141" si="258">SUM(AR142:AR143)</f>
        <v>467261847</v>
      </c>
      <c r="AS141" s="902">
        <f t="shared" si="258"/>
        <v>0</v>
      </c>
      <c r="AT141" s="902">
        <f t="shared" si="258"/>
        <v>0</v>
      </c>
      <c r="AU141" s="902">
        <f t="shared" si="258"/>
        <v>393039239</v>
      </c>
      <c r="AV141" s="902">
        <f t="shared" si="258"/>
        <v>392716735</v>
      </c>
      <c r="AW141" s="902">
        <f t="shared" si="258"/>
        <v>467261847</v>
      </c>
      <c r="AX141" s="902">
        <f t="shared" si="258"/>
        <v>466002028</v>
      </c>
      <c r="AY141" s="903">
        <f t="shared" si="247"/>
        <v>0.9973038265202081</v>
      </c>
      <c r="AZ141" s="894">
        <f t="shared" ref="AZ141" si="259">SUM(AZ142:AZ143)</f>
        <v>2985000000</v>
      </c>
      <c r="BA141" s="894">
        <f t="shared" si="254"/>
        <v>2974417406</v>
      </c>
      <c r="BB141" s="896">
        <f t="shared" si="248"/>
        <v>0.99645474237855947</v>
      </c>
      <c r="BC141" s="962">
        <f t="shared" si="255"/>
        <v>2972230086</v>
      </c>
      <c r="BD141" s="896">
        <f t="shared" si="256"/>
        <v>0.99572197185929645</v>
      </c>
      <c r="BE141" s="902"/>
      <c r="BF141" s="902"/>
      <c r="BG141" s="902"/>
      <c r="BH141" s="902"/>
      <c r="BI141" s="865" t="s">
        <v>2081</v>
      </c>
    </row>
    <row r="142" spans="1:61" s="865" customFormat="1" ht="98.25" customHeight="1">
      <c r="A142" s="1121" t="s">
        <v>2310</v>
      </c>
      <c r="B142" s="1118" t="s">
        <v>2311</v>
      </c>
      <c r="C142" s="937" t="s">
        <v>2086</v>
      </c>
      <c r="D142" s="1122">
        <v>0</v>
      </c>
      <c r="E142" s="1122">
        <v>23</v>
      </c>
      <c r="F142" s="1122">
        <v>0</v>
      </c>
      <c r="G142" s="1122">
        <v>0</v>
      </c>
      <c r="H142" s="906">
        <v>0</v>
      </c>
      <c r="I142" s="906">
        <v>23</v>
      </c>
      <c r="J142" s="906">
        <v>0</v>
      </c>
      <c r="K142" s="906"/>
      <c r="L142" s="906"/>
      <c r="M142" s="906"/>
      <c r="N142" s="906"/>
      <c r="O142" s="908">
        <f t="shared" ref="O142:Q143" si="260">+IFERROR(IF((H142+L142)/D142&gt;=100%,100%,(H142+L142)/D142),0)</f>
        <v>0</v>
      </c>
      <c r="P142" s="930">
        <f t="shared" si="260"/>
        <v>1</v>
      </c>
      <c r="Q142" s="908">
        <f t="shared" si="260"/>
        <v>0</v>
      </c>
      <c r="R142" s="908">
        <f t="shared" ref="R142:R143" si="261">+IFERROR(IF(K142/G142&gt;=100%,100%,K142/G142),0)</f>
        <v>0</v>
      </c>
      <c r="S142" s="910"/>
      <c r="T142" s="910"/>
      <c r="U142" s="942"/>
      <c r="V142" s="942"/>
      <c r="W142" s="909"/>
      <c r="X142" s="933"/>
      <c r="Y142" s="1122">
        <f t="shared" ref="Y142:Y143" si="262">SUM(D142:G142)</f>
        <v>23</v>
      </c>
      <c r="Z142" s="913">
        <f t="shared" ref="Z142:Z143" si="263">SUM(H142:N142)</f>
        <v>23</v>
      </c>
      <c r="AA142" s="928">
        <f t="shared" ref="AA142:AA143" si="264">IF(Z142/Y142&gt;=100%,100%,Z142/Y142)</f>
        <v>1</v>
      </c>
      <c r="AB142" s="908">
        <v>0.5</v>
      </c>
      <c r="AC142" s="908">
        <v>0</v>
      </c>
      <c r="AD142" s="908">
        <v>0.5</v>
      </c>
      <c r="AE142" s="908">
        <v>0</v>
      </c>
      <c r="AF142" s="908">
        <v>0</v>
      </c>
      <c r="AG142" s="1107">
        <v>0</v>
      </c>
      <c r="AH142" s="1107">
        <v>0</v>
      </c>
      <c r="AI142" s="1093">
        <v>831081538</v>
      </c>
      <c r="AJ142" s="1093">
        <v>0</v>
      </c>
      <c r="AK142" s="1093"/>
      <c r="AL142" s="916" t="e">
        <f t="shared" si="250"/>
        <v>#DIV/0!</v>
      </c>
      <c r="AM142" s="1107">
        <v>0</v>
      </c>
      <c r="AN142" s="1093">
        <v>464258016</v>
      </c>
      <c r="AO142" s="1093">
        <v>0</v>
      </c>
      <c r="AP142" s="1093"/>
      <c r="AQ142" s="928" t="e">
        <f t="shared" si="251"/>
        <v>#DIV/0!</v>
      </c>
      <c r="AR142" s="915">
        <f t="shared" ref="AR142:AR143" si="265">+AJ142-AO142</f>
        <v>0</v>
      </c>
      <c r="AS142" s="1107">
        <v>0</v>
      </c>
      <c r="AT142" s="1107">
        <v>0</v>
      </c>
      <c r="AU142" s="1107"/>
      <c r="AV142" s="1107"/>
      <c r="AW142" s="1107"/>
      <c r="AX142" s="1107"/>
      <c r="AY142" s="956" t="e">
        <f t="shared" si="247"/>
        <v>#DIV/0!</v>
      </c>
      <c r="AZ142" s="1123">
        <v>840000000</v>
      </c>
      <c r="BA142" s="957">
        <f t="shared" si="254"/>
        <v>831081538</v>
      </c>
      <c r="BB142" s="928">
        <f t="shared" si="248"/>
        <v>0.98938278333333329</v>
      </c>
      <c r="BC142" s="958">
        <f t="shared" si="255"/>
        <v>464258016</v>
      </c>
      <c r="BD142" s="908">
        <f t="shared" si="256"/>
        <v>0.55268811428571429</v>
      </c>
      <c r="BE142" s="926"/>
      <c r="BF142" s="926"/>
      <c r="BG142" s="910" t="s">
        <v>1107</v>
      </c>
      <c r="BH142" s="1124" t="s">
        <v>2312</v>
      </c>
      <c r="BI142" s="865" t="s">
        <v>2081</v>
      </c>
    </row>
    <row r="143" spans="1:61" s="865" customFormat="1" ht="47.4" customHeight="1">
      <c r="A143" s="1121" t="s">
        <v>2313</v>
      </c>
      <c r="B143" s="1118" t="s">
        <v>2314</v>
      </c>
      <c r="C143" s="905" t="s">
        <v>1054</v>
      </c>
      <c r="D143" s="1175">
        <v>0</v>
      </c>
      <c r="E143" s="1175">
        <v>1</v>
      </c>
      <c r="F143" s="1175">
        <v>1</v>
      </c>
      <c r="G143" s="1175">
        <v>1</v>
      </c>
      <c r="H143" s="908">
        <v>0</v>
      </c>
      <c r="I143" s="908">
        <v>1</v>
      </c>
      <c r="J143" s="908">
        <v>1</v>
      </c>
      <c r="K143" s="908">
        <v>1</v>
      </c>
      <c r="L143" s="906"/>
      <c r="M143" s="906"/>
      <c r="N143" s="906"/>
      <c r="O143" s="908">
        <f t="shared" si="260"/>
        <v>0</v>
      </c>
      <c r="P143" s="930">
        <f t="shared" si="260"/>
        <v>1</v>
      </c>
      <c r="Q143" s="930">
        <f t="shared" si="260"/>
        <v>1</v>
      </c>
      <c r="R143" s="908">
        <f t="shared" si="261"/>
        <v>1</v>
      </c>
      <c r="S143" s="910" t="s">
        <v>2758</v>
      </c>
      <c r="T143" s="931">
        <v>45291</v>
      </c>
      <c r="U143" s="942" t="s">
        <v>2092</v>
      </c>
      <c r="V143" s="942"/>
      <c r="W143" s="909" t="s">
        <v>2683</v>
      </c>
      <c r="X143" s="933" t="s">
        <v>2275</v>
      </c>
      <c r="Y143" s="1125">
        <f t="shared" si="262"/>
        <v>3</v>
      </c>
      <c r="Z143" s="908">
        <f t="shared" si="263"/>
        <v>3</v>
      </c>
      <c r="AA143" s="928">
        <f t="shared" si="264"/>
        <v>1</v>
      </c>
      <c r="AB143" s="908">
        <v>0.5</v>
      </c>
      <c r="AC143" s="908">
        <v>0</v>
      </c>
      <c r="AD143" s="908">
        <v>0.5</v>
      </c>
      <c r="AE143" s="908">
        <v>1</v>
      </c>
      <c r="AF143" s="908">
        <v>1</v>
      </c>
      <c r="AG143" s="1126">
        <v>1075000000</v>
      </c>
      <c r="AH143" s="1107">
        <v>0</v>
      </c>
      <c r="AI143" s="1093">
        <v>59394770</v>
      </c>
      <c r="AJ143" s="1093">
        <v>1008941098</v>
      </c>
      <c r="AK143" s="1093">
        <v>1075000000</v>
      </c>
      <c r="AL143" s="916">
        <f t="shared" si="250"/>
        <v>1</v>
      </c>
      <c r="AM143" s="1107">
        <v>0</v>
      </c>
      <c r="AN143" s="1093">
        <v>33179053</v>
      </c>
      <c r="AO143" s="1093">
        <v>541679251</v>
      </c>
      <c r="AP143" s="1093">
        <v>1074395003</v>
      </c>
      <c r="AQ143" s="928">
        <f t="shared" si="251"/>
        <v>0.99943721209302328</v>
      </c>
      <c r="AR143" s="915">
        <f t="shared" si="265"/>
        <v>467261847</v>
      </c>
      <c r="AS143" s="1107">
        <v>0</v>
      </c>
      <c r="AT143" s="1107">
        <v>0</v>
      </c>
      <c r="AU143" s="1107">
        <v>393039239</v>
      </c>
      <c r="AV143" s="1107">
        <v>392716735</v>
      </c>
      <c r="AW143" s="1107">
        <v>467261847</v>
      </c>
      <c r="AX143" s="1107">
        <v>466002028</v>
      </c>
      <c r="AY143" s="956">
        <f t="shared" si="247"/>
        <v>0.9973038265202081</v>
      </c>
      <c r="AZ143" s="1123">
        <v>2145000000</v>
      </c>
      <c r="BA143" s="957">
        <f t="shared" si="254"/>
        <v>2143335868</v>
      </c>
      <c r="BB143" s="930">
        <f t="shared" si="248"/>
        <v>0.99922418088578091</v>
      </c>
      <c r="BC143" s="986">
        <f t="shared" si="255"/>
        <v>2507972070</v>
      </c>
      <c r="BD143" s="930">
        <f t="shared" si="256"/>
        <v>1.1692177482517483</v>
      </c>
      <c r="BE143" s="926"/>
      <c r="BF143" s="926"/>
      <c r="BG143" s="910" t="s">
        <v>1107</v>
      </c>
      <c r="BH143" s="1124" t="s">
        <v>2312</v>
      </c>
      <c r="BI143" s="865" t="s">
        <v>2081</v>
      </c>
    </row>
    <row r="144" spans="1:61" s="865" customFormat="1" ht="47.4" customHeight="1">
      <c r="A144" s="893" t="s">
        <v>2315</v>
      </c>
      <c r="B144" s="894"/>
      <c r="C144" s="894"/>
      <c r="D144" s="895"/>
      <c r="E144" s="895"/>
      <c r="F144" s="895"/>
      <c r="G144" s="895"/>
      <c r="H144" s="895"/>
      <c r="I144" s="895"/>
      <c r="J144" s="895"/>
      <c r="K144" s="895"/>
      <c r="L144" s="895"/>
      <c r="M144" s="895"/>
      <c r="N144" s="895"/>
      <c r="O144" s="896">
        <f>+(O145*AC145)</f>
        <v>1</v>
      </c>
      <c r="P144" s="896">
        <f t="shared" ref="P144:R144" si="266">+(P145*AD145)</f>
        <v>1</v>
      </c>
      <c r="Q144" s="896">
        <f t="shared" si="266"/>
        <v>1</v>
      </c>
      <c r="R144" s="896">
        <f t="shared" si="266"/>
        <v>1</v>
      </c>
      <c r="S144" s="894"/>
      <c r="T144" s="894"/>
      <c r="U144" s="894"/>
      <c r="V144" s="894"/>
      <c r="W144" s="894"/>
      <c r="X144" s="894"/>
      <c r="Y144" s="897"/>
      <c r="Z144" s="897"/>
      <c r="AA144" s="896">
        <f>+SUMPRODUCT(AA145:AA145,AB145:AB145)</f>
        <v>1</v>
      </c>
      <c r="AB144" s="896">
        <v>0.2</v>
      </c>
      <c r="AC144" s="896">
        <v>1</v>
      </c>
      <c r="AD144" s="896">
        <v>0.2</v>
      </c>
      <c r="AE144" s="896">
        <v>0.2</v>
      </c>
      <c r="AF144" s="896">
        <v>0.2</v>
      </c>
      <c r="AG144" s="894">
        <f>SUM(AG145)</f>
        <v>125000000</v>
      </c>
      <c r="AH144" s="894">
        <f>SUM(AH145)</f>
        <v>125000000</v>
      </c>
      <c r="AI144" s="894">
        <f>SUM(AI145)</f>
        <v>123446960</v>
      </c>
      <c r="AJ144" s="894">
        <f>SUM(AJ145)</f>
        <v>124935396</v>
      </c>
      <c r="AK144" s="894">
        <f>SUM(AK145)</f>
        <v>125000000</v>
      </c>
      <c r="AL144" s="900">
        <f t="shared" si="250"/>
        <v>1</v>
      </c>
      <c r="AM144" s="894">
        <f>SUM(AM145)</f>
        <v>62750000</v>
      </c>
      <c r="AN144" s="894">
        <f>SUM(AN145)</f>
        <v>65102455</v>
      </c>
      <c r="AO144" s="894">
        <f>SUM(AO145)</f>
        <v>122102289</v>
      </c>
      <c r="AP144" s="894">
        <f>SUM(AP145)</f>
        <v>124791662</v>
      </c>
      <c r="AQ144" s="901">
        <f t="shared" si="251"/>
        <v>0.99833329599999998</v>
      </c>
      <c r="AR144" s="902">
        <f t="shared" ref="AR144:AX144" si="267">SUM(AR145)</f>
        <v>2833107</v>
      </c>
      <c r="AS144" s="894">
        <f t="shared" si="267"/>
        <v>62250000</v>
      </c>
      <c r="AT144" s="894">
        <f t="shared" si="267"/>
        <v>4000000</v>
      </c>
      <c r="AU144" s="894">
        <f t="shared" si="267"/>
        <v>58344505</v>
      </c>
      <c r="AV144" s="894">
        <f t="shared" si="267"/>
        <v>58298433</v>
      </c>
      <c r="AW144" s="894">
        <f t="shared" si="267"/>
        <v>2833107</v>
      </c>
      <c r="AX144" s="894">
        <f t="shared" si="267"/>
        <v>1686005</v>
      </c>
      <c r="AY144" s="903">
        <f t="shared" si="247"/>
        <v>0.59510812687272308</v>
      </c>
      <c r="AZ144" s="894">
        <f t="shared" ref="AZ144" si="268">SUM(AZ145)</f>
        <v>500000000</v>
      </c>
      <c r="BA144" s="894">
        <f t="shared" si="254"/>
        <v>498382356</v>
      </c>
      <c r="BB144" s="896">
        <f t="shared" si="248"/>
        <v>0.99676471200000005</v>
      </c>
      <c r="BC144" s="962">
        <f t="shared" si="255"/>
        <v>438730844</v>
      </c>
      <c r="BD144" s="896">
        <f t="shared" si="256"/>
        <v>0.87746168800000002</v>
      </c>
      <c r="BE144" s="902"/>
      <c r="BF144" s="902"/>
      <c r="BG144" s="902"/>
      <c r="BH144" s="902"/>
    </row>
    <row r="145" spans="1:61" s="865" customFormat="1" ht="47.4" customHeight="1">
      <c r="A145" s="1090" t="s">
        <v>2316</v>
      </c>
      <c r="B145" s="1127" t="s">
        <v>2317</v>
      </c>
      <c r="C145" s="937" t="s">
        <v>2086</v>
      </c>
      <c r="D145" s="1003">
        <v>1</v>
      </c>
      <c r="E145" s="1003">
        <v>1</v>
      </c>
      <c r="F145" s="1003">
        <v>1</v>
      </c>
      <c r="G145" s="1003">
        <v>1</v>
      </c>
      <c r="H145" s="906">
        <v>0</v>
      </c>
      <c r="I145" s="906">
        <v>1</v>
      </c>
      <c r="J145" s="938">
        <v>1</v>
      </c>
      <c r="K145" s="938">
        <v>1</v>
      </c>
      <c r="L145" s="906">
        <v>1</v>
      </c>
      <c r="M145" s="906"/>
      <c r="N145" s="906"/>
      <c r="O145" s="908">
        <f>+IFERROR(IF((H145+L145)/D145&gt;=100%,100%,(H145+L145)/D145),0)</f>
        <v>1</v>
      </c>
      <c r="P145" s="930">
        <f>+IFERROR(IF((I145+M145)/E145&gt;=100%,100%,(I145+M145)/E145),0)</f>
        <v>1</v>
      </c>
      <c r="Q145" s="930">
        <f>+IFERROR(IF((J145+N145)/F145&gt;=100%,100%,(J145+N145)/F145),0)</f>
        <v>1</v>
      </c>
      <c r="R145" s="908">
        <f>+IFERROR(IF(K145/G145&gt;=100%,100%,K145/G145),0)</f>
        <v>1</v>
      </c>
      <c r="S145" s="910" t="s">
        <v>2759</v>
      </c>
      <c r="T145" s="931">
        <v>45291</v>
      </c>
      <c r="U145" s="942" t="s">
        <v>2092</v>
      </c>
      <c r="V145" s="942"/>
      <c r="W145" s="909" t="s">
        <v>2683</v>
      </c>
      <c r="X145" s="933" t="s">
        <v>2275</v>
      </c>
      <c r="Y145" s="913">
        <f t="shared" ref="Y145" si="269">SUM(D145:G145)</f>
        <v>4</v>
      </c>
      <c r="Z145" s="913">
        <f t="shared" ref="Z145" si="270">SUM(H145:N145)</f>
        <v>4</v>
      </c>
      <c r="AA145" s="928">
        <f t="shared" ref="AA145" si="271">IF(Z145/Y145&gt;=100%,100%,Z145/Y145)</f>
        <v>1</v>
      </c>
      <c r="AB145" s="908">
        <v>1</v>
      </c>
      <c r="AC145" s="908">
        <v>1</v>
      </c>
      <c r="AD145" s="908">
        <v>1</v>
      </c>
      <c r="AE145" s="908">
        <v>1</v>
      </c>
      <c r="AF145" s="908">
        <v>1</v>
      </c>
      <c r="AG145" s="1093">
        <v>125000000</v>
      </c>
      <c r="AH145" s="1093">
        <v>125000000</v>
      </c>
      <c r="AI145" s="1093">
        <v>123446960</v>
      </c>
      <c r="AJ145" s="1093">
        <v>124935396</v>
      </c>
      <c r="AK145" s="1093">
        <v>125000000</v>
      </c>
      <c r="AL145" s="916">
        <f t="shared" si="250"/>
        <v>1</v>
      </c>
      <c r="AM145" s="1093">
        <v>62750000</v>
      </c>
      <c r="AN145" s="1093">
        <v>65102455</v>
      </c>
      <c r="AO145" s="1093">
        <v>122102289</v>
      </c>
      <c r="AP145" s="1093">
        <v>124791662</v>
      </c>
      <c r="AQ145" s="928">
        <f t="shared" si="251"/>
        <v>0.99833329599999998</v>
      </c>
      <c r="AR145" s="915">
        <f>+AJ145-AO145</f>
        <v>2833107</v>
      </c>
      <c r="AS145" s="1093">
        <v>62250000</v>
      </c>
      <c r="AT145" s="1093">
        <v>4000000</v>
      </c>
      <c r="AU145" s="1093">
        <v>58344505</v>
      </c>
      <c r="AV145" s="1093">
        <v>58298433</v>
      </c>
      <c r="AW145" s="1093">
        <v>2833107</v>
      </c>
      <c r="AX145" s="1093">
        <v>1686005</v>
      </c>
      <c r="AY145" s="956">
        <f t="shared" si="247"/>
        <v>0.59510812687272308</v>
      </c>
      <c r="AZ145" s="1041">
        <v>500000000</v>
      </c>
      <c r="BA145" s="957">
        <f t="shared" si="254"/>
        <v>498382356</v>
      </c>
      <c r="BB145" s="930">
        <f>+BA145/AZ145</f>
        <v>0.99676471200000005</v>
      </c>
      <c r="BC145" s="986">
        <f t="shared" si="255"/>
        <v>438730844</v>
      </c>
      <c r="BD145" s="930">
        <f t="shared" si="256"/>
        <v>0.87746168800000002</v>
      </c>
      <c r="BE145" s="926"/>
      <c r="BF145" s="926"/>
      <c r="BG145" s="910" t="s">
        <v>1701</v>
      </c>
      <c r="BH145" s="1117" t="s">
        <v>2285</v>
      </c>
    </row>
    <row r="146" spans="1:61" s="865" customFormat="1" ht="47.4" customHeight="1">
      <c r="A146" s="871" t="s">
        <v>2318</v>
      </c>
      <c r="B146" s="1080"/>
      <c r="C146" s="1080"/>
      <c r="D146" s="1081"/>
      <c r="E146" s="1081"/>
      <c r="F146" s="1128"/>
      <c r="G146" s="1128"/>
      <c r="H146" s="1081"/>
      <c r="I146" s="1081"/>
      <c r="J146" s="1081"/>
      <c r="K146" s="1081"/>
      <c r="L146" s="1081"/>
      <c r="M146" s="1081"/>
      <c r="N146" s="1081"/>
      <c r="O146" s="874">
        <f>(O147*AC147)+(O150*AC150)+(O157*AC157)+(O167*AC167)+(O190*AC190)+(O202*AC202)+(O208*AC208)</f>
        <v>0.92383400000000004</v>
      </c>
      <c r="P146" s="874">
        <f t="shared" ref="P146:R146" si="272">(P147*AD147)+(P150*AD150)+(P157*AD157)+(P167*AD167)+(P190*AD190)+(P202*AD202)+(P208*AD208)</f>
        <v>0.92327642252173914</v>
      </c>
      <c r="Q146" s="874">
        <f t="shared" si="272"/>
        <v>0.87053800000000003</v>
      </c>
      <c r="R146" s="874">
        <f t="shared" si="272"/>
        <v>0.93952600000000008</v>
      </c>
      <c r="S146" s="1129"/>
      <c r="T146" s="1129"/>
      <c r="U146" s="875"/>
      <c r="V146" s="875"/>
      <c r="W146" s="875"/>
      <c r="X146" s="1129"/>
      <c r="Y146" s="1130"/>
      <c r="Z146" s="1131"/>
      <c r="AA146" s="877">
        <f>(AA147*AB147)+(AA150*AB150)+(AA157*AB157)+(AA167*AB167)+(AA190*AB190)+(AA202*AB202)+(AA208*AB208)</f>
        <v>0.93769430082417604</v>
      </c>
      <c r="AB146" s="877">
        <v>0.15</v>
      </c>
      <c r="AC146" s="877">
        <v>0.15</v>
      </c>
      <c r="AD146" s="877">
        <v>0.15</v>
      </c>
      <c r="AE146" s="877">
        <v>0.15</v>
      </c>
      <c r="AF146" s="877">
        <v>0.15</v>
      </c>
      <c r="AG146" s="878">
        <f>+AG147+AG150+AG157+AG167+AG190+AG202+AG208</f>
        <v>14047657757</v>
      </c>
      <c r="AH146" s="872">
        <f>+AH147+AH150+AH157+AH167+AH190+AH202+AH208</f>
        <v>2780417319</v>
      </c>
      <c r="AI146" s="878">
        <f>+AI147+AI150+AI157+AI167+AI190+AI202+AI208</f>
        <v>5433305897.1400003</v>
      </c>
      <c r="AJ146" s="878">
        <f>+AJ147+AJ150+AJ157+AJ167+AJ190+AJ202+AJ208</f>
        <v>10746837803.18</v>
      </c>
      <c r="AK146" s="878">
        <f>+AK147+AK150+AK157+AK167+AK190+AK202+AK208</f>
        <v>14042351405.34</v>
      </c>
      <c r="AL146" s="879">
        <f t="shared" si="250"/>
        <v>0.99962226075323091</v>
      </c>
      <c r="AM146" s="872">
        <f>+AM147+AM150+AM157+AM167+AM190+AM202+AM208</f>
        <v>1791641486</v>
      </c>
      <c r="AN146" s="878">
        <f>+AN147+AN150+AN157+AN167+AN190+AN202+AN208</f>
        <v>4158637205.3000002</v>
      </c>
      <c r="AO146" s="878">
        <f>+AO147+AO150+AO157+AO167+AO190+AO202+AO208</f>
        <v>6159301541.6099997</v>
      </c>
      <c r="AP146" s="878">
        <f>+AP147+AP150+AP157+AP167+AP190+AP202+AP208</f>
        <v>8012026823.8800001</v>
      </c>
      <c r="AQ146" s="880">
        <f t="shared" si="251"/>
        <v>0.57034610057235891</v>
      </c>
      <c r="AR146" s="872">
        <f t="shared" ref="AR146:AX146" si="273">+AR147+AR150+AR157+AR167+AR190+AR202+AR208</f>
        <v>4587536261.5699997</v>
      </c>
      <c r="AS146" s="872">
        <f t="shared" si="273"/>
        <v>988775833</v>
      </c>
      <c r="AT146" s="872">
        <f t="shared" si="273"/>
        <v>869778890</v>
      </c>
      <c r="AU146" s="872">
        <f t="shared" si="273"/>
        <v>1274668691.8400002</v>
      </c>
      <c r="AV146" s="872">
        <f t="shared" si="273"/>
        <v>1209290667.2</v>
      </c>
      <c r="AW146" s="872">
        <f t="shared" si="273"/>
        <v>4587536261.5699997</v>
      </c>
      <c r="AX146" s="872">
        <f t="shared" si="273"/>
        <v>4272766601.8099995</v>
      </c>
      <c r="AY146" s="1082">
        <f t="shared" si="247"/>
        <v>0.93138590262559007</v>
      </c>
      <c r="AZ146" s="872">
        <f t="shared" ref="AZ146" si="274">+AZ147+AZ150+AZ157+AZ167+AZ190+AZ202+AZ208</f>
        <v>34733698559</v>
      </c>
      <c r="BA146" s="872">
        <f t="shared" si="254"/>
        <v>33002912424.66</v>
      </c>
      <c r="BB146" s="877">
        <f t="shared" ref="BB146:BB174" si="275">+BA146/AZ146</f>
        <v>0.9501698291243007</v>
      </c>
      <c r="BC146" s="1016">
        <f t="shared" si="255"/>
        <v>26473443215.800003</v>
      </c>
      <c r="BD146" s="877">
        <f t="shared" si="256"/>
        <v>0.76218324895148126</v>
      </c>
      <c r="BE146" s="872"/>
      <c r="BF146" s="872"/>
      <c r="BG146" s="872"/>
      <c r="BH146" s="872"/>
      <c r="BI146" s="865" t="s">
        <v>2081</v>
      </c>
    </row>
    <row r="147" spans="1:61" s="892" customFormat="1" ht="39" customHeight="1">
      <c r="A147" s="882" t="s">
        <v>2319</v>
      </c>
      <c r="B147" s="883"/>
      <c r="C147" s="883"/>
      <c r="D147" s="884"/>
      <c r="E147" s="884"/>
      <c r="F147" s="1065"/>
      <c r="G147" s="1065"/>
      <c r="H147" s="884"/>
      <c r="I147" s="884"/>
      <c r="J147" s="1065"/>
      <c r="K147" s="1065"/>
      <c r="L147" s="884"/>
      <c r="M147" s="884"/>
      <c r="N147" s="884"/>
      <c r="O147" s="885">
        <f>+(O148*AC148)</f>
        <v>0</v>
      </c>
      <c r="P147" s="885">
        <f t="shared" ref="P147:R147" si="276">+(P148*AD148)</f>
        <v>1</v>
      </c>
      <c r="Q147" s="885">
        <f t="shared" si="276"/>
        <v>1</v>
      </c>
      <c r="R147" s="885">
        <f t="shared" si="276"/>
        <v>1</v>
      </c>
      <c r="S147" s="1132"/>
      <c r="T147" s="1132"/>
      <c r="U147" s="883"/>
      <c r="V147" s="883"/>
      <c r="W147" s="883"/>
      <c r="X147" s="1132"/>
      <c r="Y147" s="1133"/>
      <c r="Z147" s="886"/>
      <c r="AA147" s="885">
        <f>+(AA148*AB148)</f>
        <v>1</v>
      </c>
      <c r="AB147" s="885">
        <v>0.05</v>
      </c>
      <c r="AC147" s="885">
        <v>0</v>
      </c>
      <c r="AD147" s="885">
        <v>0.05</v>
      </c>
      <c r="AE147" s="885">
        <v>0.05</v>
      </c>
      <c r="AF147" s="885">
        <v>0.05</v>
      </c>
      <c r="AG147" s="883">
        <f>+AG148</f>
        <v>175000000</v>
      </c>
      <c r="AH147" s="883">
        <f>+AH148</f>
        <v>0</v>
      </c>
      <c r="AI147" s="883">
        <f>+AI148</f>
        <v>177204569.19999999</v>
      </c>
      <c r="AJ147" s="883">
        <f>+AJ148</f>
        <v>174909553</v>
      </c>
      <c r="AK147" s="883">
        <f>+AK148</f>
        <v>175000000</v>
      </c>
      <c r="AL147" s="888">
        <f t="shared" si="250"/>
        <v>1</v>
      </c>
      <c r="AM147" s="883">
        <f>+AM148</f>
        <v>0</v>
      </c>
      <c r="AN147" s="883">
        <f>+AN148</f>
        <v>164176346</v>
      </c>
      <c r="AO147" s="883">
        <f>+AO148</f>
        <v>162374348</v>
      </c>
      <c r="AP147" s="883">
        <f>+AP148</f>
        <v>17208327</v>
      </c>
      <c r="AQ147" s="890">
        <f t="shared" si="251"/>
        <v>9.8333297142857143E-2</v>
      </c>
      <c r="AR147" s="883">
        <f t="shared" ref="AR147:AX147" si="277">+AR148</f>
        <v>12535205</v>
      </c>
      <c r="AS147" s="883">
        <f t="shared" si="277"/>
        <v>0</v>
      </c>
      <c r="AT147" s="883">
        <f t="shared" si="277"/>
        <v>0</v>
      </c>
      <c r="AU147" s="883">
        <f t="shared" si="277"/>
        <v>13028223.199999999</v>
      </c>
      <c r="AV147" s="883">
        <f t="shared" si="277"/>
        <v>12945295.199999999</v>
      </c>
      <c r="AW147" s="883">
        <f t="shared" si="277"/>
        <v>12535205</v>
      </c>
      <c r="AX147" s="883">
        <f t="shared" si="277"/>
        <v>5452734</v>
      </c>
      <c r="AY147" s="891">
        <f t="shared" si="247"/>
        <v>0.43499360401365594</v>
      </c>
      <c r="AZ147" s="883">
        <f t="shared" ref="AZ147" si="278">+AZ148</f>
        <v>530000000</v>
      </c>
      <c r="BA147" s="883">
        <f t="shared" si="254"/>
        <v>527114122.19999999</v>
      </c>
      <c r="BB147" s="885">
        <f t="shared" si="275"/>
        <v>0.99455494754716978</v>
      </c>
      <c r="BC147" s="967">
        <f t="shared" si="255"/>
        <v>362157050.19999999</v>
      </c>
      <c r="BD147" s="885">
        <f t="shared" si="256"/>
        <v>0.68331518905660371</v>
      </c>
      <c r="BE147" s="883"/>
      <c r="BF147" s="883" t="s">
        <v>1692</v>
      </c>
      <c r="BG147" s="883"/>
      <c r="BH147" s="883"/>
      <c r="BI147" s="892" t="s">
        <v>2081</v>
      </c>
    </row>
    <row r="148" spans="1:61" s="865" customFormat="1" ht="36" customHeight="1">
      <c r="A148" s="893" t="s">
        <v>2320</v>
      </c>
      <c r="B148" s="894"/>
      <c r="C148" s="894"/>
      <c r="D148" s="895"/>
      <c r="E148" s="895"/>
      <c r="F148" s="895"/>
      <c r="G148" s="895"/>
      <c r="H148" s="895"/>
      <c r="I148" s="895"/>
      <c r="J148" s="895"/>
      <c r="K148" s="895"/>
      <c r="L148" s="895"/>
      <c r="M148" s="895"/>
      <c r="N148" s="895"/>
      <c r="O148" s="896">
        <f>+O149*AC149</f>
        <v>0</v>
      </c>
      <c r="P148" s="896">
        <f t="shared" ref="P148:R148" si="279">+P149*AD149</f>
        <v>1</v>
      </c>
      <c r="Q148" s="896">
        <f t="shared" si="279"/>
        <v>1</v>
      </c>
      <c r="R148" s="896">
        <f t="shared" si="279"/>
        <v>1</v>
      </c>
      <c r="S148" s="1134"/>
      <c r="T148" s="1134"/>
      <c r="U148" s="894"/>
      <c r="V148" s="894"/>
      <c r="W148" s="894"/>
      <c r="X148" s="1134"/>
      <c r="Y148" s="1059"/>
      <c r="Z148" s="897"/>
      <c r="AA148" s="896">
        <f>+SUMPRODUCT(AA149:AA149,AB149:AB149)</f>
        <v>1</v>
      </c>
      <c r="AB148" s="896">
        <v>1</v>
      </c>
      <c r="AC148" s="896">
        <v>0</v>
      </c>
      <c r="AD148" s="896">
        <v>1</v>
      </c>
      <c r="AE148" s="896">
        <v>1</v>
      </c>
      <c r="AF148" s="896">
        <v>1</v>
      </c>
      <c r="AG148" s="894">
        <f>SUM(AG149)</f>
        <v>175000000</v>
      </c>
      <c r="AH148" s="894">
        <f>SUM(AH149)</f>
        <v>0</v>
      </c>
      <c r="AI148" s="894">
        <f>SUM(AI149)</f>
        <v>177204569.19999999</v>
      </c>
      <c r="AJ148" s="894">
        <f>SUM(AJ149)</f>
        <v>174909553</v>
      </c>
      <c r="AK148" s="894">
        <f>SUM(AK149)</f>
        <v>175000000</v>
      </c>
      <c r="AL148" s="900">
        <f t="shared" si="250"/>
        <v>1</v>
      </c>
      <c r="AM148" s="894">
        <f>SUM(AM149)</f>
        <v>0</v>
      </c>
      <c r="AN148" s="894">
        <f>SUM(AN149)</f>
        <v>164176346</v>
      </c>
      <c r="AO148" s="894">
        <f>SUM(AO149)</f>
        <v>162374348</v>
      </c>
      <c r="AP148" s="894">
        <f>SUM(AP149)</f>
        <v>17208327</v>
      </c>
      <c r="AQ148" s="901">
        <f t="shared" si="251"/>
        <v>9.8333297142857143E-2</v>
      </c>
      <c r="AR148" s="902">
        <f t="shared" ref="AR148:AX148" si="280">SUM(AR149)</f>
        <v>12535205</v>
      </c>
      <c r="AS148" s="894">
        <f t="shared" si="280"/>
        <v>0</v>
      </c>
      <c r="AT148" s="894">
        <f t="shared" si="280"/>
        <v>0</v>
      </c>
      <c r="AU148" s="894">
        <f t="shared" si="280"/>
        <v>13028223.199999999</v>
      </c>
      <c r="AV148" s="894">
        <f t="shared" si="280"/>
        <v>12945295.199999999</v>
      </c>
      <c r="AW148" s="894">
        <f t="shared" si="280"/>
        <v>12535205</v>
      </c>
      <c r="AX148" s="894">
        <f t="shared" si="280"/>
        <v>5452734</v>
      </c>
      <c r="AY148" s="903">
        <f t="shared" si="247"/>
        <v>0.43499360401365594</v>
      </c>
      <c r="AZ148" s="894">
        <f t="shared" ref="AZ148" si="281">SUM(AZ149)</f>
        <v>530000000</v>
      </c>
      <c r="BA148" s="894">
        <f t="shared" si="254"/>
        <v>527114122.19999999</v>
      </c>
      <c r="BB148" s="896">
        <f t="shared" si="275"/>
        <v>0.99455494754716978</v>
      </c>
      <c r="BC148" s="962">
        <f t="shared" si="255"/>
        <v>362157050.19999999</v>
      </c>
      <c r="BD148" s="896">
        <f t="shared" si="256"/>
        <v>0.68331518905660371</v>
      </c>
      <c r="BE148" s="902"/>
      <c r="BF148" s="902"/>
      <c r="BG148" s="902"/>
      <c r="BH148" s="902"/>
      <c r="BI148" s="865" t="s">
        <v>2081</v>
      </c>
    </row>
    <row r="149" spans="1:61" s="865" customFormat="1" ht="47.4" customHeight="1">
      <c r="A149" s="1135" t="s">
        <v>1849</v>
      </c>
      <c r="B149" s="1136" t="s">
        <v>2321</v>
      </c>
      <c r="C149" s="937" t="s">
        <v>2086</v>
      </c>
      <c r="D149" s="1003">
        <v>0</v>
      </c>
      <c r="E149" s="1003">
        <v>1</v>
      </c>
      <c r="F149" s="1003">
        <v>1</v>
      </c>
      <c r="G149" s="1003">
        <v>1</v>
      </c>
      <c r="H149" s="906">
        <v>0</v>
      </c>
      <c r="I149" s="906">
        <v>0</v>
      </c>
      <c r="J149" s="906">
        <v>1</v>
      </c>
      <c r="K149" s="906">
        <v>1</v>
      </c>
      <c r="L149" s="906"/>
      <c r="M149" s="906">
        <v>1</v>
      </c>
      <c r="N149" s="906"/>
      <c r="O149" s="908">
        <f>+IFERROR(IF((H149+L149)/D149&gt;=100%,100%,(H149+L149)/D149),0)</f>
        <v>0</v>
      </c>
      <c r="P149" s="930">
        <f>+IFERROR(IF((I149+M149)/E149&gt;=100%,100%,(I149+M149)/E149),0)</f>
        <v>1</v>
      </c>
      <c r="Q149" s="930">
        <f>+IFERROR(IF((J149+N149)/F149&gt;=100%,100%,(J149+N149)/F149),0)</f>
        <v>1</v>
      </c>
      <c r="R149" s="908">
        <f>+IFERROR(IF(K149/G149&gt;=100%,100%,K149/G149),0)</f>
        <v>1</v>
      </c>
      <c r="S149" s="865" t="s">
        <v>2760</v>
      </c>
      <c r="T149" s="931">
        <v>45291</v>
      </c>
      <c r="U149" s="942" t="s">
        <v>2092</v>
      </c>
      <c r="V149" s="942"/>
      <c r="W149" s="909" t="s">
        <v>2683</v>
      </c>
      <c r="X149" s="933" t="s">
        <v>2250</v>
      </c>
      <c r="Y149" s="869">
        <f t="shared" ref="Y149" si="282">SUM(D149:G149)</f>
        <v>3</v>
      </c>
      <c r="Z149" s="913">
        <f t="shared" ref="Z149" si="283">SUM(H149:N149)</f>
        <v>3</v>
      </c>
      <c r="AA149" s="928">
        <f t="shared" ref="AA149" si="284">IF(Z149/Y149&gt;=100%,100%,Z149/Y149)</f>
        <v>1</v>
      </c>
      <c r="AB149" s="908">
        <v>1</v>
      </c>
      <c r="AC149" s="908">
        <v>0</v>
      </c>
      <c r="AD149" s="908">
        <v>1</v>
      </c>
      <c r="AE149" s="908">
        <v>1</v>
      </c>
      <c r="AF149" s="908">
        <v>1</v>
      </c>
      <c r="AG149" s="1138">
        <v>175000000</v>
      </c>
      <c r="AH149" s="1138">
        <v>0</v>
      </c>
      <c r="AI149" s="1138">
        <v>177204569.19999999</v>
      </c>
      <c r="AJ149" s="1138">
        <v>174909553</v>
      </c>
      <c r="AK149" s="1138">
        <v>175000000</v>
      </c>
      <c r="AL149" s="916">
        <f t="shared" si="250"/>
        <v>1</v>
      </c>
      <c r="AM149" s="1138">
        <v>0</v>
      </c>
      <c r="AN149" s="1138">
        <v>164176346</v>
      </c>
      <c r="AO149" s="1138">
        <v>162374348</v>
      </c>
      <c r="AP149" s="1138">
        <v>17208327</v>
      </c>
      <c r="AQ149" s="928">
        <f t="shared" si="251"/>
        <v>9.8333297142857143E-2</v>
      </c>
      <c r="AR149" s="915">
        <f>+AJ149-AO149</f>
        <v>12535205</v>
      </c>
      <c r="AS149" s="1138">
        <v>0</v>
      </c>
      <c r="AT149" s="1138">
        <v>0</v>
      </c>
      <c r="AU149" s="1138">
        <v>13028223.199999999</v>
      </c>
      <c r="AV149" s="1138">
        <v>12945295.199999999</v>
      </c>
      <c r="AW149" s="1138">
        <v>12535205</v>
      </c>
      <c r="AX149" s="1138">
        <v>5452734</v>
      </c>
      <c r="AY149" s="956">
        <f t="shared" si="247"/>
        <v>0.43499360401365594</v>
      </c>
      <c r="AZ149" s="1041">
        <v>530000000</v>
      </c>
      <c r="BA149" s="957">
        <f t="shared" si="254"/>
        <v>527114122.19999999</v>
      </c>
      <c r="BB149" s="930">
        <f t="shared" si="275"/>
        <v>0.99455494754716978</v>
      </c>
      <c r="BC149" s="986">
        <f t="shared" si="255"/>
        <v>362157050.19999999</v>
      </c>
      <c r="BD149" s="930">
        <f t="shared" si="256"/>
        <v>0.68331518905660371</v>
      </c>
      <c r="BE149" s="926"/>
      <c r="BF149" s="926"/>
      <c r="BG149" s="910" t="s">
        <v>649</v>
      </c>
      <c r="BH149" s="1139" t="s">
        <v>2118</v>
      </c>
      <c r="BI149" s="865" t="s">
        <v>2081</v>
      </c>
    </row>
    <row r="150" spans="1:61" s="892" customFormat="1" ht="47.4" customHeight="1">
      <c r="A150" s="882" t="s">
        <v>2322</v>
      </c>
      <c r="B150" s="883"/>
      <c r="C150" s="883"/>
      <c r="D150" s="884"/>
      <c r="E150" s="884"/>
      <c r="F150" s="1065"/>
      <c r="G150" s="1065"/>
      <c r="H150" s="884"/>
      <c r="I150" s="884"/>
      <c r="J150" s="1065"/>
      <c r="K150" s="1065"/>
      <c r="L150" s="884"/>
      <c r="M150" s="884"/>
      <c r="N150" s="884"/>
      <c r="O150" s="885">
        <f>+(O151*AC151)+(O153*AC153)+(O155*AC155)</f>
        <v>1</v>
      </c>
      <c r="P150" s="890">
        <f>+(P151*AD151)+(P153*AD153)+(P155*AD155)</f>
        <v>1</v>
      </c>
      <c r="Q150" s="890">
        <f>+(Q151*AE151)+(Q153*AE153)+(Q155*AE155)</f>
        <v>1</v>
      </c>
      <c r="R150" s="890">
        <f>+(R151*AF151)+(R153*AF153)+(R155*AF155)</f>
        <v>1</v>
      </c>
      <c r="S150" s="1132"/>
      <c r="T150" s="1132"/>
      <c r="U150" s="883"/>
      <c r="V150" s="883"/>
      <c r="W150" s="883"/>
      <c r="X150" s="1132"/>
      <c r="Y150" s="1133"/>
      <c r="Z150" s="886">
        <f t="shared" ref="Z150:Z155" si="285">SUM(H150:M150)</f>
        <v>0</v>
      </c>
      <c r="AA150" s="885">
        <f>+(AA151*AB151)+(AA153*AB153)+(AA155*AB155)</f>
        <v>1</v>
      </c>
      <c r="AB150" s="885">
        <v>0.1</v>
      </c>
      <c r="AC150" s="885">
        <v>0.14000000000000001</v>
      </c>
      <c r="AD150" s="885">
        <v>0.1</v>
      </c>
      <c r="AE150" s="885">
        <v>0.1</v>
      </c>
      <c r="AF150" s="885">
        <v>0.1</v>
      </c>
      <c r="AG150" s="883">
        <f>+AG151+AG153+AG155</f>
        <v>260000000</v>
      </c>
      <c r="AH150" s="883">
        <f>+AH151+AH153+AH155</f>
        <v>68500000</v>
      </c>
      <c r="AI150" s="883">
        <f>+AI151+AI153+AI155</f>
        <v>472511601</v>
      </c>
      <c r="AJ150" s="883">
        <f>+AJ151+AJ153+AJ155</f>
        <v>429686303</v>
      </c>
      <c r="AK150" s="883">
        <f>+AK151+AK153+AK155</f>
        <v>260000000</v>
      </c>
      <c r="AL150" s="888">
        <f t="shared" si="250"/>
        <v>1</v>
      </c>
      <c r="AM150" s="883">
        <f>+AM151+AM153+AM155</f>
        <v>30000000</v>
      </c>
      <c r="AN150" s="883">
        <f>+AN151+AN153+AN155</f>
        <v>445997516</v>
      </c>
      <c r="AO150" s="883">
        <f>+AO151+AO153+AO155</f>
        <v>320743627</v>
      </c>
      <c r="AP150" s="883">
        <f>+AP151+AP153+AP155</f>
        <v>135816663</v>
      </c>
      <c r="AQ150" s="890">
        <f t="shared" si="251"/>
        <v>0.52237178076923074</v>
      </c>
      <c r="AR150" s="883">
        <f t="shared" ref="AR150:AX150" si="286">+AR151+AR153+AR155</f>
        <v>108942676</v>
      </c>
      <c r="AS150" s="883">
        <f t="shared" si="286"/>
        <v>38500000</v>
      </c>
      <c r="AT150" s="883">
        <f t="shared" si="286"/>
        <v>38500000</v>
      </c>
      <c r="AU150" s="883">
        <f t="shared" si="286"/>
        <v>26514085</v>
      </c>
      <c r="AV150" s="883">
        <f t="shared" si="286"/>
        <v>26213355</v>
      </c>
      <c r="AW150" s="883">
        <f t="shared" si="286"/>
        <v>108942676</v>
      </c>
      <c r="AX150" s="883">
        <f t="shared" si="286"/>
        <v>99988463</v>
      </c>
      <c r="AY150" s="891">
        <f t="shared" si="247"/>
        <v>0.91780803144582201</v>
      </c>
      <c r="AZ150" s="883">
        <f t="shared" ref="AZ150" si="287">+AZ151+AZ153+AZ155</f>
        <v>1380000000</v>
      </c>
      <c r="BA150" s="883">
        <f t="shared" si="254"/>
        <v>1230697904</v>
      </c>
      <c r="BB150" s="885">
        <f t="shared" si="275"/>
        <v>0.89181007536231882</v>
      </c>
      <c r="BC150" s="967">
        <f t="shared" si="255"/>
        <v>1097259624</v>
      </c>
      <c r="BD150" s="885">
        <f t="shared" si="256"/>
        <v>0.7951156695652174</v>
      </c>
      <c r="BE150" s="883"/>
      <c r="BF150" s="883" t="s">
        <v>1697</v>
      </c>
      <c r="BG150" s="883"/>
      <c r="BH150" s="883"/>
      <c r="BI150" s="892" t="s">
        <v>2081</v>
      </c>
    </row>
    <row r="151" spans="1:61" s="865" customFormat="1" ht="44.25" customHeight="1">
      <c r="A151" s="893" t="s">
        <v>2323</v>
      </c>
      <c r="B151" s="894"/>
      <c r="C151" s="894"/>
      <c r="D151" s="895"/>
      <c r="E151" s="895"/>
      <c r="F151" s="895"/>
      <c r="G151" s="895"/>
      <c r="H151" s="895"/>
      <c r="I151" s="895"/>
      <c r="J151" s="895"/>
      <c r="K151" s="895"/>
      <c r="L151" s="895"/>
      <c r="M151" s="895"/>
      <c r="N151" s="895"/>
      <c r="O151" s="896">
        <f>+O152*AC152</f>
        <v>1</v>
      </c>
      <c r="P151" s="896">
        <f t="shared" ref="P151:R151" si="288">+P152*AD152</f>
        <v>1</v>
      </c>
      <c r="Q151" s="896">
        <f t="shared" si="288"/>
        <v>1</v>
      </c>
      <c r="R151" s="896">
        <f t="shared" si="288"/>
        <v>1</v>
      </c>
      <c r="S151" s="894"/>
      <c r="T151" s="894"/>
      <c r="U151" s="894"/>
      <c r="V151" s="894"/>
      <c r="W151" s="894"/>
      <c r="X151" s="894"/>
      <c r="Y151" s="897"/>
      <c r="Z151" s="897">
        <f t="shared" si="285"/>
        <v>0</v>
      </c>
      <c r="AA151" s="896">
        <f>+SUMPRODUCT(AA152:AA152,AB152:AB152)</f>
        <v>1</v>
      </c>
      <c r="AB151" s="896">
        <v>0.3</v>
      </c>
      <c r="AC151" s="896">
        <v>0.45</v>
      </c>
      <c r="AD151" s="896">
        <v>0.3</v>
      </c>
      <c r="AE151" s="896">
        <v>0.3</v>
      </c>
      <c r="AF151" s="896">
        <v>0.45</v>
      </c>
      <c r="AG151" s="894">
        <f>SUM(AG152)</f>
        <v>110000000</v>
      </c>
      <c r="AH151" s="894">
        <f>SUM(AH152)</f>
        <v>0</v>
      </c>
      <c r="AI151" s="894">
        <f>SUM(AI152)</f>
        <v>137825746</v>
      </c>
      <c r="AJ151" s="894">
        <f>SUM(AJ152)</f>
        <v>99948316</v>
      </c>
      <c r="AK151" s="894">
        <f>SUM(AK152)</f>
        <v>110000000</v>
      </c>
      <c r="AL151" s="900">
        <f t="shared" si="250"/>
        <v>1</v>
      </c>
      <c r="AM151" s="894">
        <f>SUM(AM152)</f>
        <v>0</v>
      </c>
      <c r="AN151" s="894">
        <f>SUM(AN152)</f>
        <v>127134839</v>
      </c>
      <c r="AO151" s="894">
        <f>SUM(AO152)</f>
        <v>32949328</v>
      </c>
      <c r="AP151" s="894">
        <f>SUM(AP152)</f>
        <v>10816663</v>
      </c>
      <c r="AQ151" s="901">
        <f t="shared" si="251"/>
        <v>9.8333299999999998E-2</v>
      </c>
      <c r="AR151" s="902">
        <f t="shared" ref="AR151:AX151" si="289">SUM(AR152)</f>
        <v>66998988</v>
      </c>
      <c r="AS151" s="894">
        <f t="shared" si="289"/>
        <v>0</v>
      </c>
      <c r="AT151" s="894">
        <f t="shared" si="289"/>
        <v>0</v>
      </c>
      <c r="AU151" s="894">
        <f t="shared" si="289"/>
        <v>10690907</v>
      </c>
      <c r="AV151" s="894">
        <f t="shared" si="289"/>
        <v>10626406</v>
      </c>
      <c r="AW151" s="894">
        <f t="shared" si="289"/>
        <v>66998988</v>
      </c>
      <c r="AX151" s="894">
        <f t="shared" si="289"/>
        <v>64233137</v>
      </c>
      <c r="AY151" s="903">
        <f t="shared" si="247"/>
        <v>0.95871801824827563</v>
      </c>
      <c r="AZ151" s="894">
        <f t="shared" ref="AZ151" si="290">SUM(AZ152)</f>
        <v>470000000</v>
      </c>
      <c r="BA151" s="894">
        <f t="shared" si="254"/>
        <v>347774062</v>
      </c>
      <c r="BB151" s="896">
        <f t="shared" si="275"/>
        <v>0.73994481276595747</v>
      </c>
      <c r="BC151" s="962">
        <f t="shared" si="255"/>
        <v>245760373</v>
      </c>
      <c r="BD151" s="896">
        <f t="shared" si="256"/>
        <v>0.52289441063829789</v>
      </c>
      <c r="BE151" s="902"/>
      <c r="BF151" s="902"/>
      <c r="BG151" s="902"/>
      <c r="BH151" s="902"/>
      <c r="BI151" s="865" t="s">
        <v>2081</v>
      </c>
    </row>
    <row r="152" spans="1:61" s="865" customFormat="1" ht="47.4" customHeight="1">
      <c r="A152" s="1140" t="s">
        <v>1847</v>
      </c>
      <c r="B152" s="1141" t="s">
        <v>2324</v>
      </c>
      <c r="C152" s="937" t="s">
        <v>2086</v>
      </c>
      <c r="D152" s="1003">
        <v>1</v>
      </c>
      <c r="E152" s="1003">
        <v>1</v>
      </c>
      <c r="F152" s="1003">
        <v>1</v>
      </c>
      <c r="G152" s="1003">
        <v>1</v>
      </c>
      <c r="H152" s="906">
        <v>1</v>
      </c>
      <c r="I152" s="906">
        <v>1</v>
      </c>
      <c r="J152" s="939">
        <v>1</v>
      </c>
      <c r="K152" s="939">
        <v>1</v>
      </c>
      <c r="L152" s="906"/>
      <c r="M152" s="906"/>
      <c r="N152" s="906"/>
      <c r="O152" s="908">
        <f>+IFERROR(IF((H152+L152)/D152&gt;=100%,100%,(H152+L152)/D152),0)</f>
        <v>1</v>
      </c>
      <c r="P152" s="930">
        <f>+IFERROR(IF((I152+M152)/E152&gt;=100%,100%,(I152+M152)/E152),0)</f>
        <v>1</v>
      </c>
      <c r="Q152" s="930">
        <f>+IFERROR(IF((J152+N152)/F152&gt;=100%,100%,(J152+N152)/F152),0)</f>
        <v>1</v>
      </c>
      <c r="R152" s="908">
        <f>+IFERROR(IF(K152/G152&gt;=100%,100%,K152/G152),0)</f>
        <v>1</v>
      </c>
      <c r="S152" s="910" t="s">
        <v>2325</v>
      </c>
      <c r="T152" s="931">
        <v>45291</v>
      </c>
      <c r="U152" s="942" t="s">
        <v>2092</v>
      </c>
      <c r="V152" s="942"/>
      <c r="W152" s="909" t="s">
        <v>2683</v>
      </c>
      <c r="X152" s="933" t="s">
        <v>2250</v>
      </c>
      <c r="Y152" s="913">
        <f t="shared" ref="Y152" si="291">SUM(D152:G152)</f>
        <v>4</v>
      </c>
      <c r="Z152" s="913">
        <f t="shared" ref="Z152" si="292">SUM(H152:N152)</f>
        <v>4</v>
      </c>
      <c r="AA152" s="928">
        <f t="shared" ref="AA152" si="293">IF(Z152/Y152&gt;=100%,100%,Z152/Y152)</f>
        <v>1</v>
      </c>
      <c r="AB152" s="908">
        <v>1</v>
      </c>
      <c r="AC152" s="908">
        <v>1</v>
      </c>
      <c r="AD152" s="908">
        <v>1</v>
      </c>
      <c r="AE152" s="908">
        <v>1</v>
      </c>
      <c r="AF152" s="908">
        <v>1</v>
      </c>
      <c r="AG152" s="1142">
        <v>110000000</v>
      </c>
      <c r="AH152" s="1143">
        <v>0</v>
      </c>
      <c r="AI152" s="1142">
        <v>137825746</v>
      </c>
      <c r="AJ152" s="1142">
        <v>99948316</v>
      </c>
      <c r="AK152" s="1142">
        <v>110000000</v>
      </c>
      <c r="AL152" s="916">
        <f t="shared" si="250"/>
        <v>1</v>
      </c>
      <c r="AM152" s="1143">
        <v>0</v>
      </c>
      <c r="AN152" s="1142">
        <v>127134839</v>
      </c>
      <c r="AO152" s="1142">
        <v>32949328</v>
      </c>
      <c r="AP152" s="1142">
        <v>10816663</v>
      </c>
      <c r="AQ152" s="928">
        <f t="shared" si="251"/>
        <v>9.8333299999999998E-2</v>
      </c>
      <c r="AR152" s="915">
        <f>+AJ152-AO152</f>
        <v>66998988</v>
      </c>
      <c r="AS152" s="1143">
        <v>0</v>
      </c>
      <c r="AT152" s="1143">
        <v>0</v>
      </c>
      <c r="AU152" s="1143">
        <v>10690907</v>
      </c>
      <c r="AV152" s="1143">
        <v>10626406</v>
      </c>
      <c r="AW152" s="1143">
        <v>66998988</v>
      </c>
      <c r="AX152" s="1143">
        <v>64233137</v>
      </c>
      <c r="AY152" s="956">
        <f t="shared" si="247"/>
        <v>0.95871801824827563</v>
      </c>
      <c r="AZ152" s="1041">
        <v>470000000</v>
      </c>
      <c r="BA152" s="957">
        <f t="shared" si="254"/>
        <v>347774062</v>
      </c>
      <c r="BB152" s="930">
        <f t="shared" si="275"/>
        <v>0.73994481276595747</v>
      </c>
      <c r="BC152" s="986">
        <f t="shared" si="255"/>
        <v>245760373</v>
      </c>
      <c r="BD152" s="930">
        <f t="shared" si="256"/>
        <v>0.52289441063829789</v>
      </c>
      <c r="BE152" s="926"/>
      <c r="BF152" s="926"/>
      <c r="BG152" s="910" t="s">
        <v>649</v>
      </c>
      <c r="BH152" s="1144" t="s">
        <v>2326</v>
      </c>
      <c r="BI152" s="865" t="s">
        <v>2081</v>
      </c>
    </row>
    <row r="153" spans="1:61" s="865" customFormat="1" ht="47.4" customHeight="1">
      <c r="A153" s="893" t="s">
        <v>2327</v>
      </c>
      <c r="B153" s="894"/>
      <c r="C153" s="894"/>
      <c r="D153" s="895"/>
      <c r="E153" s="895"/>
      <c r="F153" s="895"/>
      <c r="G153" s="895"/>
      <c r="H153" s="895"/>
      <c r="I153" s="895"/>
      <c r="J153" s="895"/>
      <c r="K153" s="895"/>
      <c r="L153" s="895"/>
      <c r="M153" s="895"/>
      <c r="N153" s="895"/>
      <c r="O153" s="896">
        <f>+O154*AC154</f>
        <v>1</v>
      </c>
      <c r="P153" s="896">
        <f t="shared" ref="P153:R153" si="294">+P154*AD154</f>
        <v>1</v>
      </c>
      <c r="Q153" s="896">
        <f t="shared" si="294"/>
        <v>1</v>
      </c>
      <c r="R153" s="896">
        <f t="shared" si="294"/>
        <v>1</v>
      </c>
      <c r="S153" s="894"/>
      <c r="T153" s="894"/>
      <c r="U153" s="894"/>
      <c r="V153" s="894"/>
      <c r="W153" s="894"/>
      <c r="X153" s="894"/>
      <c r="Y153" s="897"/>
      <c r="Z153" s="897">
        <f t="shared" si="285"/>
        <v>0</v>
      </c>
      <c r="AA153" s="896">
        <f>+SUMPRODUCT(AA154:AA154,AB154:AB154)</f>
        <v>1</v>
      </c>
      <c r="AB153" s="896">
        <v>0.4</v>
      </c>
      <c r="AC153" s="896">
        <v>0.55000000000000004</v>
      </c>
      <c r="AD153" s="896">
        <v>0.4</v>
      </c>
      <c r="AE153" s="896">
        <v>0.4</v>
      </c>
      <c r="AF153" s="896">
        <v>0.55000000000000004</v>
      </c>
      <c r="AG153" s="894">
        <f>SUM(AG154)</f>
        <v>150000000</v>
      </c>
      <c r="AH153" s="894">
        <f>SUM(AH154)</f>
        <v>68500000</v>
      </c>
      <c r="AI153" s="894">
        <f>SUM(AI154)</f>
        <v>157516021</v>
      </c>
      <c r="AJ153" s="894">
        <f>SUM(AJ154)</f>
        <v>154828434</v>
      </c>
      <c r="AK153" s="894">
        <f>SUM(AK154)</f>
        <v>150000000</v>
      </c>
      <c r="AL153" s="900">
        <f t="shared" si="250"/>
        <v>1</v>
      </c>
      <c r="AM153" s="894">
        <f>SUM(AM154)</f>
        <v>30000000</v>
      </c>
      <c r="AN153" s="894">
        <f>SUM(AN154)</f>
        <v>152164275</v>
      </c>
      <c r="AO153" s="894">
        <f>SUM(AO154)</f>
        <v>149632817</v>
      </c>
      <c r="AP153" s="894">
        <f>SUM(AP154)</f>
        <v>125000000</v>
      </c>
      <c r="AQ153" s="901">
        <f t="shared" si="251"/>
        <v>0.83333333333333337</v>
      </c>
      <c r="AR153" s="902">
        <f t="shared" ref="AR153:AX153" si="295">SUM(AR154)</f>
        <v>5195617</v>
      </c>
      <c r="AS153" s="894">
        <f t="shared" si="295"/>
        <v>38500000</v>
      </c>
      <c r="AT153" s="894">
        <f t="shared" si="295"/>
        <v>38500000</v>
      </c>
      <c r="AU153" s="894">
        <f t="shared" si="295"/>
        <v>5351746</v>
      </c>
      <c r="AV153" s="894">
        <f t="shared" si="295"/>
        <v>5278031</v>
      </c>
      <c r="AW153" s="894">
        <f t="shared" si="295"/>
        <v>5195617</v>
      </c>
      <c r="AX153" s="894">
        <f t="shared" si="295"/>
        <v>2241552</v>
      </c>
      <c r="AY153" s="903">
        <f t="shared" si="247"/>
        <v>0.43143133914605331</v>
      </c>
      <c r="AZ153" s="894">
        <f>SUM(AZ154)</f>
        <v>555000000</v>
      </c>
      <c r="BA153" s="894">
        <f t="shared" si="254"/>
        <v>530844455</v>
      </c>
      <c r="BB153" s="896">
        <f t="shared" si="275"/>
        <v>0.95647649549549552</v>
      </c>
      <c r="BC153" s="962">
        <f t="shared" si="255"/>
        <v>502816675</v>
      </c>
      <c r="BD153" s="896">
        <f t="shared" si="256"/>
        <v>0.90597599099099102</v>
      </c>
      <c r="BE153" s="902"/>
      <c r="BF153" s="902"/>
      <c r="BG153" s="902"/>
      <c r="BH153" s="902"/>
      <c r="BI153" s="865" t="s">
        <v>2081</v>
      </c>
    </row>
    <row r="154" spans="1:61" s="865" customFormat="1" ht="47.4" customHeight="1">
      <c r="A154" s="1145" t="s">
        <v>1848</v>
      </c>
      <c r="B154" s="1141" t="s">
        <v>2324</v>
      </c>
      <c r="C154" s="937" t="s">
        <v>2086</v>
      </c>
      <c r="D154" s="1003">
        <v>1</v>
      </c>
      <c r="E154" s="1003">
        <v>1</v>
      </c>
      <c r="F154" s="1003">
        <v>1</v>
      </c>
      <c r="G154" s="1003">
        <v>1</v>
      </c>
      <c r="H154" s="906">
        <v>1</v>
      </c>
      <c r="I154" s="906">
        <v>1</v>
      </c>
      <c r="J154" s="1146">
        <v>1</v>
      </c>
      <c r="K154" s="1146">
        <v>1</v>
      </c>
      <c r="L154" s="906"/>
      <c r="M154" s="906"/>
      <c r="N154" s="906"/>
      <c r="O154" s="908">
        <f>+IFERROR(IF((H154+L154)/D154&gt;=100%,100%,(H154+L154)/D154),0)</f>
        <v>1</v>
      </c>
      <c r="P154" s="930">
        <f>+IFERROR(IF((I154+M154)/E154&gt;=100%,100%,(I154+M154)/E154),0)</f>
        <v>1</v>
      </c>
      <c r="Q154" s="930">
        <f>+IFERROR(IF((J154+N154)/F154&gt;=100%,100%,(J154+N154)/F154),0)</f>
        <v>1</v>
      </c>
      <c r="R154" s="908">
        <f>+IFERROR(IF(K154/G154&gt;=100%,100%,K154/G154),0)</f>
        <v>1</v>
      </c>
      <c r="S154" s="910" t="s">
        <v>2761</v>
      </c>
      <c r="T154" s="931">
        <v>45291</v>
      </c>
      <c r="U154" s="942"/>
      <c r="V154" s="942"/>
      <c r="W154" s="909"/>
      <c r="X154" s="933"/>
      <c r="Y154" s="913">
        <f t="shared" ref="Y154" si="296">SUM(D154:G154)</f>
        <v>4</v>
      </c>
      <c r="Z154" s="913">
        <f t="shared" ref="Z154" si="297">SUM(H154:N154)</f>
        <v>4</v>
      </c>
      <c r="AA154" s="928">
        <f t="shared" ref="AA154" si="298">IF(Z154/Y154&gt;=100%,100%,Z154/Y154)</f>
        <v>1</v>
      </c>
      <c r="AB154" s="908">
        <v>1</v>
      </c>
      <c r="AC154" s="908">
        <v>1</v>
      </c>
      <c r="AD154" s="908">
        <v>1</v>
      </c>
      <c r="AE154" s="908">
        <v>1</v>
      </c>
      <c r="AF154" s="908">
        <v>1</v>
      </c>
      <c r="AG154" s="1143">
        <v>150000000</v>
      </c>
      <c r="AH154" s="1143">
        <v>68500000</v>
      </c>
      <c r="AI154" s="1143">
        <v>157516021</v>
      </c>
      <c r="AJ154" s="1143">
        <v>154828434</v>
      </c>
      <c r="AK154" s="1143">
        <v>150000000</v>
      </c>
      <c r="AL154" s="916">
        <f t="shared" si="250"/>
        <v>1</v>
      </c>
      <c r="AM154" s="1143">
        <v>30000000</v>
      </c>
      <c r="AN154" s="1143">
        <v>152164275</v>
      </c>
      <c r="AO154" s="1143">
        <v>149632817</v>
      </c>
      <c r="AP154" s="1143">
        <v>125000000</v>
      </c>
      <c r="AQ154" s="928">
        <f t="shared" si="251"/>
        <v>0.83333333333333337</v>
      </c>
      <c r="AR154" s="915">
        <f>+AJ154-AO154</f>
        <v>5195617</v>
      </c>
      <c r="AS154" s="1143">
        <v>38500000</v>
      </c>
      <c r="AT154" s="1143">
        <v>38500000</v>
      </c>
      <c r="AU154" s="1143">
        <v>5351746</v>
      </c>
      <c r="AV154" s="1143">
        <v>5278031</v>
      </c>
      <c r="AW154" s="1143">
        <v>5195617</v>
      </c>
      <c r="AX154" s="1143">
        <v>2241552</v>
      </c>
      <c r="AY154" s="956">
        <f t="shared" si="247"/>
        <v>0.43143133914605331</v>
      </c>
      <c r="AZ154" s="1041">
        <v>555000000</v>
      </c>
      <c r="BA154" s="957">
        <f t="shared" si="254"/>
        <v>530844455</v>
      </c>
      <c r="BB154" s="930">
        <f t="shared" si="275"/>
        <v>0.95647649549549552</v>
      </c>
      <c r="BC154" s="986">
        <f t="shared" si="255"/>
        <v>502816675</v>
      </c>
      <c r="BD154" s="930">
        <f t="shared" si="256"/>
        <v>0.90597599099099102</v>
      </c>
      <c r="BE154" s="926"/>
      <c r="BF154" s="926"/>
      <c r="BG154" s="910" t="s">
        <v>649</v>
      </c>
      <c r="BH154" s="1147" t="s">
        <v>2326</v>
      </c>
      <c r="BI154" s="865" t="s">
        <v>2081</v>
      </c>
    </row>
    <row r="155" spans="1:61" s="865" customFormat="1" ht="44.25" customHeight="1">
      <c r="A155" s="893" t="s">
        <v>2328</v>
      </c>
      <c r="B155" s="894"/>
      <c r="C155" s="894"/>
      <c r="D155" s="895"/>
      <c r="E155" s="895"/>
      <c r="F155" s="895"/>
      <c r="G155" s="895"/>
      <c r="H155" s="895"/>
      <c r="I155" s="895"/>
      <c r="J155" s="895"/>
      <c r="K155" s="895"/>
      <c r="L155" s="895"/>
      <c r="M155" s="895"/>
      <c r="N155" s="895"/>
      <c r="O155" s="896">
        <f>+O156*AC156</f>
        <v>0</v>
      </c>
      <c r="P155" s="896">
        <f t="shared" ref="P155:R155" si="299">+P156*AD156</f>
        <v>1</v>
      </c>
      <c r="Q155" s="896">
        <f t="shared" si="299"/>
        <v>1</v>
      </c>
      <c r="R155" s="896">
        <f t="shared" si="299"/>
        <v>0</v>
      </c>
      <c r="S155" s="894"/>
      <c r="T155" s="894"/>
      <c r="U155" s="894"/>
      <c r="V155" s="894"/>
      <c r="W155" s="894"/>
      <c r="X155" s="894"/>
      <c r="Y155" s="897"/>
      <c r="Z155" s="897">
        <f t="shared" si="285"/>
        <v>0</v>
      </c>
      <c r="AA155" s="896">
        <f>+SUMPRODUCT(AA156:AA156,AB156:AB156)</f>
        <v>1</v>
      </c>
      <c r="AB155" s="896">
        <v>0.3</v>
      </c>
      <c r="AC155" s="896">
        <v>0</v>
      </c>
      <c r="AD155" s="896">
        <v>0.3</v>
      </c>
      <c r="AE155" s="896">
        <v>0.3</v>
      </c>
      <c r="AF155" s="896">
        <v>0</v>
      </c>
      <c r="AG155" s="894">
        <f>SUM(AG156)</f>
        <v>0</v>
      </c>
      <c r="AH155" s="894">
        <f>SUM(AH156)</f>
        <v>0</v>
      </c>
      <c r="AI155" s="894">
        <f>SUM(AI156)</f>
        <v>177169834</v>
      </c>
      <c r="AJ155" s="894">
        <f>SUM(AJ156)</f>
        <v>174909553</v>
      </c>
      <c r="AK155" s="894">
        <f>SUM(AK156)</f>
        <v>0</v>
      </c>
      <c r="AL155" s="900">
        <v>0</v>
      </c>
      <c r="AM155" s="894">
        <f>SUM(AM156)</f>
        <v>0</v>
      </c>
      <c r="AN155" s="894">
        <f>SUM(AN156)</f>
        <v>166698402</v>
      </c>
      <c r="AO155" s="894">
        <f>SUM(AO156)</f>
        <v>138161482</v>
      </c>
      <c r="AP155" s="894"/>
      <c r="AQ155" s="901" t="e">
        <f t="shared" si="251"/>
        <v>#DIV/0!</v>
      </c>
      <c r="AR155" s="902">
        <f t="shared" ref="AR155:AX155" si="300">SUM(AR156)</f>
        <v>36748071</v>
      </c>
      <c r="AS155" s="894">
        <f t="shared" si="300"/>
        <v>0</v>
      </c>
      <c r="AT155" s="894">
        <f t="shared" si="300"/>
        <v>0</v>
      </c>
      <c r="AU155" s="894">
        <f t="shared" si="300"/>
        <v>10471432</v>
      </c>
      <c r="AV155" s="894">
        <f t="shared" si="300"/>
        <v>10308918</v>
      </c>
      <c r="AW155" s="894">
        <f t="shared" si="300"/>
        <v>36748071</v>
      </c>
      <c r="AX155" s="894">
        <f t="shared" si="300"/>
        <v>33513774</v>
      </c>
      <c r="AY155" s="903">
        <f t="shared" si="247"/>
        <v>0.91198729859861216</v>
      </c>
      <c r="AZ155" s="894">
        <f t="shared" ref="AZ155" si="301">SUM(AZ156)</f>
        <v>355000000</v>
      </c>
      <c r="BA155" s="894">
        <f t="shared" si="254"/>
        <v>352079387</v>
      </c>
      <c r="BB155" s="896">
        <f t="shared" si="275"/>
        <v>0.99177292112676052</v>
      </c>
      <c r="BC155" s="962">
        <f t="shared" si="255"/>
        <v>348682576</v>
      </c>
      <c r="BD155" s="896">
        <f t="shared" si="256"/>
        <v>0.98220443943661973</v>
      </c>
      <c r="BE155" s="902"/>
      <c r="BF155" s="902"/>
      <c r="BG155" s="902"/>
      <c r="BH155" s="902"/>
    </row>
    <row r="156" spans="1:61" s="865" customFormat="1" ht="93" customHeight="1">
      <c r="A156" s="1140" t="s">
        <v>2329</v>
      </c>
      <c r="B156" s="1148" t="s">
        <v>2330</v>
      </c>
      <c r="C156" s="937" t="s">
        <v>2086</v>
      </c>
      <c r="D156" s="1149">
        <v>0</v>
      </c>
      <c r="E156" s="1149">
        <v>1</v>
      </c>
      <c r="F156" s="1149">
        <v>1</v>
      </c>
      <c r="G156" s="1149">
        <v>0</v>
      </c>
      <c r="H156" s="906">
        <v>0</v>
      </c>
      <c r="I156" s="906">
        <v>0</v>
      </c>
      <c r="J156" s="906">
        <v>1</v>
      </c>
      <c r="K156" s="906"/>
      <c r="L156" s="906"/>
      <c r="M156" s="906">
        <v>1</v>
      </c>
      <c r="N156" s="906"/>
      <c r="O156" s="908">
        <f>+IFERROR(IF((H156+L156)/D156&gt;=100%,100%,(H156+L156)/D156),0)</f>
        <v>0</v>
      </c>
      <c r="P156" s="930">
        <f>+IFERROR(IF((I156+M156)/E156&gt;=100%,100%,(I156+M156)/E156),0)</f>
        <v>1</v>
      </c>
      <c r="Q156" s="930">
        <f>+IFERROR(IF((J156+N156)/F156&gt;=100%,100%,(J156+N156)/F156),0)</f>
        <v>1</v>
      </c>
      <c r="R156" s="908">
        <f>+IFERROR(IF(K156/G156&gt;=100%,100%,K156/G156),0)</f>
        <v>0</v>
      </c>
      <c r="S156" s="910"/>
      <c r="T156" s="910"/>
      <c r="U156" s="942"/>
      <c r="V156" s="942"/>
      <c r="W156" s="909"/>
      <c r="X156" s="933"/>
      <c r="Y156" s="913">
        <f t="shared" ref="Y156" si="302">SUM(D156:G156)</f>
        <v>2</v>
      </c>
      <c r="Z156" s="913">
        <f t="shared" ref="Z156" si="303">SUM(H156:N156)</f>
        <v>2</v>
      </c>
      <c r="AA156" s="928">
        <f t="shared" ref="AA156" si="304">IF(Z156/Y156&gt;=100%,100%,Z156/Y156)</f>
        <v>1</v>
      </c>
      <c r="AB156" s="908">
        <v>1</v>
      </c>
      <c r="AC156" s="908">
        <v>0</v>
      </c>
      <c r="AD156" s="908">
        <v>1</v>
      </c>
      <c r="AE156" s="908">
        <v>1</v>
      </c>
      <c r="AF156" s="908">
        <v>0</v>
      </c>
      <c r="AG156" s="1143">
        <v>0</v>
      </c>
      <c r="AH156" s="1143">
        <v>0</v>
      </c>
      <c r="AI156" s="1143">
        <v>177169834</v>
      </c>
      <c r="AJ156" s="1143">
        <v>174909553</v>
      </c>
      <c r="AK156" s="1143">
        <v>0</v>
      </c>
      <c r="AL156" s="916">
        <v>0</v>
      </c>
      <c r="AM156" s="1143">
        <v>0</v>
      </c>
      <c r="AN156" s="1143">
        <v>166698402</v>
      </c>
      <c r="AO156" s="1143">
        <v>138161482</v>
      </c>
      <c r="AP156" s="1143"/>
      <c r="AQ156" s="928" t="e">
        <f t="shared" si="251"/>
        <v>#DIV/0!</v>
      </c>
      <c r="AR156" s="915">
        <f>+AJ156-AO156</f>
        <v>36748071</v>
      </c>
      <c r="AS156" s="1143">
        <v>0</v>
      </c>
      <c r="AT156" s="1143">
        <v>0</v>
      </c>
      <c r="AU156" s="1143">
        <v>10471432</v>
      </c>
      <c r="AV156" s="1143">
        <v>10308918</v>
      </c>
      <c r="AW156" s="1143">
        <v>36748071</v>
      </c>
      <c r="AX156" s="1143">
        <v>33513774</v>
      </c>
      <c r="AY156" s="956">
        <f t="shared" si="247"/>
        <v>0.91198729859861216</v>
      </c>
      <c r="AZ156" s="1041">
        <v>355000000</v>
      </c>
      <c r="BA156" s="957">
        <f t="shared" si="254"/>
        <v>352079387</v>
      </c>
      <c r="BB156" s="930">
        <f t="shared" si="275"/>
        <v>0.99177292112676052</v>
      </c>
      <c r="BC156" s="986">
        <f t="shared" si="255"/>
        <v>348682576</v>
      </c>
      <c r="BD156" s="930">
        <f t="shared" si="256"/>
        <v>0.98220443943661973</v>
      </c>
      <c r="BE156" s="926"/>
      <c r="BF156" s="926"/>
      <c r="BG156" s="910" t="s">
        <v>649</v>
      </c>
      <c r="BH156" s="1144" t="s">
        <v>2326</v>
      </c>
    </row>
    <row r="157" spans="1:61" s="892" customFormat="1" ht="47.4" customHeight="1">
      <c r="A157" s="882" t="s">
        <v>2331</v>
      </c>
      <c r="B157" s="883"/>
      <c r="C157" s="883"/>
      <c r="D157" s="884"/>
      <c r="E157" s="884"/>
      <c r="F157" s="1065"/>
      <c r="G157" s="1065"/>
      <c r="H157" s="884"/>
      <c r="I157" s="884"/>
      <c r="J157" s="1065"/>
      <c r="K157" s="1065"/>
      <c r="L157" s="884"/>
      <c r="M157" s="884"/>
      <c r="N157" s="884"/>
      <c r="O157" s="885">
        <f>+(O158*AC158)+(O161*AC161)+(O163*AC163)+(O165*AC165)</f>
        <v>0.9</v>
      </c>
      <c r="P157" s="885">
        <f t="shared" ref="P157:R157" si="305">+(P158*AD158)+(P161*AD161)+(P163*AD163)+(P165*AD165)</f>
        <v>1</v>
      </c>
      <c r="Q157" s="885">
        <f t="shared" si="305"/>
        <v>1</v>
      </c>
      <c r="R157" s="885">
        <f t="shared" si="305"/>
        <v>1</v>
      </c>
      <c r="S157" s="1132"/>
      <c r="T157" s="1132"/>
      <c r="U157" s="883"/>
      <c r="V157" s="883"/>
      <c r="W157" s="883"/>
      <c r="X157" s="1132"/>
      <c r="Y157" s="1133"/>
      <c r="Z157" s="886"/>
      <c r="AA157" s="1044">
        <f>+(AA158*AB158)+(AA161*AB161)+(AA163*AB163)+(AA165*AB165)</f>
        <v>0.98125000000000007</v>
      </c>
      <c r="AB157" s="885">
        <v>0.1</v>
      </c>
      <c r="AC157" s="885">
        <v>0.14000000000000001</v>
      </c>
      <c r="AD157" s="885">
        <v>0.14000000000000001</v>
      </c>
      <c r="AE157" s="885">
        <v>0.1</v>
      </c>
      <c r="AF157" s="885">
        <v>0.1</v>
      </c>
      <c r="AG157" s="883">
        <f>+AG158+AG161+AG163+AG165</f>
        <v>6625000000</v>
      </c>
      <c r="AH157" s="883">
        <f>+AH158+AH161+AH163+AH165</f>
        <v>519650000</v>
      </c>
      <c r="AI157" s="883">
        <f>+AI158+AI161+AI163+AI165</f>
        <v>486929495</v>
      </c>
      <c r="AJ157" s="883">
        <f>+AJ158+AJ161+AJ163+AJ165</f>
        <v>1729588519</v>
      </c>
      <c r="AK157" s="883">
        <f>+AK158+AK161+AK163+AK165</f>
        <v>6625000000</v>
      </c>
      <c r="AL157" s="888">
        <f t="shared" si="250"/>
        <v>1</v>
      </c>
      <c r="AM157" s="883">
        <f>+AM158+AM161+AM163+AM165</f>
        <v>109050000</v>
      </c>
      <c r="AN157" s="883">
        <f>+AN158+AN161+AN163+AN165</f>
        <v>447174904</v>
      </c>
      <c r="AO157" s="883">
        <f>+AO158+AO161+AO163+AO165</f>
        <v>1346126997.02</v>
      </c>
      <c r="AP157" s="883">
        <f>+AP158+AP161+AP163+AP165</f>
        <v>4598350022</v>
      </c>
      <c r="AQ157" s="890">
        <f t="shared" si="251"/>
        <v>0.69409056935849056</v>
      </c>
      <c r="AR157" s="883">
        <f t="shared" ref="AR157:AX157" si="306">+AR158+AR161+AR163+AR165</f>
        <v>383461521.98000002</v>
      </c>
      <c r="AS157" s="883">
        <f t="shared" si="306"/>
        <v>410600000</v>
      </c>
      <c r="AT157" s="883">
        <f t="shared" si="306"/>
        <v>320578348</v>
      </c>
      <c r="AU157" s="883">
        <f t="shared" si="306"/>
        <v>39754591</v>
      </c>
      <c r="AV157" s="883">
        <f t="shared" si="306"/>
        <v>35269555</v>
      </c>
      <c r="AW157" s="883">
        <f t="shared" si="306"/>
        <v>383461521.98000002</v>
      </c>
      <c r="AX157" s="883">
        <f t="shared" si="306"/>
        <v>378376312.98000002</v>
      </c>
      <c r="AY157" s="891">
        <f t="shared" si="247"/>
        <v>0.98673867204786914</v>
      </c>
      <c r="AZ157" s="883">
        <f t="shared" ref="AZ157" si="307">+AZ158+AZ161+AZ163+AZ165</f>
        <v>9505000000</v>
      </c>
      <c r="BA157" s="883">
        <f t="shared" si="254"/>
        <v>9361168014</v>
      </c>
      <c r="BB157" s="885">
        <f t="shared" si="275"/>
        <v>0.98486775528669124</v>
      </c>
      <c r="BC157" s="967">
        <f t="shared" si="255"/>
        <v>7234926139</v>
      </c>
      <c r="BD157" s="885">
        <f t="shared" si="256"/>
        <v>0.76117055644397691</v>
      </c>
      <c r="BE157" s="883"/>
      <c r="BF157" s="883" t="s">
        <v>1696</v>
      </c>
      <c r="BG157" s="883"/>
      <c r="BH157" s="883"/>
      <c r="BI157" s="892" t="s">
        <v>2081</v>
      </c>
    </row>
    <row r="158" spans="1:61" s="865" customFormat="1" ht="47.4" customHeight="1">
      <c r="A158" s="893" t="s">
        <v>2332</v>
      </c>
      <c r="B158" s="894"/>
      <c r="C158" s="894"/>
      <c r="D158" s="895"/>
      <c r="E158" s="895"/>
      <c r="F158" s="895"/>
      <c r="G158" s="895"/>
      <c r="H158" s="895"/>
      <c r="I158" s="895"/>
      <c r="J158" s="895"/>
      <c r="K158" s="895"/>
      <c r="L158" s="895"/>
      <c r="M158" s="895"/>
      <c r="N158" s="895"/>
      <c r="O158" s="896">
        <f>+SUMPRODUCT(O159:O160,AC159:AC160)</f>
        <v>1</v>
      </c>
      <c r="P158" s="896">
        <f t="shared" ref="P158:R158" si="308">+SUMPRODUCT(P159:P160,AD159:AD160)</f>
        <v>1</v>
      </c>
      <c r="Q158" s="896">
        <f t="shared" si="308"/>
        <v>1</v>
      </c>
      <c r="R158" s="896">
        <f t="shared" si="308"/>
        <v>1</v>
      </c>
      <c r="S158" s="1134"/>
      <c r="T158" s="1134"/>
      <c r="U158" s="894"/>
      <c r="V158" s="894"/>
      <c r="W158" s="894"/>
      <c r="X158" s="1134"/>
      <c r="Y158" s="1059"/>
      <c r="Z158" s="897"/>
      <c r="AA158" s="896">
        <f>+SUMPRODUCT(AA159:AA160,AB159:AB160)</f>
        <v>1</v>
      </c>
      <c r="AB158" s="896">
        <v>0.4</v>
      </c>
      <c r="AC158" s="896">
        <v>0.45</v>
      </c>
      <c r="AD158" s="896">
        <v>0.45</v>
      </c>
      <c r="AE158" s="896">
        <v>0.4</v>
      </c>
      <c r="AF158" s="896">
        <v>0.4</v>
      </c>
      <c r="AG158" s="894">
        <f>SUM(AG159:AG160)</f>
        <v>175000000</v>
      </c>
      <c r="AH158" s="894">
        <f>SUM(AH159:AH160)</f>
        <v>143950000</v>
      </c>
      <c r="AI158" s="894">
        <f>SUM(AI159:AI160)</f>
        <v>162054527</v>
      </c>
      <c r="AJ158" s="894">
        <f>SUM(AJ159:AJ160)</f>
        <v>1073040332</v>
      </c>
      <c r="AK158" s="894">
        <f>SUM(AK159:AK160)</f>
        <v>175000000</v>
      </c>
      <c r="AL158" s="900">
        <f t="shared" si="250"/>
        <v>1</v>
      </c>
      <c r="AM158" s="894">
        <f>SUM(AM159:AM160)</f>
        <v>83350000</v>
      </c>
      <c r="AN158" s="894">
        <f>SUM(AN159:AN160)</f>
        <v>149235219</v>
      </c>
      <c r="AO158" s="894">
        <f>SUM(AO159:AO160)</f>
        <v>1029127560.02</v>
      </c>
      <c r="AP158" s="894">
        <f>SUM(AP159:AP160)</f>
        <v>174300037</v>
      </c>
      <c r="AQ158" s="901">
        <f t="shared" si="251"/>
        <v>0.99600021142857142</v>
      </c>
      <c r="AR158" s="902">
        <f t="shared" ref="AR158:AX158" si="309">SUM(AR159:AR160)</f>
        <v>43912771.980000019</v>
      </c>
      <c r="AS158" s="894">
        <f t="shared" si="309"/>
        <v>60600000</v>
      </c>
      <c r="AT158" s="894">
        <f t="shared" si="309"/>
        <v>60600000</v>
      </c>
      <c r="AU158" s="894">
        <f t="shared" si="309"/>
        <v>12819308</v>
      </c>
      <c r="AV158" s="894">
        <f t="shared" si="309"/>
        <v>8636378</v>
      </c>
      <c r="AW158" s="894">
        <f t="shared" si="309"/>
        <v>43912771.979999997</v>
      </c>
      <c r="AX158" s="894">
        <f t="shared" si="309"/>
        <v>40156900.979999997</v>
      </c>
      <c r="AY158" s="903">
        <f t="shared" si="247"/>
        <v>0.91446973555414346</v>
      </c>
      <c r="AZ158" s="894">
        <f t="shared" ref="AZ158" si="310">SUM(AZ159:AZ160)</f>
        <v>1605850000</v>
      </c>
      <c r="BA158" s="894">
        <f t="shared" si="254"/>
        <v>1554044859</v>
      </c>
      <c r="BB158" s="896">
        <f t="shared" si="275"/>
        <v>0.96773973845626926</v>
      </c>
      <c r="BC158" s="962">
        <f t="shared" si="255"/>
        <v>1545406095</v>
      </c>
      <c r="BD158" s="896">
        <f t="shared" si="256"/>
        <v>0.96236017996699563</v>
      </c>
      <c r="BE158" s="902"/>
      <c r="BF158" s="902"/>
      <c r="BG158" s="902"/>
      <c r="BH158" s="902"/>
    </row>
    <row r="159" spans="1:61" s="865" customFormat="1" ht="47.4" customHeight="1">
      <c r="A159" s="1135" t="s">
        <v>1877</v>
      </c>
      <c r="B159" s="1136" t="s">
        <v>2333</v>
      </c>
      <c r="C159" s="937" t="s">
        <v>2086</v>
      </c>
      <c r="D159" s="1003">
        <v>23</v>
      </c>
      <c r="E159" s="1003">
        <v>23</v>
      </c>
      <c r="F159" s="1003">
        <v>23</v>
      </c>
      <c r="G159" s="1003">
        <v>23</v>
      </c>
      <c r="H159" s="1003">
        <v>23</v>
      </c>
      <c r="I159" s="906">
        <v>23</v>
      </c>
      <c r="J159" s="906">
        <v>23</v>
      </c>
      <c r="K159" s="906">
        <v>23</v>
      </c>
      <c r="L159" s="906"/>
      <c r="M159" s="906"/>
      <c r="N159" s="906"/>
      <c r="O159" s="908">
        <f t="shared" ref="O159:Q160" si="311">+IFERROR(IF((H159+L159)/D159&gt;=100%,100%,(H159+L159)/D159),0)</f>
        <v>1</v>
      </c>
      <c r="P159" s="930">
        <f t="shared" si="311"/>
        <v>1</v>
      </c>
      <c r="Q159" s="930">
        <f t="shared" si="311"/>
        <v>1</v>
      </c>
      <c r="R159" s="908">
        <f t="shared" ref="R159:R160" si="312">+IFERROR(IF(K159/G159&gt;=100%,100%,K159/G159),0)</f>
        <v>1</v>
      </c>
      <c r="S159" s="865" t="s">
        <v>2334</v>
      </c>
      <c r="T159" s="931">
        <v>45291</v>
      </c>
      <c r="U159" s="942"/>
      <c r="V159" s="942"/>
      <c r="W159" s="909"/>
      <c r="X159" s="933"/>
      <c r="Y159" s="913">
        <f t="shared" ref="Y159:Y160" si="313">SUM(D159:G159)</f>
        <v>92</v>
      </c>
      <c r="Z159" s="913">
        <f t="shared" ref="Z159:Z160" si="314">SUM(H159:N159)</f>
        <v>92</v>
      </c>
      <c r="AA159" s="983">
        <f t="shared" ref="AA159:AA160" si="315">IF(Z159/Y159&gt;=100%,100%,Z159/Y159)</f>
        <v>1</v>
      </c>
      <c r="AB159" s="1049">
        <v>0.4</v>
      </c>
      <c r="AC159" s="1049">
        <v>1</v>
      </c>
      <c r="AD159" s="930">
        <v>1</v>
      </c>
      <c r="AE159" s="1049">
        <v>0.4</v>
      </c>
      <c r="AF159" s="908">
        <v>1</v>
      </c>
      <c r="AG159" s="1150">
        <v>175000000</v>
      </c>
      <c r="AH159" s="1150">
        <v>143950000</v>
      </c>
      <c r="AI159" s="1150">
        <v>162054527</v>
      </c>
      <c r="AJ159" s="1150">
        <v>173506563</v>
      </c>
      <c r="AK159" s="1150">
        <v>175000000</v>
      </c>
      <c r="AL159" s="982">
        <f t="shared" si="250"/>
        <v>1</v>
      </c>
      <c r="AM159" s="1150">
        <v>83350000</v>
      </c>
      <c r="AN159" s="1150">
        <v>149235219</v>
      </c>
      <c r="AO159" s="1150">
        <v>167761213</v>
      </c>
      <c r="AP159" s="1150">
        <v>174300037</v>
      </c>
      <c r="AQ159" s="983">
        <f t="shared" si="251"/>
        <v>0.99600021142857142</v>
      </c>
      <c r="AR159" s="915">
        <f t="shared" ref="AR159:AR160" si="316">+AJ159-AO159</f>
        <v>5745350</v>
      </c>
      <c r="AS159" s="1150">
        <v>60600000</v>
      </c>
      <c r="AT159" s="1150">
        <v>60600000</v>
      </c>
      <c r="AU159" s="1150">
        <v>12819308</v>
      </c>
      <c r="AV159" s="1150">
        <v>8636378</v>
      </c>
      <c r="AW159" s="1150">
        <v>5745350</v>
      </c>
      <c r="AX159" s="1150">
        <v>2414599</v>
      </c>
      <c r="AY159" s="984">
        <f t="shared" si="247"/>
        <v>0.42027013149764592</v>
      </c>
      <c r="AZ159" s="1028">
        <v>705850000</v>
      </c>
      <c r="BA159" s="957">
        <f t="shared" si="254"/>
        <v>654511090</v>
      </c>
      <c r="BB159" s="930">
        <f t="shared" si="275"/>
        <v>0.92726654388326135</v>
      </c>
      <c r="BC159" s="986">
        <f t="shared" si="255"/>
        <v>646297446</v>
      </c>
      <c r="BD159" s="930">
        <f t="shared" si="256"/>
        <v>0.91563001487568185</v>
      </c>
      <c r="BE159" s="987"/>
      <c r="BF159" s="987"/>
      <c r="BG159" s="910" t="s">
        <v>960</v>
      </c>
      <c r="BH159" s="1151" t="s">
        <v>2335</v>
      </c>
    </row>
    <row r="160" spans="1:61" s="865" customFormat="1" ht="36" customHeight="1">
      <c r="A160" s="1135" t="s">
        <v>2336</v>
      </c>
      <c r="B160" s="1139" t="s">
        <v>2337</v>
      </c>
      <c r="C160" s="937" t="s">
        <v>2086</v>
      </c>
      <c r="D160" s="1137">
        <v>0</v>
      </c>
      <c r="E160" s="1149">
        <v>0</v>
      </c>
      <c r="F160" s="1149">
        <v>1</v>
      </c>
      <c r="G160" s="1149">
        <v>0</v>
      </c>
      <c r="H160" s="1149">
        <v>0</v>
      </c>
      <c r="I160" s="906">
        <v>0</v>
      </c>
      <c r="J160" s="938">
        <v>0</v>
      </c>
      <c r="K160" s="938"/>
      <c r="L160" s="906"/>
      <c r="M160" s="906"/>
      <c r="N160" s="906">
        <v>1</v>
      </c>
      <c r="O160" s="908">
        <f t="shared" si="311"/>
        <v>0</v>
      </c>
      <c r="P160" s="978">
        <f t="shared" si="311"/>
        <v>0</v>
      </c>
      <c r="Q160" s="930">
        <f t="shared" si="311"/>
        <v>1</v>
      </c>
      <c r="R160" s="908">
        <f t="shared" si="312"/>
        <v>0</v>
      </c>
      <c r="S160" s="865" t="s">
        <v>2762</v>
      </c>
      <c r="T160" s="931">
        <v>45291</v>
      </c>
      <c r="U160" s="942" t="s">
        <v>2092</v>
      </c>
      <c r="V160" s="942"/>
      <c r="W160" s="909" t="s">
        <v>2683</v>
      </c>
      <c r="X160" s="933" t="s">
        <v>2763</v>
      </c>
      <c r="Y160" s="913">
        <f t="shared" si="313"/>
        <v>1</v>
      </c>
      <c r="Z160" s="913">
        <f t="shared" si="314"/>
        <v>1</v>
      </c>
      <c r="AA160" s="983">
        <f t="shared" si="315"/>
        <v>1</v>
      </c>
      <c r="AB160" s="1049">
        <v>0.6</v>
      </c>
      <c r="AC160" s="1049">
        <v>0</v>
      </c>
      <c r="AD160" s="930">
        <v>0</v>
      </c>
      <c r="AE160" s="1049">
        <v>0.6</v>
      </c>
      <c r="AF160" s="908">
        <v>0</v>
      </c>
      <c r="AG160" s="1152">
        <v>0</v>
      </c>
      <c r="AH160" s="1152" t="s">
        <v>2095</v>
      </c>
      <c r="AI160" s="1152" t="s">
        <v>2095</v>
      </c>
      <c r="AJ160" s="1152">
        <v>899533769</v>
      </c>
      <c r="AK160" s="1152">
        <v>0</v>
      </c>
      <c r="AL160" s="982" t="e">
        <f t="shared" si="250"/>
        <v>#DIV/0!</v>
      </c>
      <c r="AM160" s="1152" t="s">
        <v>2095</v>
      </c>
      <c r="AN160" s="1150">
        <v>0</v>
      </c>
      <c r="AO160" s="1150">
        <v>861366347.01999998</v>
      </c>
      <c r="AP160" s="1150"/>
      <c r="AQ160" s="983" t="e">
        <f t="shared" si="251"/>
        <v>#DIV/0!</v>
      </c>
      <c r="AR160" s="915">
        <f t="shared" si="316"/>
        <v>38167421.980000019</v>
      </c>
      <c r="AS160" s="1152" t="s">
        <v>2095</v>
      </c>
      <c r="AT160" s="1150">
        <v>0</v>
      </c>
      <c r="AU160" s="1152"/>
      <c r="AV160" s="1152"/>
      <c r="AW160" s="1152">
        <v>38167421.979999997</v>
      </c>
      <c r="AX160" s="1152">
        <v>37742301.979999997</v>
      </c>
      <c r="AY160" s="984">
        <f t="shared" si="247"/>
        <v>0.98886170514155325</v>
      </c>
      <c r="AZ160" s="1028">
        <v>900000000</v>
      </c>
      <c r="BA160" s="957">
        <f t="shared" si="254"/>
        <v>899533769</v>
      </c>
      <c r="BB160" s="930">
        <f t="shared" si="275"/>
        <v>0.99948196555555557</v>
      </c>
      <c r="BC160" s="986">
        <f t="shared" si="255"/>
        <v>899108649</v>
      </c>
      <c r="BD160" s="930">
        <f t="shared" si="256"/>
        <v>0.99900960999999999</v>
      </c>
      <c r="BE160" s="987"/>
      <c r="BF160" s="987"/>
      <c r="BG160" s="910" t="s">
        <v>1701</v>
      </c>
      <c r="BH160" s="1151" t="s">
        <v>2118</v>
      </c>
    </row>
    <row r="161" spans="1:61" s="865" customFormat="1" ht="47.4" customHeight="1">
      <c r="A161" s="893" t="s">
        <v>2338</v>
      </c>
      <c r="B161" s="894"/>
      <c r="C161" s="894"/>
      <c r="D161" s="895"/>
      <c r="E161" s="895"/>
      <c r="F161" s="895"/>
      <c r="G161" s="895"/>
      <c r="H161" s="895"/>
      <c r="I161" s="895"/>
      <c r="J161" s="895"/>
      <c r="K161" s="895"/>
      <c r="L161" s="895"/>
      <c r="M161" s="895"/>
      <c r="N161" s="895"/>
      <c r="O161" s="896">
        <f>+O162*AC162</f>
        <v>0.5</v>
      </c>
      <c r="P161" s="896">
        <f t="shared" ref="P161:R161" si="317">+P162*AD162</f>
        <v>1</v>
      </c>
      <c r="Q161" s="896">
        <f t="shared" si="317"/>
        <v>1</v>
      </c>
      <c r="R161" s="896">
        <f t="shared" si="317"/>
        <v>1</v>
      </c>
      <c r="S161" s="896"/>
      <c r="T161" s="896"/>
      <c r="U161" s="896"/>
      <c r="V161" s="896"/>
      <c r="W161" s="896"/>
      <c r="X161" s="896"/>
      <c r="Y161" s="896"/>
      <c r="Z161" s="896"/>
      <c r="AA161" s="896">
        <f>+AA162*AB162</f>
        <v>0.875</v>
      </c>
      <c r="AB161" s="896">
        <v>0.15</v>
      </c>
      <c r="AC161" s="896">
        <v>0.2</v>
      </c>
      <c r="AD161" s="896">
        <v>0.2</v>
      </c>
      <c r="AE161" s="896">
        <v>0.15</v>
      </c>
      <c r="AF161" s="896">
        <v>0.3</v>
      </c>
      <c r="AG161" s="894">
        <f>SUM(AG162)</f>
        <v>6100000000</v>
      </c>
      <c r="AH161" s="894">
        <f>SUM(AH162)</f>
        <v>25700000</v>
      </c>
      <c r="AI161" s="894">
        <f>SUM(AI162)</f>
        <v>98446960</v>
      </c>
      <c r="AJ161" s="894">
        <f>SUM(AJ162)</f>
        <v>99948316</v>
      </c>
      <c r="AK161" s="894">
        <f>SUM(AK162)</f>
        <v>6100000000</v>
      </c>
      <c r="AL161" s="900">
        <f t="shared" si="250"/>
        <v>1</v>
      </c>
      <c r="AM161" s="894">
        <f>SUM(AM162)</f>
        <v>25700000</v>
      </c>
      <c r="AN161" s="894">
        <f>SUM(AN162)</f>
        <v>79318503</v>
      </c>
      <c r="AO161" s="894">
        <f>SUM(AO162)</f>
        <v>97780035</v>
      </c>
      <c r="AP161" s="894">
        <f>SUM(AP162)</f>
        <v>4276433330</v>
      </c>
      <c r="AQ161" s="901">
        <f t="shared" si="251"/>
        <v>0.70105464426229513</v>
      </c>
      <c r="AR161" s="902">
        <f t="shared" ref="AR161:AX161" si="318">SUM(AR162)</f>
        <v>2168281</v>
      </c>
      <c r="AS161" s="894">
        <f t="shared" si="318"/>
        <v>0</v>
      </c>
      <c r="AT161" s="894">
        <f t="shared" si="318"/>
        <v>0</v>
      </c>
      <c r="AU161" s="894">
        <f t="shared" si="318"/>
        <v>19128457</v>
      </c>
      <c r="AV161" s="894">
        <f t="shared" si="318"/>
        <v>19082385</v>
      </c>
      <c r="AW161" s="894">
        <f t="shared" si="318"/>
        <v>2168281</v>
      </c>
      <c r="AX161" s="894">
        <f t="shared" si="318"/>
        <v>1241250</v>
      </c>
      <c r="AY161" s="903">
        <f t="shared" si="247"/>
        <v>0.57245809007227388</v>
      </c>
      <c r="AZ161" s="894">
        <f t="shared" ref="AZ161" si="319">SUM(AZ162)</f>
        <v>6400000000</v>
      </c>
      <c r="BA161" s="894">
        <f t="shared" si="254"/>
        <v>6324095276</v>
      </c>
      <c r="BB161" s="896">
        <f t="shared" si="275"/>
        <v>0.98813988687499998</v>
      </c>
      <c r="BC161" s="962">
        <f t="shared" si="255"/>
        <v>4499555503</v>
      </c>
      <c r="BD161" s="896">
        <f t="shared" si="256"/>
        <v>0.70305554734374998</v>
      </c>
      <c r="BE161" s="902"/>
      <c r="BF161" s="902"/>
      <c r="BG161" s="902"/>
      <c r="BH161" s="902"/>
      <c r="BI161" s="865" t="s">
        <v>2081</v>
      </c>
    </row>
    <row r="162" spans="1:61" s="865" customFormat="1" ht="47.4" customHeight="1">
      <c r="A162" s="1145" t="s">
        <v>2339</v>
      </c>
      <c r="B162" s="1153" t="s">
        <v>2340</v>
      </c>
      <c r="C162" s="937" t="s">
        <v>2086</v>
      </c>
      <c r="D162" s="1003">
        <v>24</v>
      </c>
      <c r="E162" s="1003">
        <v>24</v>
      </c>
      <c r="F162" s="1003">
        <v>24</v>
      </c>
      <c r="G162" s="1003">
        <v>24</v>
      </c>
      <c r="H162" s="906">
        <v>0</v>
      </c>
      <c r="I162" s="906">
        <v>24</v>
      </c>
      <c r="J162" s="906">
        <v>24</v>
      </c>
      <c r="K162" s="906">
        <v>24</v>
      </c>
      <c r="L162" s="906">
        <v>12</v>
      </c>
      <c r="M162" s="906"/>
      <c r="N162" s="906"/>
      <c r="O162" s="908">
        <f>+IFERROR(IF((H162+L162)/D162&gt;=100%,100%,(H162+L162)/D162),0)</f>
        <v>0.5</v>
      </c>
      <c r="P162" s="930">
        <f>+IFERROR(IF((I162+M162)/E162&gt;=100%,100%,(I162+M162)/E162),0)</f>
        <v>1</v>
      </c>
      <c r="Q162" s="930">
        <f>+IFERROR(IF((J162+N162)/F162&gt;=100%,100%,(J162+N162)/F162),0)</f>
        <v>1</v>
      </c>
      <c r="R162" s="908">
        <f>+IFERROR(IF(K162/G162&gt;=100%,100%,K162/G162),0)</f>
        <v>1</v>
      </c>
      <c r="S162" s="865" t="s">
        <v>2764</v>
      </c>
      <c r="T162" s="931">
        <v>45291</v>
      </c>
      <c r="U162" s="942"/>
      <c r="V162" s="942"/>
      <c r="W162" s="909"/>
      <c r="X162" s="933"/>
      <c r="Y162" s="913">
        <f t="shared" ref="Y162" si="320">SUM(D162:G162)</f>
        <v>96</v>
      </c>
      <c r="Z162" s="913">
        <f t="shared" ref="Z162" si="321">SUM(H162:N162)</f>
        <v>84</v>
      </c>
      <c r="AA162" s="983">
        <f t="shared" ref="AA162" si="322">IF(Z162/Y162&gt;=100%,100%,Z162/Y162)</f>
        <v>0.875</v>
      </c>
      <c r="AB162" s="1056">
        <v>1</v>
      </c>
      <c r="AC162" s="1056">
        <v>1</v>
      </c>
      <c r="AD162" s="908">
        <v>1</v>
      </c>
      <c r="AE162" s="908">
        <v>1</v>
      </c>
      <c r="AF162" s="908">
        <v>1</v>
      </c>
      <c r="AG162" s="1143">
        <v>6100000000</v>
      </c>
      <c r="AH162" s="1143">
        <v>25700000</v>
      </c>
      <c r="AI162" s="1143">
        <v>98446960</v>
      </c>
      <c r="AJ162" s="1143">
        <v>99948316</v>
      </c>
      <c r="AK162" s="1143">
        <v>6100000000</v>
      </c>
      <c r="AL162" s="916">
        <f t="shared" si="250"/>
        <v>1</v>
      </c>
      <c r="AM162" s="1143">
        <v>25700000</v>
      </c>
      <c r="AN162" s="1143">
        <v>79318503</v>
      </c>
      <c r="AO162" s="1143">
        <v>97780035</v>
      </c>
      <c r="AP162" s="1143">
        <v>4276433330</v>
      </c>
      <c r="AQ162" s="928">
        <f t="shared" si="251"/>
        <v>0.70105464426229513</v>
      </c>
      <c r="AR162" s="915">
        <f>+AJ162-AO162</f>
        <v>2168281</v>
      </c>
      <c r="AS162" s="1152" t="s">
        <v>2095</v>
      </c>
      <c r="AT162" s="1150">
        <v>0</v>
      </c>
      <c r="AU162" s="1152">
        <v>19128457</v>
      </c>
      <c r="AV162" s="1152">
        <v>19082385</v>
      </c>
      <c r="AW162" s="1152">
        <v>2168281</v>
      </c>
      <c r="AX162" s="1152">
        <v>1241250</v>
      </c>
      <c r="AY162" s="956">
        <f t="shared" si="247"/>
        <v>0.57245809007227388</v>
      </c>
      <c r="AZ162" s="1041">
        <v>6400000000</v>
      </c>
      <c r="BA162" s="957">
        <f t="shared" si="254"/>
        <v>6324095276</v>
      </c>
      <c r="BB162" s="930">
        <f t="shared" si="275"/>
        <v>0.98813988687499998</v>
      </c>
      <c r="BC162" s="986">
        <f t="shared" si="255"/>
        <v>4499555503</v>
      </c>
      <c r="BD162" s="930">
        <f t="shared" si="256"/>
        <v>0.70305554734374998</v>
      </c>
      <c r="BE162" s="926"/>
      <c r="BF162" s="926"/>
      <c r="BG162" s="910" t="s">
        <v>1701</v>
      </c>
      <c r="BH162" s="1147" t="s">
        <v>2118</v>
      </c>
      <c r="BI162" s="865" t="s">
        <v>2081</v>
      </c>
    </row>
    <row r="163" spans="1:61" s="865" customFormat="1" ht="47.4" customHeight="1">
      <c r="A163" s="893" t="s">
        <v>2341</v>
      </c>
      <c r="B163" s="894"/>
      <c r="C163" s="894"/>
      <c r="D163" s="895"/>
      <c r="E163" s="895"/>
      <c r="F163" s="895"/>
      <c r="G163" s="895"/>
      <c r="H163" s="895"/>
      <c r="I163" s="895"/>
      <c r="J163" s="895"/>
      <c r="K163" s="895"/>
      <c r="L163" s="895"/>
      <c r="M163" s="895"/>
      <c r="N163" s="895"/>
      <c r="O163" s="896">
        <f>+O164*AC164</f>
        <v>1</v>
      </c>
      <c r="P163" s="896">
        <f t="shared" ref="P163:R163" si="323">+P164*AD164</f>
        <v>0</v>
      </c>
      <c r="Q163" s="896">
        <f t="shared" si="323"/>
        <v>1</v>
      </c>
      <c r="R163" s="896">
        <f t="shared" si="323"/>
        <v>1</v>
      </c>
      <c r="S163" s="1134"/>
      <c r="T163" s="1134"/>
      <c r="U163" s="894"/>
      <c r="V163" s="894"/>
      <c r="W163" s="894"/>
      <c r="X163" s="1134"/>
      <c r="Y163" s="1059"/>
      <c r="Z163" s="897"/>
      <c r="AA163" s="896">
        <f>+SUMPRODUCT(AA164:AA164,AB164:AB164)</f>
        <v>1</v>
      </c>
      <c r="AB163" s="896">
        <v>0.3</v>
      </c>
      <c r="AC163" s="896">
        <v>0.35</v>
      </c>
      <c r="AD163" s="896">
        <v>0</v>
      </c>
      <c r="AE163" s="896">
        <v>0.3</v>
      </c>
      <c r="AF163" s="896">
        <v>0.3</v>
      </c>
      <c r="AG163" s="894">
        <f>SUM(AG164)</f>
        <v>350000000</v>
      </c>
      <c r="AH163" s="894">
        <f>SUM(AH164)</f>
        <v>350000000</v>
      </c>
      <c r="AI163" s="894">
        <f>SUM(AI164)</f>
        <v>0</v>
      </c>
      <c r="AJ163" s="894">
        <f>SUM(AJ164)</f>
        <v>337660472</v>
      </c>
      <c r="AK163" s="894">
        <f>SUM(AK164)</f>
        <v>350000000</v>
      </c>
      <c r="AL163" s="900">
        <f t="shared" si="250"/>
        <v>1</v>
      </c>
      <c r="AM163" s="894">
        <f>SUM(AM164)</f>
        <v>0</v>
      </c>
      <c r="AN163" s="894">
        <f>SUM(AN164)</f>
        <v>0</v>
      </c>
      <c r="AO163" s="894">
        <f>SUM(AO164)</f>
        <v>25853102</v>
      </c>
      <c r="AP163" s="894">
        <f>SUM(AP164)</f>
        <v>147616655</v>
      </c>
      <c r="AQ163" s="901">
        <f t="shared" si="251"/>
        <v>0.42176187142857141</v>
      </c>
      <c r="AR163" s="902">
        <f t="shared" ref="AR163:AX163" si="324">SUM(AR164)</f>
        <v>311807370</v>
      </c>
      <c r="AS163" s="894">
        <f t="shared" si="324"/>
        <v>350000000</v>
      </c>
      <c r="AT163" s="894">
        <f t="shared" si="324"/>
        <v>259978348</v>
      </c>
      <c r="AU163" s="894">
        <f t="shared" si="324"/>
        <v>0</v>
      </c>
      <c r="AV163" s="894">
        <f t="shared" si="324"/>
        <v>0</v>
      </c>
      <c r="AW163" s="894">
        <f t="shared" si="324"/>
        <v>311807370</v>
      </c>
      <c r="AX163" s="894">
        <f t="shared" si="324"/>
        <v>311568463</v>
      </c>
      <c r="AY163" s="903">
        <f t="shared" si="247"/>
        <v>0.99923379938068813</v>
      </c>
      <c r="AZ163" s="894">
        <f t="shared" ref="AZ163" si="325">SUM(AZ164)</f>
        <v>1044150000</v>
      </c>
      <c r="BA163" s="894">
        <f t="shared" si="254"/>
        <v>1037660472</v>
      </c>
      <c r="BB163" s="896">
        <f t="shared" si="275"/>
        <v>0.99378486998994398</v>
      </c>
      <c r="BC163" s="962">
        <f t="shared" si="255"/>
        <v>745016568</v>
      </c>
      <c r="BD163" s="896">
        <f t="shared" si="256"/>
        <v>0.71351488579227118</v>
      </c>
      <c r="BE163" s="902"/>
      <c r="BF163" s="902"/>
      <c r="BG163" s="902"/>
      <c r="BH163" s="902"/>
    </row>
    <row r="164" spans="1:61" s="865" customFormat="1" ht="47.4" customHeight="1">
      <c r="A164" s="1135" t="s">
        <v>2342</v>
      </c>
      <c r="B164" s="1139" t="s">
        <v>2343</v>
      </c>
      <c r="C164" s="937" t="s">
        <v>2086</v>
      </c>
      <c r="D164" s="1003">
        <v>1</v>
      </c>
      <c r="E164" s="1003">
        <v>0</v>
      </c>
      <c r="F164" s="1003">
        <v>1</v>
      </c>
      <c r="G164" s="1003">
        <v>1</v>
      </c>
      <c r="H164" s="906">
        <v>0</v>
      </c>
      <c r="I164" s="906">
        <v>0</v>
      </c>
      <c r="J164" s="906">
        <v>0</v>
      </c>
      <c r="K164" s="906">
        <v>1</v>
      </c>
      <c r="L164" s="906">
        <v>1</v>
      </c>
      <c r="M164" s="906"/>
      <c r="N164" s="906">
        <v>1</v>
      </c>
      <c r="O164" s="908">
        <f>+IFERROR(IF((H164+L164)/D164&gt;=100%,100%,(H164+L164)/D164),0)</f>
        <v>1</v>
      </c>
      <c r="P164" s="978">
        <f>+IFERROR(IF((I164+M164)/E164&gt;=100%,100%,(I164+M164)/E164),0)</f>
        <v>0</v>
      </c>
      <c r="Q164" s="930">
        <f>+IFERROR(IF((J164+N164)/F164&gt;=100%,100%,(J164+N164)/F164),0)</f>
        <v>1</v>
      </c>
      <c r="R164" s="908">
        <f>+IFERROR(IF(K164/G164&gt;=100%,100%,K164/G164),0)</f>
        <v>1</v>
      </c>
      <c r="S164" s="1154" t="s">
        <v>2765</v>
      </c>
      <c r="T164" s="931">
        <v>45291</v>
      </c>
      <c r="U164" s="942" t="s">
        <v>2092</v>
      </c>
      <c r="V164" s="942"/>
      <c r="W164" s="909" t="s">
        <v>2683</v>
      </c>
      <c r="X164" s="933" t="s">
        <v>2766</v>
      </c>
      <c r="Y164" s="869">
        <f t="shared" ref="Y164" si="326">SUM(D164:G164)</f>
        <v>3</v>
      </c>
      <c r="Z164" s="913">
        <f t="shared" ref="Z164" si="327">SUM(H164:N164)</f>
        <v>3</v>
      </c>
      <c r="AA164" s="928">
        <f t="shared" ref="AA164" si="328">IF(Z164/Y164&gt;=100%,100%,Z164/Y164)</f>
        <v>1</v>
      </c>
      <c r="AB164" s="1056">
        <v>1</v>
      </c>
      <c r="AC164" s="1056">
        <v>1</v>
      </c>
      <c r="AD164" s="908">
        <v>0</v>
      </c>
      <c r="AE164" s="930">
        <v>1</v>
      </c>
      <c r="AF164" s="930">
        <v>1</v>
      </c>
      <c r="AG164" s="1041">
        <v>350000000</v>
      </c>
      <c r="AH164" s="1041">
        <v>350000000</v>
      </c>
      <c r="AI164" s="1041">
        <v>0</v>
      </c>
      <c r="AJ164" s="1041">
        <v>337660472</v>
      </c>
      <c r="AK164" s="1041">
        <v>350000000</v>
      </c>
      <c r="AL164" s="916">
        <f t="shared" si="250"/>
        <v>1</v>
      </c>
      <c r="AM164" s="1041">
        <v>0</v>
      </c>
      <c r="AN164" s="1041">
        <v>0</v>
      </c>
      <c r="AO164" s="1041">
        <v>25853102</v>
      </c>
      <c r="AP164" s="1041">
        <v>147616655</v>
      </c>
      <c r="AQ164" s="1040">
        <f t="shared" si="251"/>
        <v>0.42176187142857141</v>
      </c>
      <c r="AR164" s="915">
        <f>+AJ164-AO164</f>
        <v>311807370</v>
      </c>
      <c r="AS164" s="1041">
        <v>350000000</v>
      </c>
      <c r="AT164" s="1041">
        <v>259978348</v>
      </c>
      <c r="AU164" s="1041"/>
      <c r="AV164" s="1041"/>
      <c r="AW164" s="1041">
        <v>311807370</v>
      </c>
      <c r="AX164" s="1041">
        <v>311568463</v>
      </c>
      <c r="AY164" s="956">
        <f t="shared" si="247"/>
        <v>0.99923379938068813</v>
      </c>
      <c r="AZ164" s="1041">
        <v>1044150000</v>
      </c>
      <c r="BA164" s="957">
        <f t="shared" si="254"/>
        <v>1037660472</v>
      </c>
      <c r="BB164" s="930">
        <f t="shared" si="275"/>
        <v>0.99378486998994398</v>
      </c>
      <c r="BC164" s="986">
        <f t="shared" si="255"/>
        <v>745016568</v>
      </c>
      <c r="BD164" s="930">
        <f t="shared" si="256"/>
        <v>0.71351488579227118</v>
      </c>
      <c r="BE164" s="926"/>
      <c r="BF164" s="926"/>
      <c r="BG164" s="910" t="s">
        <v>1701</v>
      </c>
      <c r="BH164" s="1151" t="s">
        <v>2335</v>
      </c>
    </row>
    <row r="165" spans="1:61" s="865" customFormat="1" ht="45" customHeight="1">
      <c r="A165" s="893" t="s">
        <v>2344</v>
      </c>
      <c r="B165" s="894"/>
      <c r="C165" s="894"/>
      <c r="D165" s="895"/>
      <c r="E165" s="895"/>
      <c r="F165" s="895"/>
      <c r="G165" s="895"/>
      <c r="H165" s="895"/>
      <c r="I165" s="895"/>
      <c r="J165" s="895"/>
      <c r="K165" s="895"/>
      <c r="L165" s="895"/>
      <c r="M165" s="895"/>
      <c r="N165" s="895"/>
      <c r="O165" s="896">
        <f>+O166*AC166</f>
        <v>0</v>
      </c>
      <c r="P165" s="896">
        <f t="shared" ref="P165:R165" si="329">+P166*AD166</f>
        <v>1</v>
      </c>
      <c r="Q165" s="896">
        <f t="shared" si="329"/>
        <v>1</v>
      </c>
      <c r="R165" s="896">
        <f t="shared" si="329"/>
        <v>0</v>
      </c>
      <c r="S165" s="1134"/>
      <c r="T165" s="1134"/>
      <c r="U165" s="894"/>
      <c r="V165" s="894"/>
      <c r="W165" s="894"/>
      <c r="X165" s="1134"/>
      <c r="Y165" s="1059"/>
      <c r="Z165" s="897">
        <f>SUM(H165:M165)</f>
        <v>0</v>
      </c>
      <c r="AA165" s="896">
        <f>+SUMPRODUCT(AA166:AA166,AB166:AB166)</f>
        <v>1</v>
      </c>
      <c r="AB165" s="896">
        <v>0.15</v>
      </c>
      <c r="AC165" s="896">
        <v>0</v>
      </c>
      <c r="AD165" s="896">
        <v>0.35</v>
      </c>
      <c r="AE165" s="896">
        <v>0.15</v>
      </c>
      <c r="AF165" s="896">
        <v>0</v>
      </c>
      <c r="AG165" s="894">
        <f>SUM(AG166)</f>
        <v>0</v>
      </c>
      <c r="AH165" s="894">
        <f>SUM(AH166)</f>
        <v>0</v>
      </c>
      <c r="AI165" s="894">
        <f>SUM(AI166)</f>
        <v>226428008</v>
      </c>
      <c r="AJ165" s="894">
        <f>SUM(AJ166)</f>
        <v>218939399</v>
      </c>
      <c r="AK165" s="894">
        <f>SUM(AK166)</f>
        <v>0</v>
      </c>
      <c r="AL165" s="900" t="e">
        <f t="shared" si="250"/>
        <v>#DIV/0!</v>
      </c>
      <c r="AM165" s="894">
        <f>SUM(AM166)</f>
        <v>0</v>
      </c>
      <c r="AN165" s="894">
        <f>SUM(AN166)</f>
        <v>218621182</v>
      </c>
      <c r="AO165" s="894">
        <f>SUM(AO166)</f>
        <v>193366300</v>
      </c>
      <c r="AP165" s="894"/>
      <c r="AQ165" s="901" t="e">
        <f t="shared" si="251"/>
        <v>#DIV/0!</v>
      </c>
      <c r="AR165" s="902">
        <f t="shared" ref="AR165:AX165" si="330">SUM(AR166)</f>
        <v>25573099</v>
      </c>
      <c r="AS165" s="894">
        <f t="shared" si="330"/>
        <v>0</v>
      </c>
      <c r="AT165" s="894">
        <f t="shared" si="330"/>
        <v>0</v>
      </c>
      <c r="AU165" s="894">
        <f t="shared" si="330"/>
        <v>7806826</v>
      </c>
      <c r="AV165" s="894">
        <f t="shared" si="330"/>
        <v>7550792</v>
      </c>
      <c r="AW165" s="894">
        <f t="shared" si="330"/>
        <v>25573099</v>
      </c>
      <c r="AX165" s="894">
        <f t="shared" si="330"/>
        <v>25409699</v>
      </c>
      <c r="AY165" s="903">
        <f t="shared" si="247"/>
        <v>0.99361047325550966</v>
      </c>
      <c r="AZ165" s="894">
        <f t="shared" ref="AZ165" si="331">SUM(AZ166)</f>
        <v>455000000</v>
      </c>
      <c r="BA165" s="894">
        <f t="shared" si="254"/>
        <v>445367407</v>
      </c>
      <c r="BB165" s="896">
        <f t="shared" si="275"/>
        <v>0.97882946593406595</v>
      </c>
      <c r="BC165" s="962">
        <f t="shared" si="255"/>
        <v>444947973</v>
      </c>
      <c r="BD165" s="896">
        <f t="shared" si="256"/>
        <v>0.97790763296703298</v>
      </c>
      <c r="BE165" s="902"/>
      <c r="BF165" s="902"/>
      <c r="BG165" s="902"/>
      <c r="BH165" s="902"/>
    </row>
    <row r="166" spans="1:61" s="865" customFormat="1" ht="69" customHeight="1">
      <c r="A166" s="1145" t="s">
        <v>2345</v>
      </c>
      <c r="B166" s="1153" t="s">
        <v>2346</v>
      </c>
      <c r="C166" s="937" t="s">
        <v>2086</v>
      </c>
      <c r="D166" s="1137">
        <v>0</v>
      </c>
      <c r="E166" s="1137">
        <v>1</v>
      </c>
      <c r="F166" s="1137">
        <v>1</v>
      </c>
      <c r="G166" s="1137">
        <v>0</v>
      </c>
      <c r="H166" s="906">
        <v>0</v>
      </c>
      <c r="I166" s="906">
        <v>1</v>
      </c>
      <c r="J166" s="906">
        <v>1</v>
      </c>
      <c r="K166" s="906"/>
      <c r="L166" s="906"/>
      <c r="M166" s="906"/>
      <c r="N166" s="906"/>
      <c r="O166" s="908">
        <f>+IFERROR(IF((H166+L166)/D166&gt;=100%,100%,(H166+L166)/D166),0)</f>
        <v>0</v>
      </c>
      <c r="P166" s="930">
        <f>+IFERROR(IF((I166+M166)/E166&gt;=100%,100%,(I166+M166)/E166),0)</f>
        <v>1</v>
      </c>
      <c r="Q166" s="930">
        <f>+IFERROR(IF((J166+N166)/F166&gt;=100%,100%,(J166+N166)/F166),0)</f>
        <v>1</v>
      </c>
      <c r="R166" s="908">
        <f>+IFERROR(IF(K166/G166&gt;=100%,100%,K166/G166),0)</f>
        <v>0</v>
      </c>
      <c r="U166" s="911"/>
      <c r="V166" s="869"/>
      <c r="W166" s="910"/>
      <c r="Y166" s="869">
        <f t="shared" ref="Y166" si="332">SUM(D166:G166)</f>
        <v>2</v>
      </c>
      <c r="Z166" s="913">
        <f t="shared" ref="Z166" si="333">SUM(H166:N166)</f>
        <v>2</v>
      </c>
      <c r="AA166" s="928">
        <f t="shared" ref="AA166" si="334">IF(Z166/Y166&gt;=100%,100%,Z166/Y166)</f>
        <v>1</v>
      </c>
      <c r="AB166" s="1056">
        <v>1</v>
      </c>
      <c r="AC166" s="1056">
        <v>0</v>
      </c>
      <c r="AD166" s="908">
        <v>1</v>
      </c>
      <c r="AE166" s="908">
        <v>1</v>
      </c>
      <c r="AF166" s="908">
        <v>0</v>
      </c>
      <c r="AG166" s="1143">
        <v>0</v>
      </c>
      <c r="AH166" s="1041">
        <v>0</v>
      </c>
      <c r="AI166" s="1143">
        <v>226428008</v>
      </c>
      <c r="AJ166" s="1143">
        <v>218939399</v>
      </c>
      <c r="AK166" s="1143"/>
      <c r="AL166" s="916" t="e">
        <f t="shared" si="250"/>
        <v>#DIV/0!</v>
      </c>
      <c r="AM166" s="1041">
        <v>0</v>
      </c>
      <c r="AN166" s="1143">
        <v>218621182</v>
      </c>
      <c r="AO166" s="1143">
        <v>193366300</v>
      </c>
      <c r="AP166" s="1143"/>
      <c r="AQ166" s="928" t="e">
        <f t="shared" si="251"/>
        <v>#DIV/0!</v>
      </c>
      <c r="AR166" s="915">
        <f>+AJ166-AO166</f>
        <v>25573099</v>
      </c>
      <c r="AS166" s="1041">
        <v>0</v>
      </c>
      <c r="AT166" s="1041">
        <v>0</v>
      </c>
      <c r="AU166" s="1041">
        <v>7806826</v>
      </c>
      <c r="AV166" s="1041">
        <v>7550792</v>
      </c>
      <c r="AW166" s="1041">
        <v>25573099</v>
      </c>
      <c r="AX166" s="1041">
        <v>25409699</v>
      </c>
      <c r="AY166" s="956">
        <f t="shared" si="247"/>
        <v>0.99361047325550966</v>
      </c>
      <c r="AZ166" s="1041">
        <v>455000000</v>
      </c>
      <c r="BA166" s="957">
        <f t="shared" si="254"/>
        <v>445367407</v>
      </c>
      <c r="BB166" s="930">
        <f t="shared" si="275"/>
        <v>0.97882946593406595</v>
      </c>
      <c r="BC166" s="986">
        <f t="shared" si="255"/>
        <v>444947973</v>
      </c>
      <c r="BD166" s="930">
        <f t="shared" si="256"/>
        <v>0.97790763296703298</v>
      </c>
      <c r="BE166" s="926"/>
      <c r="BF166" s="926"/>
      <c r="BG166" s="910" t="s">
        <v>1701</v>
      </c>
      <c r="BH166" s="1155" t="s">
        <v>2118</v>
      </c>
    </row>
    <row r="167" spans="1:61" s="892" customFormat="1" ht="47.4" customHeight="1">
      <c r="A167" s="882" t="s">
        <v>2347</v>
      </c>
      <c r="B167" s="883"/>
      <c r="C167" s="883"/>
      <c r="D167" s="884"/>
      <c r="E167" s="884"/>
      <c r="F167" s="1065"/>
      <c r="G167" s="1065"/>
      <c r="H167" s="884"/>
      <c r="I167" s="884"/>
      <c r="J167" s="1065"/>
      <c r="K167" s="1065"/>
      <c r="L167" s="884"/>
      <c r="M167" s="884"/>
      <c r="N167" s="884"/>
      <c r="O167" s="885">
        <f>+(O168*AC168)+(O176*AC176)+(O178*AC178)+(O183*AC183)</f>
        <v>0.82362500000000005</v>
      </c>
      <c r="P167" s="885">
        <f t="shared" ref="P167:R167" si="335">+(P168*AD168)+(P176*AD176)+(P178*AD178)+(P183*AD183)</f>
        <v>0.83180065217391297</v>
      </c>
      <c r="Q167" s="885">
        <f t="shared" si="335"/>
        <v>0.69189000000000001</v>
      </c>
      <c r="R167" s="885">
        <f t="shared" si="335"/>
        <v>0.93013000000000012</v>
      </c>
      <c r="S167" s="1132"/>
      <c r="T167" s="1132"/>
      <c r="U167" s="883"/>
      <c r="V167" s="883"/>
      <c r="W167" s="883"/>
      <c r="X167" s="1132"/>
      <c r="Y167" s="1133"/>
      <c r="Z167" s="886"/>
      <c r="AA167" s="885">
        <f>+(AA168*AB168)+(AA176*AB176)+(AA178*AB178)+(AA183*AB183)</f>
        <v>0.8249208791208793</v>
      </c>
      <c r="AB167" s="885">
        <v>0.2</v>
      </c>
      <c r="AC167" s="885">
        <v>0.24</v>
      </c>
      <c r="AD167" s="885">
        <v>0.24</v>
      </c>
      <c r="AE167" s="885">
        <v>0.2</v>
      </c>
      <c r="AF167" s="885">
        <v>0.2</v>
      </c>
      <c r="AG167" s="883">
        <f>+AG168+AG176+AG178+AG183</f>
        <v>1890000000</v>
      </c>
      <c r="AH167" s="883">
        <f>+AH168+AH176+AH178+AH183</f>
        <v>244410750</v>
      </c>
      <c r="AI167" s="883">
        <f>+AI168+AI176+AI178+AI183</f>
        <v>1958456348.9400001</v>
      </c>
      <c r="AJ167" s="883">
        <f>+AJ168+AJ176+AJ178+AJ183</f>
        <v>1504902492.77</v>
      </c>
      <c r="AK167" s="883">
        <f>+AK168+AK176+AK178+AK183</f>
        <v>1889999999.3399999</v>
      </c>
      <c r="AL167" s="888">
        <f t="shared" si="250"/>
        <v>0.99999999965079356</v>
      </c>
      <c r="AM167" s="883">
        <f>+AM168+AM176+AM178+AM183</f>
        <v>146910750</v>
      </c>
      <c r="AN167" s="883">
        <f>+AN168+AN176+AN178+AN183</f>
        <v>1037690522.3</v>
      </c>
      <c r="AO167" s="883">
        <f>+AO168+AO176+AO178+AO183</f>
        <v>1126432229.22</v>
      </c>
      <c r="AP167" s="883">
        <f>+AP168+AP176+AP178+AP183</f>
        <v>895931775.34000003</v>
      </c>
      <c r="AQ167" s="1043">
        <f t="shared" si="251"/>
        <v>0.47403797637037037</v>
      </c>
      <c r="AR167" s="883">
        <f t="shared" ref="AR167:AX167" si="336">+AR168+AR176+AR178+AR183</f>
        <v>378470263.55000001</v>
      </c>
      <c r="AS167" s="883">
        <f t="shared" si="336"/>
        <v>97500000</v>
      </c>
      <c r="AT167" s="883">
        <f t="shared" si="336"/>
        <v>87000000</v>
      </c>
      <c r="AU167" s="883">
        <f t="shared" si="336"/>
        <v>920765826.63999999</v>
      </c>
      <c r="AV167" s="883">
        <f t="shared" si="336"/>
        <v>901851606</v>
      </c>
      <c r="AW167" s="883">
        <f t="shared" si="336"/>
        <v>378470263.55000001</v>
      </c>
      <c r="AX167" s="883">
        <f t="shared" si="336"/>
        <v>358471115.55000001</v>
      </c>
      <c r="AY167" s="891">
        <f t="shared" si="247"/>
        <v>0.94715794099010397</v>
      </c>
      <c r="AZ167" s="883">
        <f t="shared" ref="AZ167" si="337">+AZ168+AZ176+AZ178+AZ183</f>
        <v>6769747465</v>
      </c>
      <c r="BA167" s="883">
        <f t="shared" si="254"/>
        <v>5597769591.0500002</v>
      </c>
      <c r="BB167" s="1044">
        <f t="shared" si="275"/>
        <v>0.82688011923499427</v>
      </c>
      <c r="BC167" s="1045">
        <f t="shared" si="255"/>
        <v>4554287998.4099998</v>
      </c>
      <c r="BD167" s="1044">
        <f t="shared" si="256"/>
        <v>0.67274119484603256</v>
      </c>
      <c r="BE167" s="883"/>
      <c r="BF167" s="883" t="s">
        <v>1692</v>
      </c>
      <c r="BG167" s="883"/>
      <c r="BH167" s="883"/>
    </row>
    <row r="168" spans="1:61" s="865" customFormat="1" ht="47.4" customHeight="1">
      <c r="A168" s="893" t="s">
        <v>2348</v>
      </c>
      <c r="B168" s="894"/>
      <c r="C168" s="894"/>
      <c r="D168" s="895"/>
      <c r="E168" s="895"/>
      <c r="F168" s="895"/>
      <c r="G168" s="895"/>
      <c r="H168" s="895"/>
      <c r="I168" s="895"/>
      <c r="J168" s="895"/>
      <c r="K168" s="895"/>
      <c r="L168" s="895"/>
      <c r="M168" s="895"/>
      <c r="N168" s="895"/>
      <c r="O168" s="896">
        <f>+SUMPRODUCT(O169:O175,AC169:AC175)</f>
        <v>0.8125</v>
      </c>
      <c r="P168" s="896">
        <f t="shared" ref="P168:R168" si="338">+SUMPRODUCT(P169:P175,AD169:AD175)</f>
        <v>0.64690000000000003</v>
      </c>
      <c r="Q168" s="896">
        <f t="shared" si="338"/>
        <v>0.33700000000000002</v>
      </c>
      <c r="R168" s="896">
        <f t="shared" si="338"/>
        <v>0.87700000000000011</v>
      </c>
      <c r="S168" s="1134"/>
      <c r="T168" s="1134"/>
      <c r="U168" s="894"/>
      <c r="V168" s="894"/>
      <c r="W168" s="894"/>
      <c r="X168" s="1134"/>
      <c r="Y168" s="1059"/>
      <c r="Z168" s="897"/>
      <c r="AA168" s="896">
        <f>+SUMPRODUCT(AA169:AA175,AB169:AB175)</f>
        <v>0.64682417582417595</v>
      </c>
      <c r="AB168" s="896">
        <v>0.45</v>
      </c>
      <c r="AC168" s="896">
        <v>0.45</v>
      </c>
      <c r="AD168" s="896">
        <v>0.45</v>
      </c>
      <c r="AE168" s="896">
        <v>0.45</v>
      </c>
      <c r="AF168" s="896">
        <v>0.45</v>
      </c>
      <c r="AG168" s="894">
        <f>SUM(AG169:AG175)</f>
        <v>990000000</v>
      </c>
      <c r="AH168" s="894">
        <f>SUM(AH169:AH175)</f>
        <v>117660750</v>
      </c>
      <c r="AI168" s="894">
        <f>SUM(AI169:AI175)</f>
        <v>482298283.94</v>
      </c>
      <c r="AJ168" s="894">
        <f>SUM(AJ169:AJ175)</f>
        <v>554785815.76999998</v>
      </c>
      <c r="AK168" s="894">
        <f>SUM(AK169:AK175)</f>
        <v>990000000</v>
      </c>
      <c r="AL168" s="900">
        <f t="shared" si="250"/>
        <v>1</v>
      </c>
      <c r="AM168" s="894">
        <f>SUM(AM169:AM175)</f>
        <v>66310750</v>
      </c>
      <c r="AN168" s="902">
        <f>SUM(AN169:AN175)</f>
        <v>306420659.30000001</v>
      </c>
      <c r="AO168" s="902">
        <f>SUM(AO169:AO175)</f>
        <v>513925057.22000003</v>
      </c>
      <c r="AP168" s="894">
        <f>SUM(AP169:AP175)</f>
        <v>601306634</v>
      </c>
      <c r="AQ168" s="901">
        <f t="shared" si="251"/>
        <v>0.60738043838383837</v>
      </c>
      <c r="AR168" s="902">
        <f t="shared" ref="AR168:AX168" si="339">SUM(AR169:AR175)</f>
        <v>40860758.550000004</v>
      </c>
      <c r="AS168" s="894">
        <f t="shared" si="339"/>
        <v>51350000</v>
      </c>
      <c r="AT168" s="894">
        <f t="shared" si="339"/>
        <v>47850000</v>
      </c>
      <c r="AU168" s="894">
        <f t="shared" si="339"/>
        <v>175877624.63999999</v>
      </c>
      <c r="AV168" s="894">
        <f t="shared" si="339"/>
        <v>159476974</v>
      </c>
      <c r="AW168" s="894">
        <f t="shared" si="339"/>
        <v>40860758.549999997</v>
      </c>
      <c r="AX168" s="894">
        <f t="shared" si="339"/>
        <v>31563771.550000001</v>
      </c>
      <c r="AY168" s="903">
        <f t="shared" si="247"/>
        <v>0.77247150249000951</v>
      </c>
      <c r="AZ168" s="894">
        <f t="shared" ref="AZ168" si="340">SUM(AZ169:AZ175)</f>
        <v>3167900000</v>
      </c>
      <c r="BA168" s="894">
        <f t="shared" si="254"/>
        <v>2144744849.71</v>
      </c>
      <c r="BB168" s="896">
        <f t="shared" si="275"/>
        <v>0.67702416418131883</v>
      </c>
      <c r="BC168" s="962">
        <f t="shared" si="255"/>
        <v>1726853846.0699999</v>
      </c>
      <c r="BD168" s="896">
        <f t="shared" si="256"/>
        <v>0.54510996119511346</v>
      </c>
      <c r="BE168" s="902"/>
      <c r="BF168" s="902"/>
      <c r="BG168" s="902"/>
      <c r="BH168" s="902"/>
    </row>
    <row r="169" spans="1:61" s="865" customFormat="1" ht="47.4" customHeight="1">
      <c r="A169" s="1140" t="s">
        <v>2349</v>
      </c>
      <c r="B169" s="1136" t="s">
        <v>2350</v>
      </c>
      <c r="C169" s="937" t="s">
        <v>2086</v>
      </c>
      <c r="D169" s="990">
        <v>8</v>
      </c>
      <c r="E169" s="990">
        <v>8</v>
      </c>
      <c r="F169" s="990">
        <v>8</v>
      </c>
      <c r="G169" s="1283">
        <v>2</v>
      </c>
      <c r="H169" s="906">
        <v>6</v>
      </c>
      <c r="I169" s="906">
        <v>6</v>
      </c>
      <c r="J169" s="906">
        <v>0</v>
      </c>
      <c r="K169" s="906">
        <v>2.4</v>
      </c>
      <c r="L169" s="906"/>
      <c r="M169" s="906"/>
      <c r="N169" s="906"/>
      <c r="O169" s="908">
        <f t="shared" ref="O169:Q175" si="341">+IFERROR(IF((H169+L169)/D169&gt;=100%,100%,(H169+L169)/D169),0)</f>
        <v>0.75</v>
      </c>
      <c r="P169" s="930">
        <f t="shared" si="341"/>
        <v>0.75</v>
      </c>
      <c r="Q169" s="930">
        <f t="shared" si="341"/>
        <v>0</v>
      </c>
      <c r="R169" s="908">
        <f t="shared" ref="R169:R175" si="342">+IFERROR(IF(K169/G169&gt;=100%,100%,K169/G169),0)</f>
        <v>1</v>
      </c>
      <c r="S169" s="865" t="s">
        <v>2767</v>
      </c>
      <c r="T169" s="931">
        <v>45291</v>
      </c>
      <c r="U169" s="942" t="s">
        <v>2092</v>
      </c>
      <c r="V169" s="942"/>
      <c r="W169" s="909" t="s">
        <v>2683</v>
      </c>
      <c r="X169" s="933" t="s">
        <v>2185</v>
      </c>
      <c r="Y169" s="942">
        <f t="shared" ref="Y169:Y175" si="343">SUM(D169:G169)</f>
        <v>26</v>
      </c>
      <c r="Z169" s="913">
        <f t="shared" ref="Z169:Z175" si="344">SUM(H169:N169)</f>
        <v>14.4</v>
      </c>
      <c r="AA169" s="983">
        <f t="shared" ref="AA169:AA175" si="345">IF(Z169/Y169&gt;=100%,100%,Z169/Y169)</f>
        <v>0.55384615384615388</v>
      </c>
      <c r="AB169" s="1157">
        <v>0.4</v>
      </c>
      <c r="AC169" s="1157">
        <v>0.49</v>
      </c>
      <c r="AD169" s="930">
        <v>0.43</v>
      </c>
      <c r="AE169" s="908">
        <v>0.43</v>
      </c>
      <c r="AF169" s="908">
        <v>0.44</v>
      </c>
      <c r="AG169" s="1142">
        <v>355000000</v>
      </c>
      <c r="AH169" s="1158" t="s">
        <v>2095</v>
      </c>
      <c r="AI169" s="1142">
        <v>56419087.380000003</v>
      </c>
      <c r="AJ169" s="1142">
        <v>47743163.770000003</v>
      </c>
      <c r="AK169" s="1142">
        <v>355000000</v>
      </c>
      <c r="AL169" s="982">
        <f t="shared" si="250"/>
        <v>1</v>
      </c>
      <c r="AM169" s="1158" t="s">
        <v>2095</v>
      </c>
      <c r="AN169" s="1142">
        <v>36245937.740000002</v>
      </c>
      <c r="AO169" s="1142">
        <v>36207519.219999999</v>
      </c>
      <c r="AP169" s="1142">
        <v>124908321</v>
      </c>
      <c r="AQ169" s="983">
        <f t="shared" si="251"/>
        <v>0.3518544253521127</v>
      </c>
      <c r="AR169" s="915">
        <f t="shared" ref="AR169:AR175" si="346">+AJ169-AO169</f>
        <v>11535644.550000004</v>
      </c>
      <c r="AS169" s="1158" t="s">
        <v>2095</v>
      </c>
      <c r="AT169" s="1041">
        <v>0</v>
      </c>
      <c r="AU169" s="1158">
        <v>20173149.640000001</v>
      </c>
      <c r="AV169" s="1158">
        <v>19462674</v>
      </c>
      <c r="AW169" s="1158">
        <v>11535644.550000001</v>
      </c>
      <c r="AX169" s="1158">
        <v>11201767.550000001</v>
      </c>
      <c r="AY169" s="984">
        <f t="shared" si="247"/>
        <v>0.97105692720048309</v>
      </c>
      <c r="AZ169" s="1028">
        <v>1337300000</v>
      </c>
      <c r="BA169" s="957">
        <f t="shared" si="254"/>
        <v>459162251.14999998</v>
      </c>
      <c r="BB169" s="930">
        <f t="shared" si="275"/>
        <v>0.34335022145367528</v>
      </c>
      <c r="BC169" s="986">
        <f t="shared" si="255"/>
        <v>228026219.51000002</v>
      </c>
      <c r="BD169" s="930">
        <f t="shared" si="256"/>
        <v>0.17051239027144247</v>
      </c>
      <c r="BE169" s="987"/>
      <c r="BF169" s="987"/>
      <c r="BG169" s="910" t="s">
        <v>989</v>
      </c>
      <c r="BH169" s="1355" t="s">
        <v>2351</v>
      </c>
    </row>
    <row r="170" spans="1:61" s="865" customFormat="1" ht="40.5" customHeight="1">
      <c r="A170" s="1140" t="s">
        <v>2352</v>
      </c>
      <c r="B170" s="1136" t="s">
        <v>2353</v>
      </c>
      <c r="C170" s="937" t="s">
        <v>2086</v>
      </c>
      <c r="D170" s="1156">
        <v>0</v>
      </c>
      <c r="E170" s="1156">
        <v>0</v>
      </c>
      <c r="F170" s="1156">
        <v>1</v>
      </c>
      <c r="G170" s="1156">
        <v>0</v>
      </c>
      <c r="H170" s="906">
        <v>0</v>
      </c>
      <c r="I170" s="906">
        <v>0</v>
      </c>
      <c r="J170" s="906">
        <v>0</v>
      </c>
      <c r="K170" s="906"/>
      <c r="L170" s="906"/>
      <c r="M170" s="906"/>
      <c r="N170" s="906"/>
      <c r="O170" s="908">
        <f t="shared" si="341"/>
        <v>0</v>
      </c>
      <c r="P170" s="978">
        <f t="shared" si="341"/>
        <v>0</v>
      </c>
      <c r="Q170" s="930">
        <f t="shared" si="341"/>
        <v>0</v>
      </c>
      <c r="R170" s="908">
        <f t="shared" si="342"/>
        <v>0</v>
      </c>
      <c r="S170" s="1154"/>
      <c r="T170" s="1154"/>
      <c r="U170" s="942"/>
      <c r="V170" s="942"/>
      <c r="W170" s="909"/>
      <c r="X170" s="933"/>
      <c r="Y170" s="942">
        <f t="shared" si="343"/>
        <v>1</v>
      </c>
      <c r="Z170" s="913">
        <f t="shared" si="344"/>
        <v>0</v>
      </c>
      <c r="AA170" s="983">
        <f t="shared" si="345"/>
        <v>0</v>
      </c>
      <c r="AB170" s="1157">
        <v>0.05</v>
      </c>
      <c r="AC170" s="1157">
        <v>0</v>
      </c>
      <c r="AD170" s="930">
        <v>0</v>
      </c>
      <c r="AE170" s="980">
        <v>0.08</v>
      </c>
      <c r="AF170" s="980">
        <v>0</v>
      </c>
      <c r="AG170" s="1158">
        <v>0</v>
      </c>
      <c r="AH170" s="1158" t="s">
        <v>2095</v>
      </c>
      <c r="AI170" s="1158" t="s">
        <v>2095</v>
      </c>
      <c r="AJ170" s="1158">
        <v>119938087</v>
      </c>
      <c r="AK170" s="1158">
        <v>0</v>
      </c>
      <c r="AL170" s="982" t="e">
        <f t="shared" si="250"/>
        <v>#DIV/0!</v>
      </c>
      <c r="AM170" s="1158" t="s">
        <v>2095</v>
      </c>
      <c r="AN170" s="1142">
        <v>0</v>
      </c>
      <c r="AO170" s="1142">
        <v>109572824</v>
      </c>
      <c r="AP170" s="1142"/>
      <c r="AQ170" s="983" t="e">
        <f t="shared" si="251"/>
        <v>#DIV/0!</v>
      </c>
      <c r="AR170" s="915">
        <f t="shared" si="346"/>
        <v>10365263</v>
      </c>
      <c r="AS170" s="1158" t="s">
        <v>2095</v>
      </c>
      <c r="AT170" s="1041">
        <v>0</v>
      </c>
      <c r="AU170" s="1158"/>
      <c r="AV170" s="1158"/>
      <c r="AW170" s="1158">
        <v>10365263</v>
      </c>
      <c r="AX170" s="1158">
        <v>10104710</v>
      </c>
      <c r="AY170" s="984">
        <f t="shared" si="247"/>
        <v>0.97486286648008835</v>
      </c>
      <c r="AZ170" s="1028">
        <v>120000000</v>
      </c>
      <c r="BA170" s="957">
        <f t="shared" si="254"/>
        <v>119938087</v>
      </c>
      <c r="BB170" s="930">
        <f t="shared" si="275"/>
        <v>0.99948405833333331</v>
      </c>
      <c r="BC170" s="986">
        <f t="shared" si="255"/>
        <v>119677534</v>
      </c>
      <c r="BD170" s="930">
        <f t="shared" si="256"/>
        <v>0.99731278333333329</v>
      </c>
      <c r="BE170" s="987"/>
      <c r="BF170" s="987"/>
      <c r="BG170" s="910" t="s">
        <v>1701</v>
      </c>
      <c r="BH170" s="1345"/>
    </row>
    <row r="171" spans="1:61" s="865" customFormat="1" ht="47.4" customHeight="1">
      <c r="A171" s="1140" t="s">
        <v>2354</v>
      </c>
      <c r="B171" s="1136" t="s">
        <v>2355</v>
      </c>
      <c r="C171" s="937" t="s">
        <v>2086</v>
      </c>
      <c r="D171" s="990">
        <v>6</v>
      </c>
      <c r="E171" s="990">
        <v>12</v>
      </c>
      <c r="F171" s="990">
        <v>12</v>
      </c>
      <c r="G171" s="990">
        <v>12</v>
      </c>
      <c r="H171" s="906">
        <v>0</v>
      </c>
      <c r="I171" s="906">
        <v>3</v>
      </c>
      <c r="J171" s="906">
        <v>6</v>
      </c>
      <c r="K171" s="906">
        <v>0</v>
      </c>
      <c r="L171" s="906">
        <v>3</v>
      </c>
      <c r="M171" s="906"/>
      <c r="N171" s="906"/>
      <c r="O171" s="908">
        <f t="shared" si="341"/>
        <v>0.5</v>
      </c>
      <c r="P171" s="930">
        <f t="shared" si="341"/>
        <v>0.25</v>
      </c>
      <c r="Q171" s="930">
        <f t="shared" si="341"/>
        <v>0.5</v>
      </c>
      <c r="R171" s="908">
        <f t="shared" si="342"/>
        <v>0</v>
      </c>
      <c r="S171" s="865" t="s">
        <v>2768</v>
      </c>
      <c r="T171" s="931">
        <v>45291</v>
      </c>
      <c r="U171" s="932"/>
      <c r="V171" s="905"/>
      <c r="W171" s="1159"/>
      <c r="X171" s="905"/>
      <c r="Y171" s="942">
        <f t="shared" si="343"/>
        <v>42</v>
      </c>
      <c r="Z171" s="913">
        <f t="shared" si="344"/>
        <v>12</v>
      </c>
      <c r="AA171" s="983">
        <f t="shared" si="345"/>
        <v>0.2857142857142857</v>
      </c>
      <c r="AB171" s="1157">
        <v>0.05</v>
      </c>
      <c r="AC171" s="1157">
        <v>0.13</v>
      </c>
      <c r="AD171" s="930">
        <v>0.08</v>
      </c>
      <c r="AE171" s="980">
        <v>0.08</v>
      </c>
      <c r="AF171" s="980">
        <v>0.09</v>
      </c>
      <c r="AG171" s="1142">
        <v>25000000</v>
      </c>
      <c r="AH171" s="1142">
        <v>18610750</v>
      </c>
      <c r="AI171" s="1142">
        <v>14689393</v>
      </c>
      <c r="AJ171" s="1142">
        <v>2387079</v>
      </c>
      <c r="AK171" s="1142">
        <v>25000000</v>
      </c>
      <c r="AL171" s="982">
        <f t="shared" si="250"/>
        <v>1</v>
      </c>
      <c r="AM171" s="1142">
        <v>18610750</v>
      </c>
      <c r="AN171" s="1142">
        <v>1001842</v>
      </c>
      <c r="AO171" s="1142">
        <v>1720148</v>
      </c>
      <c r="AP171" s="1142">
        <v>2500000</v>
      </c>
      <c r="AQ171" s="983">
        <f t="shared" si="251"/>
        <v>0.1</v>
      </c>
      <c r="AR171" s="915">
        <f t="shared" si="346"/>
        <v>666931</v>
      </c>
      <c r="AS171" s="1158" t="s">
        <v>2095</v>
      </c>
      <c r="AT171" s="1041">
        <v>0</v>
      </c>
      <c r="AU171" s="1158">
        <v>13687551</v>
      </c>
      <c r="AV171" s="1158">
        <v>658504</v>
      </c>
      <c r="AW171" s="1158">
        <v>666931</v>
      </c>
      <c r="AX171" s="1158">
        <v>183011</v>
      </c>
      <c r="AY171" s="984">
        <f t="shared" si="247"/>
        <v>0.27440769734800152</v>
      </c>
      <c r="AZ171" s="1028">
        <v>100000000</v>
      </c>
      <c r="BA171" s="957">
        <f t="shared" si="254"/>
        <v>60687222</v>
      </c>
      <c r="BB171" s="930">
        <f t="shared" si="275"/>
        <v>0.60687221999999996</v>
      </c>
      <c r="BC171" s="986">
        <f t="shared" si="255"/>
        <v>24674255</v>
      </c>
      <c r="BD171" s="930">
        <f t="shared" si="256"/>
        <v>0.24674255</v>
      </c>
      <c r="BE171" s="987"/>
      <c r="BF171" s="987"/>
      <c r="BG171" s="910" t="s">
        <v>1060</v>
      </c>
      <c r="BH171" s="1345"/>
    </row>
    <row r="172" spans="1:61" s="865" customFormat="1" ht="90.75" customHeight="1">
      <c r="A172" s="1140" t="s">
        <v>2356</v>
      </c>
      <c r="B172" s="1160" t="s">
        <v>2357</v>
      </c>
      <c r="C172" s="937" t="s">
        <v>2086</v>
      </c>
      <c r="D172" s="1156">
        <v>0</v>
      </c>
      <c r="E172" s="1156">
        <v>1</v>
      </c>
      <c r="F172" s="1156">
        <v>1</v>
      </c>
      <c r="G172" s="1156">
        <v>0</v>
      </c>
      <c r="H172" s="906">
        <v>0</v>
      </c>
      <c r="I172" s="906">
        <v>0</v>
      </c>
      <c r="J172" s="906">
        <v>0</v>
      </c>
      <c r="K172" s="906"/>
      <c r="L172" s="906"/>
      <c r="M172" s="906"/>
      <c r="N172" s="906"/>
      <c r="O172" s="908">
        <f t="shared" si="341"/>
        <v>0</v>
      </c>
      <c r="P172" s="930">
        <f t="shared" si="341"/>
        <v>0</v>
      </c>
      <c r="Q172" s="930">
        <f t="shared" si="341"/>
        <v>0</v>
      </c>
      <c r="R172" s="908">
        <f t="shared" si="342"/>
        <v>0</v>
      </c>
      <c r="S172" s="1154"/>
      <c r="T172" s="1154"/>
      <c r="U172" s="941"/>
      <c r="V172" s="942"/>
      <c r="W172" s="909"/>
      <c r="X172" s="1154"/>
      <c r="Y172" s="942">
        <f t="shared" si="343"/>
        <v>2</v>
      </c>
      <c r="Z172" s="913">
        <f t="shared" si="344"/>
        <v>0</v>
      </c>
      <c r="AA172" s="983">
        <f t="shared" si="345"/>
        <v>0</v>
      </c>
      <c r="AB172" s="1157">
        <v>0.05</v>
      </c>
      <c r="AC172" s="1157">
        <v>0</v>
      </c>
      <c r="AD172" s="930">
        <v>0.08</v>
      </c>
      <c r="AE172" s="980">
        <v>0.08</v>
      </c>
      <c r="AF172" s="908">
        <v>0</v>
      </c>
      <c r="AG172" s="1161">
        <v>0</v>
      </c>
      <c r="AH172" s="1158" t="s">
        <v>2095</v>
      </c>
      <c r="AI172" s="1142">
        <v>41975169</v>
      </c>
      <c r="AJ172" s="1142">
        <v>12452085</v>
      </c>
      <c r="AK172" s="1142">
        <v>0</v>
      </c>
      <c r="AL172" s="982" t="e">
        <f t="shared" si="250"/>
        <v>#DIV/0!</v>
      </c>
      <c r="AM172" s="1158" t="s">
        <v>2095</v>
      </c>
      <c r="AN172" s="1142">
        <v>16120695</v>
      </c>
      <c r="AO172" s="1142">
        <v>10295874</v>
      </c>
      <c r="AP172" s="1142"/>
      <c r="AQ172" s="983" t="e">
        <f t="shared" si="251"/>
        <v>#DIV/0!</v>
      </c>
      <c r="AR172" s="915">
        <f t="shared" si="346"/>
        <v>2156211</v>
      </c>
      <c r="AS172" s="1158" t="s">
        <v>2095</v>
      </c>
      <c r="AT172" s="1041">
        <v>0</v>
      </c>
      <c r="AU172" s="1158">
        <v>25854474</v>
      </c>
      <c r="AV172" s="1158">
        <v>23595202</v>
      </c>
      <c r="AW172" s="1158">
        <v>2156211</v>
      </c>
      <c r="AX172" s="1158">
        <v>1261754</v>
      </c>
      <c r="AY172" s="984">
        <f t="shared" si="247"/>
        <v>0.58517185934029647</v>
      </c>
      <c r="AZ172" s="1028">
        <v>105000000</v>
      </c>
      <c r="BA172" s="957">
        <f t="shared" si="254"/>
        <v>54427254</v>
      </c>
      <c r="BB172" s="930">
        <f t="shared" si="275"/>
        <v>0.5183548</v>
      </c>
      <c r="BC172" s="986">
        <f t="shared" si="255"/>
        <v>51273525</v>
      </c>
      <c r="BD172" s="930">
        <f t="shared" si="256"/>
        <v>0.48831928571428573</v>
      </c>
      <c r="BE172" s="987"/>
      <c r="BF172" s="987"/>
      <c r="BG172" s="910" t="s">
        <v>1701</v>
      </c>
      <c r="BH172" s="1345"/>
    </row>
    <row r="173" spans="1:61" s="865" customFormat="1" ht="47.4" customHeight="1">
      <c r="A173" s="1140" t="s">
        <v>2358</v>
      </c>
      <c r="B173" s="1148" t="s">
        <v>2359</v>
      </c>
      <c r="C173" s="905" t="s">
        <v>1054</v>
      </c>
      <c r="D173" s="1175">
        <v>1</v>
      </c>
      <c r="E173" s="1175">
        <v>1</v>
      </c>
      <c r="F173" s="1175">
        <v>1</v>
      </c>
      <c r="G173" s="1175">
        <v>1</v>
      </c>
      <c r="H173" s="1175">
        <v>1</v>
      </c>
      <c r="I173" s="908">
        <v>0.68</v>
      </c>
      <c r="J173" s="914">
        <v>0.9</v>
      </c>
      <c r="K173" s="914">
        <v>0.9</v>
      </c>
      <c r="L173" s="906"/>
      <c r="M173" s="906"/>
      <c r="N173" s="906"/>
      <c r="O173" s="908">
        <f t="shared" si="341"/>
        <v>1</v>
      </c>
      <c r="P173" s="930">
        <f t="shared" si="341"/>
        <v>0.68</v>
      </c>
      <c r="Q173" s="930">
        <f t="shared" si="341"/>
        <v>0.9</v>
      </c>
      <c r="R173" s="908">
        <f t="shared" si="342"/>
        <v>0.9</v>
      </c>
      <c r="S173" s="865" t="s">
        <v>2769</v>
      </c>
      <c r="T173" s="931">
        <v>45291</v>
      </c>
      <c r="U173" s="942"/>
      <c r="V173" s="942"/>
      <c r="W173" s="909"/>
      <c r="X173" s="933"/>
      <c r="Y173" s="930">
        <f t="shared" si="343"/>
        <v>4</v>
      </c>
      <c r="Z173" s="934">
        <f t="shared" si="344"/>
        <v>3.48</v>
      </c>
      <c r="AA173" s="983">
        <f t="shared" si="345"/>
        <v>0.87</v>
      </c>
      <c r="AB173" s="1157">
        <v>0.3</v>
      </c>
      <c r="AC173" s="1157">
        <v>0.38</v>
      </c>
      <c r="AD173" s="930">
        <v>0.33</v>
      </c>
      <c r="AE173" s="980">
        <v>0.33</v>
      </c>
      <c r="AF173" s="980">
        <v>0.33</v>
      </c>
      <c r="AG173" s="1142">
        <v>260000000</v>
      </c>
      <c r="AH173" s="1142">
        <v>99050000</v>
      </c>
      <c r="AI173" s="1142">
        <v>249214635</v>
      </c>
      <c r="AJ173" s="1142">
        <v>372265401</v>
      </c>
      <c r="AK173" s="1142">
        <v>260000000</v>
      </c>
      <c r="AL173" s="982">
        <f t="shared" si="250"/>
        <v>1</v>
      </c>
      <c r="AM173" s="1142">
        <v>47700000</v>
      </c>
      <c r="AN173" s="1142">
        <v>239684150</v>
      </c>
      <c r="AO173" s="1142">
        <v>356128692</v>
      </c>
      <c r="AP173" s="1142">
        <v>239481658</v>
      </c>
      <c r="AQ173" s="983">
        <f t="shared" si="251"/>
        <v>0.92108330000000005</v>
      </c>
      <c r="AR173" s="915">
        <f t="shared" si="346"/>
        <v>16136709</v>
      </c>
      <c r="AS173" s="1142">
        <v>51350000</v>
      </c>
      <c r="AT173" s="1142">
        <v>47850000</v>
      </c>
      <c r="AU173" s="1142">
        <v>9530485</v>
      </c>
      <c r="AV173" s="1142">
        <v>9323735</v>
      </c>
      <c r="AW173" s="1142">
        <v>16136709</v>
      </c>
      <c r="AX173" s="1142">
        <v>8812529</v>
      </c>
      <c r="AY173" s="984">
        <f t="shared" si="247"/>
        <v>0.54611686930711834</v>
      </c>
      <c r="AZ173" s="1028">
        <v>1035600000</v>
      </c>
      <c r="BA173" s="957">
        <f t="shared" si="254"/>
        <v>980530036</v>
      </c>
      <c r="BB173" s="930">
        <f t="shared" si="275"/>
        <v>0.94682313248358441</v>
      </c>
      <c r="BC173" s="986">
        <f t="shared" si="255"/>
        <v>948980764</v>
      </c>
      <c r="BD173" s="930">
        <f t="shared" si="256"/>
        <v>0.91635840478949404</v>
      </c>
      <c r="BE173" s="987"/>
      <c r="BF173" s="987"/>
      <c r="BG173" s="910" t="s">
        <v>1701</v>
      </c>
      <c r="BH173" s="1144" t="s">
        <v>2351</v>
      </c>
    </row>
    <row r="174" spans="1:61" s="865" customFormat="1" ht="47.4" customHeight="1">
      <c r="A174" s="1140" t="s">
        <v>2360</v>
      </c>
      <c r="B174" s="1148" t="s">
        <v>2361</v>
      </c>
      <c r="C174" s="937" t="s">
        <v>2086</v>
      </c>
      <c r="D174" s="990">
        <v>0</v>
      </c>
      <c r="E174" s="990">
        <v>0</v>
      </c>
      <c r="F174" s="990">
        <v>0</v>
      </c>
      <c r="G174" s="990">
        <v>1</v>
      </c>
      <c r="H174" s="906">
        <v>0</v>
      </c>
      <c r="I174" s="906">
        <v>0</v>
      </c>
      <c r="J174" s="906">
        <v>0</v>
      </c>
      <c r="K174" s="906">
        <v>1</v>
      </c>
      <c r="L174" s="906"/>
      <c r="M174" s="906"/>
      <c r="N174" s="906"/>
      <c r="O174" s="908">
        <f t="shared" si="341"/>
        <v>0</v>
      </c>
      <c r="P174" s="978">
        <f t="shared" si="341"/>
        <v>0</v>
      </c>
      <c r="Q174" s="908">
        <f t="shared" si="341"/>
        <v>0</v>
      </c>
      <c r="R174" s="908">
        <f t="shared" si="342"/>
        <v>1</v>
      </c>
      <c r="S174" s="1154" t="s">
        <v>2770</v>
      </c>
      <c r="T174" s="931">
        <v>45291</v>
      </c>
      <c r="U174" s="942" t="s">
        <v>2092</v>
      </c>
      <c r="V174" s="942"/>
      <c r="W174" s="909" t="s">
        <v>2683</v>
      </c>
      <c r="X174" s="933" t="s">
        <v>2185</v>
      </c>
      <c r="Y174" s="942">
        <f t="shared" si="343"/>
        <v>1</v>
      </c>
      <c r="Z174" s="913">
        <f t="shared" si="344"/>
        <v>1</v>
      </c>
      <c r="AA174" s="983">
        <f t="shared" si="345"/>
        <v>1</v>
      </c>
      <c r="AB174" s="1157">
        <v>0.1</v>
      </c>
      <c r="AC174" s="1157">
        <v>0</v>
      </c>
      <c r="AD174" s="930">
        <v>0</v>
      </c>
      <c r="AE174" s="908">
        <v>0</v>
      </c>
      <c r="AF174" s="908">
        <v>0.14000000000000001</v>
      </c>
      <c r="AG174" s="1142">
        <v>350000000</v>
      </c>
      <c r="AH174" s="1158" t="s">
        <v>2095</v>
      </c>
      <c r="AI174" s="1158" t="s">
        <v>2095</v>
      </c>
      <c r="AJ174" s="1158"/>
      <c r="AK174" s="1142">
        <v>350000000</v>
      </c>
      <c r="AL174" s="982">
        <f t="shared" si="250"/>
        <v>1</v>
      </c>
      <c r="AM174" s="1158" t="s">
        <v>2095</v>
      </c>
      <c r="AN174" s="1142">
        <v>0</v>
      </c>
      <c r="AO174" s="1142"/>
      <c r="AP174" s="1142">
        <v>234416655</v>
      </c>
      <c r="AQ174" s="983">
        <f t="shared" si="251"/>
        <v>0.66976187142857146</v>
      </c>
      <c r="AR174" s="915">
        <f t="shared" si="346"/>
        <v>0</v>
      </c>
      <c r="AS174" s="1158" t="s">
        <v>2095</v>
      </c>
      <c r="AT174" s="1041">
        <v>0</v>
      </c>
      <c r="AU174" s="1158"/>
      <c r="AV174" s="1158"/>
      <c r="AW174" s="1158"/>
      <c r="AX174" s="1158"/>
      <c r="AY174" s="984" t="e">
        <f t="shared" si="247"/>
        <v>#DIV/0!</v>
      </c>
      <c r="AZ174" s="1028">
        <v>350000000</v>
      </c>
      <c r="BA174" s="957">
        <f t="shared" si="254"/>
        <v>350000000</v>
      </c>
      <c r="BB174" s="930">
        <f t="shared" si="275"/>
        <v>1</v>
      </c>
      <c r="BC174" s="986">
        <f t="shared" si="255"/>
        <v>234416655</v>
      </c>
      <c r="BD174" s="930">
        <f t="shared" si="256"/>
        <v>0.66976187142857146</v>
      </c>
      <c r="BE174" s="987"/>
      <c r="BF174" s="987"/>
      <c r="BG174" s="910" t="s">
        <v>1701</v>
      </c>
      <c r="BH174" s="1144" t="s">
        <v>2362</v>
      </c>
    </row>
    <row r="175" spans="1:61" s="865" customFormat="1" ht="70.5" customHeight="1">
      <c r="A175" s="1140" t="s">
        <v>2363</v>
      </c>
      <c r="B175" s="1148" t="s">
        <v>2364</v>
      </c>
      <c r="C175" s="937" t="s">
        <v>2086</v>
      </c>
      <c r="D175" s="1156">
        <v>0</v>
      </c>
      <c r="E175" s="1156">
        <v>1</v>
      </c>
      <c r="F175" s="1156">
        <v>0</v>
      </c>
      <c r="G175" s="1156">
        <v>0</v>
      </c>
      <c r="H175" s="906">
        <v>0</v>
      </c>
      <c r="I175" s="906">
        <v>0</v>
      </c>
      <c r="J175" s="906">
        <v>0</v>
      </c>
      <c r="K175" s="906"/>
      <c r="L175" s="906"/>
      <c r="M175" s="906">
        <v>1</v>
      </c>
      <c r="N175" s="906"/>
      <c r="O175" s="908">
        <f t="shared" si="341"/>
        <v>0</v>
      </c>
      <c r="P175" s="930">
        <f t="shared" si="341"/>
        <v>1</v>
      </c>
      <c r="Q175" s="908">
        <f t="shared" si="341"/>
        <v>0</v>
      </c>
      <c r="R175" s="908">
        <f t="shared" si="342"/>
        <v>0</v>
      </c>
      <c r="S175" s="1154"/>
      <c r="T175" s="1154"/>
      <c r="U175" s="941"/>
      <c r="V175" s="942"/>
      <c r="W175" s="909"/>
      <c r="X175" s="1154"/>
      <c r="Y175" s="942">
        <f t="shared" si="343"/>
        <v>1</v>
      </c>
      <c r="Z175" s="913">
        <f t="shared" si="344"/>
        <v>1</v>
      </c>
      <c r="AA175" s="983">
        <f t="shared" si="345"/>
        <v>1</v>
      </c>
      <c r="AB175" s="1157">
        <v>0.05</v>
      </c>
      <c r="AC175" s="1157">
        <v>0</v>
      </c>
      <c r="AD175" s="930">
        <v>0.08</v>
      </c>
      <c r="AE175" s="908">
        <v>0</v>
      </c>
      <c r="AF175" s="908">
        <v>0</v>
      </c>
      <c r="AG175" s="1161">
        <v>0</v>
      </c>
      <c r="AH175" s="1158" t="s">
        <v>2095</v>
      </c>
      <c r="AI175" s="1142">
        <v>119999999.56</v>
      </c>
      <c r="AJ175" s="1142">
        <v>0</v>
      </c>
      <c r="AK175" s="1142">
        <v>0</v>
      </c>
      <c r="AL175" s="982" t="e">
        <f t="shared" si="250"/>
        <v>#DIV/0!</v>
      </c>
      <c r="AM175" s="1158" t="s">
        <v>2095</v>
      </c>
      <c r="AN175" s="1142">
        <v>13368034.560000001</v>
      </c>
      <c r="AO175" s="1142"/>
      <c r="AP175" s="1142"/>
      <c r="AQ175" s="983" t="e">
        <f t="shared" si="251"/>
        <v>#DIV/0!</v>
      </c>
      <c r="AR175" s="915">
        <f t="shared" si="346"/>
        <v>0</v>
      </c>
      <c r="AS175" s="1158" t="s">
        <v>2095</v>
      </c>
      <c r="AT175" s="1041">
        <v>0</v>
      </c>
      <c r="AU175" s="1158">
        <v>106631965</v>
      </c>
      <c r="AV175" s="1158">
        <v>106436859</v>
      </c>
      <c r="AW175" s="1158"/>
      <c r="AX175" s="1158"/>
      <c r="AY175" s="984" t="e">
        <f t="shared" si="247"/>
        <v>#DIV/0!</v>
      </c>
      <c r="AZ175" s="1028">
        <v>120000000</v>
      </c>
      <c r="BA175" s="957">
        <f t="shared" si="254"/>
        <v>119999999.56</v>
      </c>
      <c r="BB175" s="983">
        <f t="shared" si="248"/>
        <v>0.99999999633333336</v>
      </c>
      <c r="BC175" s="986">
        <f t="shared" si="255"/>
        <v>119804893.56</v>
      </c>
      <c r="BD175" s="930">
        <f t="shared" si="256"/>
        <v>0.99837411300000001</v>
      </c>
      <c r="BE175" s="987"/>
      <c r="BF175" s="987"/>
      <c r="BG175" s="910" t="s">
        <v>1701</v>
      </c>
      <c r="BH175" s="1144" t="s">
        <v>2351</v>
      </c>
    </row>
    <row r="176" spans="1:61" s="865" customFormat="1" ht="47.4" customHeight="1">
      <c r="A176" s="893" t="s">
        <v>2365</v>
      </c>
      <c r="B176" s="894"/>
      <c r="C176" s="894"/>
      <c r="D176" s="895"/>
      <c r="E176" s="895"/>
      <c r="F176" s="895"/>
      <c r="G176" s="895"/>
      <c r="H176" s="895"/>
      <c r="I176" s="895"/>
      <c r="J176" s="895"/>
      <c r="K176" s="895"/>
      <c r="L176" s="895"/>
      <c r="M176" s="895"/>
      <c r="N176" s="895"/>
      <c r="O176" s="896">
        <f>+O177*AC177</f>
        <v>1</v>
      </c>
      <c r="P176" s="896">
        <f t="shared" ref="P176:R176" si="347">+P177*AD177</f>
        <v>1</v>
      </c>
      <c r="Q176" s="896">
        <f t="shared" si="347"/>
        <v>1</v>
      </c>
      <c r="R176" s="896">
        <f t="shared" si="347"/>
        <v>1</v>
      </c>
      <c r="S176" s="1134"/>
      <c r="T176" s="1134"/>
      <c r="U176" s="894"/>
      <c r="V176" s="894"/>
      <c r="W176" s="894"/>
      <c r="X176" s="1134"/>
      <c r="Y176" s="1059"/>
      <c r="Z176" s="897"/>
      <c r="AA176" s="896">
        <f>+SUMPRODUCT(AA177:AA177,AB177:AB177)</f>
        <v>1</v>
      </c>
      <c r="AB176" s="896">
        <v>0.05</v>
      </c>
      <c r="AC176" s="896">
        <v>0.05</v>
      </c>
      <c r="AD176" s="896">
        <v>0.05</v>
      </c>
      <c r="AE176" s="896">
        <v>0.05</v>
      </c>
      <c r="AF176" s="896">
        <v>0.05</v>
      </c>
      <c r="AG176" s="894">
        <f>SUM(AG177)</f>
        <v>40000000</v>
      </c>
      <c r="AH176" s="894">
        <f>SUM(AH177)</f>
        <v>10500000</v>
      </c>
      <c r="AI176" s="894">
        <f>SUM(AI177)</f>
        <v>36578787</v>
      </c>
      <c r="AJ176" s="894">
        <f>SUM(AJ177)</f>
        <v>39979542</v>
      </c>
      <c r="AK176" s="894">
        <f>SUM(AK177)</f>
        <v>40000000</v>
      </c>
      <c r="AL176" s="900">
        <f t="shared" si="250"/>
        <v>1</v>
      </c>
      <c r="AM176" s="894">
        <f>SUM(AM177)</f>
        <v>4200000</v>
      </c>
      <c r="AN176" s="894">
        <f>SUM(AN177)</f>
        <v>29603684</v>
      </c>
      <c r="AO176" s="894">
        <f>SUM(AO177)</f>
        <v>38483834</v>
      </c>
      <c r="AP176" s="894">
        <f>SUM(AP177)</f>
        <v>38671206</v>
      </c>
      <c r="AQ176" s="901">
        <f t="shared" si="251"/>
        <v>0.96678014999999995</v>
      </c>
      <c r="AR176" s="902">
        <f t="shared" ref="AR176:AX176" si="348">SUM(AR177)</f>
        <v>1495708</v>
      </c>
      <c r="AS176" s="894">
        <f t="shared" si="348"/>
        <v>6300000</v>
      </c>
      <c r="AT176" s="894">
        <f t="shared" si="348"/>
        <v>6300000</v>
      </c>
      <c r="AU176" s="894">
        <f t="shared" si="348"/>
        <v>6975103</v>
      </c>
      <c r="AV176" s="894">
        <f t="shared" si="348"/>
        <v>6919494</v>
      </c>
      <c r="AW176" s="894">
        <f t="shared" si="348"/>
        <v>1495708</v>
      </c>
      <c r="AX176" s="894">
        <f t="shared" si="348"/>
        <v>400854</v>
      </c>
      <c r="AY176" s="903">
        <f t="shared" si="247"/>
        <v>0.26800284547518632</v>
      </c>
      <c r="AZ176" s="894">
        <f t="shared" ref="AZ176" si="349">SUM(AZ177)</f>
        <v>140000000</v>
      </c>
      <c r="BA176" s="894">
        <f t="shared" si="254"/>
        <v>127058329</v>
      </c>
      <c r="BB176" s="896">
        <f t="shared" si="248"/>
        <v>0.90755949285714288</v>
      </c>
      <c r="BC176" s="962">
        <f t="shared" si="255"/>
        <v>124579072</v>
      </c>
      <c r="BD176" s="896">
        <f t="shared" si="256"/>
        <v>0.88985051428571427</v>
      </c>
      <c r="BE176" s="902"/>
      <c r="BF176" s="902"/>
      <c r="BG176" s="902"/>
      <c r="BH176" s="902"/>
    </row>
    <row r="177" spans="1:60" s="865" customFormat="1" ht="47.4" customHeight="1">
      <c r="A177" s="1145" t="s">
        <v>2366</v>
      </c>
      <c r="B177" s="1162" t="s">
        <v>2367</v>
      </c>
      <c r="C177" s="937" t="s">
        <v>2086</v>
      </c>
      <c r="D177" s="1003">
        <v>1</v>
      </c>
      <c r="E177" s="1003">
        <v>2</v>
      </c>
      <c r="F177" s="1003">
        <v>2</v>
      </c>
      <c r="G177" s="1003">
        <v>2</v>
      </c>
      <c r="H177" s="906">
        <v>1</v>
      </c>
      <c r="I177" s="906">
        <v>2</v>
      </c>
      <c r="J177" s="906">
        <v>2</v>
      </c>
      <c r="K177" s="906">
        <v>2</v>
      </c>
      <c r="L177" s="906"/>
      <c r="M177" s="906"/>
      <c r="N177" s="906"/>
      <c r="O177" s="908">
        <f>+IFERROR(IF((H177+L177)/D177&gt;=100%,100%,(H177+L177)/D177),0)</f>
        <v>1</v>
      </c>
      <c r="P177" s="930">
        <f>+IFERROR(IF((I177+M177)/E177&gt;=100%,100%,(I177+M177)/E177),0)</f>
        <v>1</v>
      </c>
      <c r="Q177" s="930">
        <f>+IFERROR(IF((J177+N177)/F177&gt;=100%,100%,(J177+N177)/F177),0)</f>
        <v>1</v>
      </c>
      <c r="R177" s="908">
        <f>+IFERROR(IF(K177/G177&gt;=100%,100%,K177/G177),0)</f>
        <v>1</v>
      </c>
      <c r="S177" s="865" t="s">
        <v>2771</v>
      </c>
      <c r="T177" s="931">
        <v>45291</v>
      </c>
      <c r="U177" s="942"/>
      <c r="V177" s="942"/>
      <c r="W177" s="909"/>
      <c r="X177" s="932"/>
      <c r="Y177" s="869">
        <f t="shared" ref="Y177" si="350">SUM(D177:G177)</f>
        <v>7</v>
      </c>
      <c r="Z177" s="913">
        <f t="shared" ref="Z177" si="351">SUM(H177:N177)</f>
        <v>7</v>
      </c>
      <c r="AA177" s="914">
        <f t="shared" ref="AA177" si="352">IF(Z177/Y177&gt;=100%,100%,Z177/Y177)</f>
        <v>1</v>
      </c>
      <c r="AB177" s="1056">
        <v>1</v>
      </c>
      <c r="AC177" s="1056">
        <v>1</v>
      </c>
      <c r="AD177" s="908">
        <v>1</v>
      </c>
      <c r="AE177" s="908">
        <v>1</v>
      </c>
      <c r="AF177" s="908">
        <v>1</v>
      </c>
      <c r="AG177" s="1143">
        <v>40000000</v>
      </c>
      <c r="AH177" s="1143">
        <v>10500000</v>
      </c>
      <c r="AI177" s="1143">
        <v>36578787</v>
      </c>
      <c r="AJ177" s="1143">
        <v>39979542</v>
      </c>
      <c r="AK177" s="1143">
        <v>40000000</v>
      </c>
      <c r="AL177" s="916">
        <f t="shared" si="250"/>
        <v>1</v>
      </c>
      <c r="AM177" s="1143">
        <v>4200000</v>
      </c>
      <c r="AN177" s="1143">
        <v>29603684</v>
      </c>
      <c r="AO177" s="1143">
        <v>38483834</v>
      </c>
      <c r="AP177" s="1143">
        <v>38671206</v>
      </c>
      <c r="AQ177" s="928">
        <f t="shared" si="251"/>
        <v>0.96678014999999995</v>
      </c>
      <c r="AR177" s="915">
        <f>+AJ177-AO177</f>
        <v>1495708</v>
      </c>
      <c r="AS177" s="1143">
        <v>6300000</v>
      </c>
      <c r="AT177" s="1143">
        <v>6300000</v>
      </c>
      <c r="AU177" s="1143">
        <v>6975103</v>
      </c>
      <c r="AV177" s="1143">
        <v>6919494</v>
      </c>
      <c r="AW177" s="1143">
        <v>1495708</v>
      </c>
      <c r="AX177" s="1143">
        <v>400854</v>
      </c>
      <c r="AY177" s="956">
        <f t="shared" si="247"/>
        <v>0.26800284547518632</v>
      </c>
      <c r="AZ177" s="1041">
        <v>140000000</v>
      </c>
      <c r="BA177" s="957">
        <f t="shared" si="254"/>
        <v>127058329</v>
      </c>
      <c r="BB177" s="930">
        <f t="shared" si="248"/>
        <v>0.90755949285714288</v>
      </c>
      <c r="BC177" s="986">
        <f t="shared" si="255"/>
        <v>124579072</v>
      </c>
      <c r="BD177" s="930">
        <f t="shared" si="256"/>
        <v>0.88985051428571427</v>
      </c>
      <c r="BE177" s="926"/>
      <c r="BF177" s="926"/>
      <c r="BG177" s="910" t="s">
        <v>1701</v>
      </c>
      <c r="BH177" s="1147" t="s">
        <v>2351</v>
      </c>
    </row>
    <row r="178" spans="1:60" s="865" customFormat="1" ht="47.4" customHeight="1">
      <c r="A178" s="893" t="s">
        <v>2368</v>
      </c>
      <c r="B178" s="894"/>
      <c r="C178" s="894"/>
      <c r="D178" s="895"/>
      <c r="E178" s="895"/>
      <c r="F178" s="895"/>
      <c r="G178" s="895"/>
      <c r="H178" s="895"/>
      <c r="I178" s="895"/>
      <c r="J178" s="895"/>
      <c r="K178" s="895"/>
      <c r="L178" s="895"/>
      <c r="M178" s="895"/>
      <c r="N178" s="895"/>
      <c r="O178" s="896">
        <f>+SUMPRODUCT(O179:O182,AC179:AC182)</f>
        <v>0.54</v>
      </c>
      <c r="P178" s="896">
        <f t="shared" ref="P178:R178" si="353">+SUMPRODUCT(P179:P182,AD179:AD182)</f>
        <v>0.96</v>
      </c>
      <c r="Q178" s="896">
        <f t="shared" si="353"/>
        <v>0.95120000000000005</v>
      </c>
      <c r="R178" s="896">
        <f t="shared" si="353"/>
        <v>0.9274</v>
      </c>
      <c r="S178" s="1134"/>
      <c r="T178" s="1134"/>
      <c r="U178" s="894"/>
      <c r="V178" s="894"/>
      <c r="W178" s="894"/>
      <c r="X178" s="1134"/>
      <c r="Y178" s="1059"/>
      <c r="Z178" s="897"/>
      <c r="AA178" s="896">
        <f>+SUMPRODUCT(AA179:AA182,AB179:AB182)</f>
        <v>0.92091666666666661</v>
      </c>
      <c r="AB178" s="896">
        <v>0.2</v>
      </c>
      <c r="AC178" s="896">
        <v>0.2</v>
      </c>
      <c r="AD178" s="896">
        <v>0.2</v>
      </c>
      <c r="AE178" s="896">
        <v>0.2</v>
      </c>
      <c r="AF178" s="896">
        <v>0.2</v>
      </c>
      <c r="AG178" s="894">
        <f>SUM(AG179:AG182)</f>
        <v>370000000</v>
      </c>
      <c r="AH178" s="894">
        <f>SUM(AH179:AH182)</f>
        <v>4000000</v>
      </c>
      <c r="AI178" s="894">
        <f>SUM(AI179:AI182)</f>
        <v>453696326</v>
      </c>
      <c r="AJ178" s="894">
        <f>SUM(AJ179:AJ182)</f>
        <v>406996428</v>
      </c>
      <c r="AK178" s="894">
        <f>SUM(AK179:AK182)</f>
        <v>369999999.33999997</v>
      </c>
      <c r="AL178" s="900">
        <f t="shared" si="250"/>
        <v>0.9999999982162161</v>
      </c>
      <c r="AM178" s="894">
        <f>SUM(AM179:AM182)</f>
        <v>0</v>
      </c>
      <c r="AN178" s="902">
        <f>SUM(AN179:AN182)</f>
        <v>93361949</v>
      </c>
      <c r="AO178" s="902">
        <f>SUM(AO179:AO182)</f>
        <v>159945156</v>
      </c>
      <c r="AP178" s="894">
        <f>SUM(AP179:AP182)</f>
        <v>91241127.340000004</v>
      </c>
      <c r="AQ178" s="901">
        <f t="shared" si="251"/>
        <v>0.24659764145945948</v>
      </c>
      <c r="AR178" s="902">
        <f t="shared" ref="AR178:AX178" si="354">SUM(AR179:AR182)</f>
        <v>247051272</v>
      </c>
      <c r="AS178" s="894">
        <f t="shared" si="354"/>
        <v>4000000</v>
      </c>
      <c r="AT178" s="894">
        <f t="shared" si="354"/>
        <v>4000000</v>
      </c>
      <c r="AU178" s="894">
        <f t="shared" si="354"/>
        <v>360334377</v>
      </c>
      <c r="AV178" s="894">
        <f t="shared" si="354"/>
        <v>359442703</v>
      </c>
      <c r="AW178" s="894">
        <f t="shared" si="354"/>
        <v>247051272</v>
      </c>
      <c r="AX178" s="894">
        <f t="shared" si="354"/>
        <v>244319994</v>
      </c>
      <c r="AY178" s="903">
        <f t="shared" si="247"/>
        <v>0.98894448922327349</v>
      </c>
      <c r="AZ178" s="894">
        <f t="shared" ref="AZ178" si="355">SUM(AZ179:AZ182)</f>
        <v>1344747465</v>
      </c>
      <c r="BA178" s="894">
        <f t="shared" si="254"/>
        <v>1234692753.3399999</v>
      </c>
      <c r="BB178" s="896">
        <f t="shared" si="248"/>
        <v>0.9181595693433785</v>
      </c>
      <c r="BC178" s="962">
        <f t="shared" si="255"/>
        <v>952310929.34000003</v>
      </c>
      <c r="BD178" s="896">
        <f t="shared" si="256"/>
        <v>0.70817083067711906</v>
      </c>
      <c r="BE178" s="902"/>
      <c r="BF178" s="902"/>
      <c r="BG178" s="902"/>
      <c r="BH178" s="902"/>
    </row>
    <row r="179" spans="1:60" s="865" customFormat="1" ht="47.4" customHeight="1">
      <c r="A179" s="1140" t="s">
        <v>1867</v>
      </c>
      <c r="B179" s="1136" t="s">
        <v>1868</v>
      </c>
      <c r="C179" s="937" t="s">
        <v>2086</v>
      </c>
      <c r="D179" s="990">
        <v>0</v>
      </c>
      <c r="E179" s="990">
        <v>1</v>
      </c>
      <c r="F179" s="990">
        <v>1</v>
      </c>
      <c r="G179" s="990">
        <v>1</v>
      </c>
      <c r="H179" s="906">
        <v>0</v>
      </c>
      <c r="I179" s="906">
        <v>0</v>
      </c>
      <c r="J179" s="906">
        <v>1</v>
      </c>
      <c r="K179" s="906">
        <v>1</v>
      </c>
      <c r="L179" s="906"/>
      <c r="M179" s="906">
        <v>1</v>
      </c>
      <c r="N179" s="906"/>
      <c r="O179" s="908">
        <f t="shared" ref="O179:Q182" si="356">+IFERROR(IF((H179+L179)/D179&gt;=100%,100%,(H179+L179)/D179),0)</f>
        <v>0</v>
      </c>
      <c r="P179" s="930">
        <f t="shared" si="356"/>
        <v>1</v>
      </c>
      <c r="Q179" s="930">
        <f t="shared" si="356"/>
        <v>1</v>
      </c>
      <c r="R179" s="908">
        <f t="shared" ref="R179:R182" si="357">+IFERROR(IF(K179/G179&gt;=100%,100%,K179/G179),0)</f>
        <v>1</v>
      </c>
      <c r="S179" s="865" t="s">
        <v>2772</v>
      </c>
      <c r="T179" s="931">
        <v>45291</v>
      </c>
      <c r="U179" s="942" t="s">
        <v>2092</v>
      </c>
      <c r="V179" s="942"/>
      <c r="W179" s="909" t="s">
        <v>2683</v>
      </c>
      <c r="X179" s="933" t="s">
        <v>2185</v>
      </c>
      <c r="Y179" s="869">
        <f t="shared" ref="Y179:Y182" si="358">SUM(D179:G179)</f>
        <v>3</v>
      </c>
      <c r="Z179" s="913">
        <f t="shared" ref="Z179:Z182" si="359">SUM(H179:N179)</f>
        <v>3</v>
      </c>
      <c r="AA179" s="983">
        <f t="shared" ref="AA179:AA182" si="360">IF(Z179/Y179&gt;=100%,100%,Z179/Y179)</f>
        <v>1</v>
      </c>
      <c r="AB179" s="1157">
        <v>0.7</v>
      </c>
      <c r="AC179" s="1157">
        <v>0</v>
      </c>
      <c r="AD179" s="1157">
        <v>0.7</v>
      </c>
      <c r="AE179" s="1163">
        <v>0.73</v>
      </c>
      <c r="AF179" s="1163">
        <v>0.73</v>
      </c>
      <c r="AG179" s="1161">
        <v>300000000</v>
      </c>
      <c r="AH179" s="1158" t="s">
        <v>2095</v>
      </c>
      <c r="AI179" s="1161">
        <v>374032317</v>
      </c>
      <c r="AJ179" s="1161">
        <v>299984495</v>
      </c>
      <c r="AK179" s="1161">
        <v>300000000</v>
      </c>
      <c r="AL179" s="982">
        <f t="shared" si="250"/>
        <v>1</v>
      </c>
      <c r="AM179" s="1158" t="s">
        <v>2095</v>
      </c>
      <c r="AN179" s="1161">
        <v>18822483</v>
      </c>
      <c r="AO179" s="1161">
        <v>55530944</v>
      </c>
      <c r="AP179" s="1161">
        <v>25897691</v>
      </c>
      <c r="AQ179" s="983">
        <f t="shared" si="251"/>
        <v>8.6325636666666664E-2</v>
      </c>
      <c r="AR179" s="915">
        <f t="shared" ref="AR179:AR182" si="361">+AJ179-AO179</f>
        <v>244453551</v>
      </c>
      <c r="AS179" s="1158" t="s">
        <v>2095</v>
      </c>
      <c r="AT179" s="1041">
        <v>0</v>
      </c>
      <c r="AU179" s="1158">
        <v>355209834</v>
      </c>
      <c r="AV179" s="1158">
        <v>354555261</v>
      </c>
      <c r="AW179" s="1158">
        <v>244453551</v>
      </c>
      <c r="AX179" s="1158">
        <v>243623796</v>
      </c>
      <c r="AY179" s="984">
        <f t="shared" si="247"/>
        <v>0.9966056741797954</v>
      </c>
      <c r="AZ179" s="1028">
        <v>980000000</v>
      </c>
      <c r="BA179" s="957">
        <f t="shared" si="254"/>
        <v>974016812</v>
      </c>
      <c r="BB179" s="930">
        <f t="shared" si="248"/>
        <v>0.99389470612244901</v>
      </c>
      <c r="BC179" s="986">
        <f t="shared" si="255"/>
        <v>698430175</v>
      </c>
      <c r="BD179" s="930">
        <f t="shared" si="256"/>
        <v>0.7126838520408163</v>
      </c>
      <c r="BE179" s="987"/>
      <c r="BF179" s="987"/>
      <c r="BG179" s="910" t="s">
        <v>697</v>
      </c>
      <c r="BH179" s="1144" t="s">
        <v>2118</v>
      </c>
    </row>
    <row r="180" spans="1:60" s="865" customFormat="1" ht="47.4" customHeight="1">
      <c r="A180" s="1140" t="s">
        <v>2369</v>
      </c>
      <c r="B180" s="1148" t="s">
        <v>2370</v>
      </c>
      <c r="C180" s="905" t="s">
        <v>1054</v>
      </c>
      <c r="D180" s="1175">
        <v>1</v>
      </c>
      <c r="E180" s="1175">
        <v>1</v>
      </c>
      <c r="F180" s="1175">
        <v>1</v>
      </c>
      <c r="G180" s="1175">
        <v>1</v>
      </c>
      <c r="H180" s="1175">
        <v>1</v>
      </c>
      <c r="I180" s="908">
        <v>1</v>
      </c>
      <c r="J180" s="908">
        <v>0.86</v>
      </c>
      <c r="K180" s="908">
        <v>0.72</v>
      </c>
      <c r="L180" s="906"/>
      <c r="M180" s="906"/>
      <c r="N180" s="906"/>
      <c r="O180" s="908">
        <f t="shared" si="356"/>
        <v>1</v>
      </c>
      <c r="P180" s="930">
        <f t="shared" si="356"/>
        <v>1</v>
      </c>
      <c r="Q180" s="930">
        <f t="shared" si="356"/>
        <v>0.86</v>
      </c>
      <c r="R180" s="908">
        <f t="shared" si="357"/>
        <v>0.72</v>
      </c>
      <c r="S180" s="865" t="s">
        <v>2371</v>
      </c>
      <c r="T180" s="931">
        <v>45291</v>
      </c>
      <c r="U180" s="942"/>
      <c r="V180" s="942"/>
      <c r="W180" s="909"/>
      <c r="X180" s="932"/>
      <c r="Y180" s="908">
        <f t="shared" si="358"/>
        <v>4</v>
      </c>
      <c r="Z180" s="934">
        <f t="shared" si="359"/>
        <v>3.58</v>
      </c>
      <c r="AA180" s="983">
        <f t="shared" si="360"/>
        <v>0.89500000000000002</v>
      </c>
      <c r="AB180" s="1157">
        <v>0.15</v>
      </c>
      <c r="AC180" s="1157">
        <v>0.54</v>
      </c>
      <c r="AD180" s="1157">
        <v>0.15</v>
      </c>
      <c r="AE180" s="1163">
        <v>0.17</v>
      </c>
      <c r="AF180" s="1163">
        <v>0.17</v>
      </c>
      <c r="AG180" s="1142">
        <v>40000000</v>
      </c>
      <c r="AH180" s="1142">
        <v>4000000</v>
      </c>
      <c r="AI180" s="1161">
        <v>39378784</v>
      </c>
      <c r="AJ180" s="1161">
        <v>39979542</v>
      </c>
      <c r="AK180" s="1161">
        <v>40000000</v>
      </c>
      <c r="AL180" s="982">
        <f t="shared" si="250"/>
        <v>1</v>
      </c>
      <c r="AM180" s="1142">
        <v>0</v>
      </c>
      <c r="AN180" s="1161">
        <v>37991373</v>
      </c>
      <c r="AO180" s="1161">
        <v>38483885</v>
      </c>
      <c r="AP180" s="1161">
        <v>39933332</v>
      </c>
      <c r="AQ180" s="983">
        <f t="shared" si="251"/>
        <v>0.99833329999999998</v>
      </c>
      <c r="AR180" s="915">
        <f t="shared" si="361"/>
        <v>1495657</v>
      </c>
      <c r="AS180" s="1142">
        <v>4000000</v>
      </c>
      <c r="AT180" s="1142">
        <v>4000000</v>
      </c>
      <c r="AU180" s="1142">
        <v>1387411</v>
      </c>
      <c r="AV180" s="1142">
        <v>1331802</v>
      </c>
      <c r="AW180" s="1142">
        <v>1495657</v>
      </c>
      <c r="AX180" s="1142">
        <v>400841</v>
      </c>
      <c r="AY180" s="984">
        <f t="shared" si="247"/>
        <v>0.26800329219867924</v>
      </c>
      <c r="AZ180" s="1028">
        <v>140000000</v>
      </c>
      <c r="BA180" s="957">
        <f t="shared" si="254"/>
        <v>123358326</v>
      </c>
      <c r="BB180" s="930">
        <f t="shared" si="248"/>
        <v>0.88113090000000005</v>
      </c>
      <c r="BC180" s="986">
        <f t="shared" si="255"/>
        <v>122141233</v>
      </c>
      <c r="BD180" s="930">
        <f t="shared" si="256"/>
        <v>0.87243737857142856</v>
      </c>
      <c r="BE180" s="987"/>
      <c r="BF180" s="987"/>
      <c r="BG180" s="910" t="s">
        <v>1701</v>
      </c>
      <c r="BH180" s="1144" t="s">
        <v>2118</v>
      </c>
    </row>
    <row r="181" spans="1:60" s="865" customFormat="1" ht="47.25" customHeight="1">
      <c r="A181" s="1164" t="s">
        <v>2372</v>
      </c>
      <c r="B181" s="1148" t="s">
        <v>2373</v>
      </c>
      <c r="C181" s="937" t="s">
        <v>2086</v>
      </c>
      <c r="D181" s="1156">
        <v>0</v>
      </c>
      <c r="E181" s="1156">
        <v>2</v>
      </c>
      <c r="F181" s="1156">
        <v>0</v>
      </c>
      <c r="G181" s="1156">
        <v>0</v>
      </c>
      <c r="H181" s="906">
        <v>0</v>
      </c>
      <c r="I181" s="906">
        <v>0</v>
      </c>
      <c r="J181" s="906">
        <v>0</v>
      </c>
      <c r="K181" s="906"/>
      <c r="L181" s="906"/>
      <c r="M181" s="906">
        <v>1</v>
      </c>
      <c r="N181" s="906"/>
      <c r="O181" s="908">
        <f t="shared" si="356"/>
        <v>0</v>
      </c>
      <c r="P181" s="930">
        <f t="shared" si="356"/>
        <v>0.5</v>
      </c>
      <c r="Q181" s="908">
        <f t="shared" si="356"/>
        <v>0</v>
      </c>
      <c r="R181" s="908">
        <f t="shared" si="357"/>
        <v>0</v>
      </c>
      <c r="U181" s="911"/>
      <c r="V181" s="869"/>
      <c r="W181" s="910"/>
      <c r="X181" s="933"/>
      <c r="Y181" s="869">
        <f t="shared" si="358"/>
        <v>2</v>
      </c>
      <c r="Z181" s="913">
        <f t="shared" si="359"/>
        <v>1</v>
      </c>
      <c r="AA181" s="983">
        <f t="shared" si="360"/>
        <v>0.5</v>
      </c>
      <c r="AB181" s="1157">
        <v>0.08</v>
      </c>
      <c r="AC181" s="1157">
        <v>0</v>
      </c>
      <c r="AD181" s="1157">
        <v>0.08</v>
      </c>
      <c r="AE181" s="1157">
        <v>0</v>
      </c>
      <c r="AF181" s="1157">
        <v>0</v>
      </c>
      <c r="AG181" s="1142">
        <v>0</v>
      </c>
      <c r="AH181" s="1158" t="s">
        <v>2095</v>
      </c>
      <c r="AI181" s="1161">
        <f>40285225*0.81</f>
        <v>32631032.250000004</v>
      </c>
      <c r="AJ181" s="1161">
        <v>0</v>
      </c>
      <c r="AK181" s="1161"/>
      <c r="AL181" s="982" t="e">
        <f t="shared" si="250"/>
        <v>#DIV/0!</v>
      </c>
      <c r="AM181" s="1158" t="s">
        <v>2095</v>
      </c>
      <c r="AN181" s="1161">
        <f>36548093*0.81</f>
        <v>29603955.330000002</v>
      </c>
      <c r="AO181" s="1161">
        <v>0</v>
      </c>
      <c r="AP181" s="1161"/>
      <c r="AQ181" s="983" t="e">
        <f t="shared" si="251"/>
        <v>#DIV/0!</v>
      </c>
      <c r="AR181" s="915">
        <f t="shared" si="361"/>
        <v>0</v>
      </c>
      <c r="AS181" s="1158" t="s">
        <v>2095</v>
      </c>
      <c r="AT181" s="1041">
        <v>0</v>
      </c>
      <c r="AU181" s="1158"/>
      <c r="AV181" s="1158"/>
      <c r="AW181" s="1158"/>
      <c r="AX181" s="1158"/>
      <c r="AY181" s="984" t="e">
        <f t="shared" si="247"/>
        <v>#DIV/0!</v>
      </c>
      <c r="AZ181" s="1028">
        <v>85000000</v>
      </c>
      <c r="BA181" s="957">
        <f t="shared" si="254"/>
        <v>32631032.250000004</v>
      </c>
      <c r="BB181" s="930">
        <f t="shared" si="248"/>
        <v>0.38389449705882356</v>
      </c>
      <c r="BC181" s="986">
        <f t="shared" si="255"/>
        <v>29603955.330000002</v>
      </c>
      <c r="BD181" s="930">
        <f t="shared" si="256"/>
        <v>0.34828182741176472</v>
      </c>
      <c r="BE181" s="987"/>
      <c r="BF181" s="987"/>
      <c r="BG181" s="910" t="s">
        <v>1701</v>
      </c>
      <c r="BH181" s="1355" t="s">
        <v>2118</v>
      </c>
    </row>
    <row r="182" spans="1:60" s="865" customFormat="1" ht="47.4" customHeight="1">
      <c r="A182" s="1164" t="s">
        <v>2374</v>
      </c>
      <c r="B182" s="1148" t="s">
        <v>2375</v>
      </c>
      <c r="C182" s="937" t="s">
        <v>2086</v>
      </c>
      <c r="D182" s="990">
        <v>2</v>
      </c>
      <c r="E182" s="990">
        <v>2</v>
      </c>
      <c r="F182" s="990">
        <v>4</v>
      </c>
      <c r="G182" s="990">
        <v>4</v>
      </c>
      <c r="H182" s="906">
        <v>0</v>
      </c>
      <c r="I182" s="906">
        <v>0</v>
      </c>
      <c r="J182" s="906">
        <v>3</v>
      </c>
      <c r="K182" s="906">
        <v>3</v>
      </c>
      <c r="L182" s="906">
        <v>0</v>
      </c>
      <c r="M182" s="906">
        <v>2</v>
      </c>
      <c r="N182" s="906"/>
      <c r="O182" s="908">
        <f t="shared" si="356"/>
        <v>0</v>
      </c>
      <c r="P182" s="930">
        <f t="shared" si="356"/>
        <v>1</v>
      </c>
      <c r="Q182" s="930">
        <f t="shared" si="356"/>
        <v>0.75</v>
      </c>
      <c r="R182" s="908">
        <f t="shared" si="357"/>
        <v>0.75</v>
      </c>
      <c r="S182" s="865" t="s">
        <v>2773</v>
      </c>
      <c r="T182" s="931">
        <v>45291</v>
      </c>
      <c r="U182" s="942"/>
      <c r="V182" s="942"/>
      <c r="W182" s="909"/>
      <c r="X182" s="933"/>
      <c r="Y182" s="869">
        <f t="shared" si="358"/>
        <v>12</v>
      </c>
      <c r="Z182" s="913">
        <f t="shared" si="359"/>
        <v>8</v>
      </c>
      <c r="AA182" s="983">
        <f t="shared" si="360"/>
        <v>0.66666666666666663</v>
      </c>
      <c r="AB182" s="1157">
        <v>7.0000000000000007E-2</v>
      </c>
      <c r="AC182" s="1157">
        <v>0.46</v>
      </c>
      <c r="AD182" s="1157">
        <v>7.0000000000000007E-2</v>
      </c>
      <c r="AE182" s="1157">
        <v>0.1</v>
      </c>
      <c r="AF182" s="1157">
        <v>0.1</v>
      </c>
      <c r="AG182" s="1142">
        <v>30000000</v>
      </c>
      <c r="AH182" s="1158" t="s">
        <v>2095</v>
      </c>
      <c r="AI182" s="1161">
        <f>40285225*0.19</f>
        <v>7654192.75</v>
      </c>
      <c r="AJ182" s="1161">
        <v>67032391</v>
      </c>
      <c r="AK182" s="1161">
        <v>29999999.34</v>
      </c>
      <c r="AL182" s="982">
        <f t="shared" si="250"/>
        <v>0.99999997799999996</v>
      </c>
      <c r="AM182" s="1158" t="s">
        <v>2095</v>
      </c>
      <c r="AN182" s="1161">
        <f>36548093*0.19</f>
        <v>6944137.6699999999</v>
      </c>
      <c r="AO182" s="1161">
        <v>65930327</v>
      </c>
      <c r="AP182" s="1161">
        <v>25410104.34</v>
      </c>
      <c r="AQ182" s="983">
        <f t="shared" si="251"/>
        <v>0.84700347799999998</v>
      </c>
      <c r="AR182" s="915">
        <f t="shared" si="361"/>
        <v>1102064</v>
      </c>
      <c r="AS182" s="1158" t="s">
        <v>2095</v>
      </c>
      <c r="AT182" s="1041">
        <v>0</v>
      </c>
      <c r="AU182" s="1158">
        <v>3737132</v>
      </c>
      <c r="AV182" s="1158">
        <v>3555640</v>
      </c>
      <c r="AW182" s="1158">
        <v>1102064</v>
      </c>
      <c r="AX182" s="1158">
        <v>295357</v>
      </c>
      <c r="AY182" s="984">
        <f t="shared" si="247"/>
        <v>0.26800349163025017</v>
      </c>
      <c r="AZ182" s="1028">
        <v>139747465</v>
      </c>
      <c r="BA182" s="957">
        <f t="shared" si="254"/>
        <v>104686583.09</v>
      </c>
      <c r="BB182" s="930">
        <f t="shared" si="248"/>
        <v>0.74911257309747981</v>
      </c>
      <c r="BC182" s="986">
        <f t="shared" si="255"/>
        <v>102135566.01000001</v>
      </c>
      <c r="BD182" s="930">
        <f t="shared" si="256"/>
        <v>0.73085809470676266</v>
      </c>
      <c r="BE182" s="987"/>
      <c r="BF182" s="987"/>
      <c r="BG182" s="910" t="s">
        <v>1701</v>
      </c>
      <c r="BH182" s="1345"/>
    </row>
    <row r="183" spans="1:60" s="865" customFormat="1" ht="47.4" customHeight="1">
      <c r="A183" s="893" t="s">
        <v>2376</v>
      </c>
      <c r="B183" s="894"/>
      <c r="C183" s="894"/>
      <c r="D183" s="895"/>
      <c r="E183" s="895"/>
      <c r="F183" s="895"/>
      <c r="G183" s="895"/>
      <c r="H183" s="895"/>
      <c r="I183" s="895"/>
      <c r="J183" s="895"/>
      <c r="K183" s="895"/>
      <c r="L183" s="895"/>
      <c r="M183" s="895"/>
      <c r="N183" s="895"/>
      <c r="O183" s="896">
        <f>+SUMPRODUCT(O184:O189,AC184:AC189)</f>
        <v>1</v>
      </c>
      <c r="P183" s="896">
        <f t="shared" ref="P183:R183" si="362">+SUMPRODUCT(P184:P189,AD184:AD189)</f>
        <v>0.9956521739130435</v>
      </c>
      <c r="Q183" s="896">
        <f t="shared" si="362"/>
        <v>1</v>
      </c>
      <c r="R183" s="896">
        <f t="shared" si="362"/>
        <v>1</v>
      </c>
      <c r="S183" s="1134"/>
      <c r="T183" s="1134"/>
      <c r="U183" s="894"/>
      <c r="V183" s="894"/>
      <c r="W183" s="894"/>
      <c r="X183" s="1134"/>
      <c r="Y183" s="1059"/>
      <c r="Z183" s="897">
        <f t="shared" ref="Z183" si="363">SUM(H183:M183)</f>
        <v>0</v>
      </c>
      <c r="AA183" s="896">
        <f>+SUMPRODUCT(AA184:AA189,AB184:AB189)</f>
        <v>0.99888888888888894</v>
      </c>
      <c r="AB183" s="896">
        <v>0.3</v>
      </c>
      <c r="AC183" s="896">
        <v>0.3</v>
      </c>
      <c r="AD183" s="896">
        <v>0.3</v>
      </c>
      <c r="AE183" s="896">
        <v>0.3</v>
      </c>
      <c r="AF183" s="896">
        <v>0.3</v>
      </c>
      <c r="AG183" s="894">
        <f>SUM(AG184:AG189)</f>
        <v>490000000</v>
      </c>
      <c r="AH183" s="894">
        <f>SUM(AH184:AH189)</f>
        <v>112250000</v>
      </c>
      <c r="AI183" s="894">
        <f>SUM(AI184:AI189)</f>
        <v>985882952</v>
      </c>
      <c r="AJ183" s="894">
        <f>SUM(AJ184:AJ189)</f>
        <v>503140707</v>
      </c>
      <c r="AK183" s="894">
        <f>SUM(AK184:AK189)</f>
        <v>490000000</v>
      </c>
      <c r="AL183" s="900">
        <f t="shared" si="250"/>
        <v>1</v>
      </c>
      <c r="AM183" s="894">
        <f>SUM(AM184:AM189)</f>
        <v>76400000</v>
      </c>
      <c r="AN183" s="894">
        <f>SUM(AN184:AN189)</f>
        <v>608304230</v>
      </c>
      <c r="AO183" s="894">
        <f>SUM(AO184:AO189)</f>
        <v>414078182</v>
      </c>
      <c r="AP183" s="894">
        <f>SUM(AP184:AP189)</f>
        <v>164712808</v>
      </c>
      <c r="AQ183" s="901">
        <f t="shared" si="251"/>
        <v>0.33614858775510204</v>
      </c>
      <c r="AR183" s="902">
        <f t="shared" ref="AR183:AX183" si="364">SUM(AR184:AR189)</f>
        <v>89062525</v>
      </c>
      <c r="AS183" s="894">
        <f t="shared" si="364"/>
        <v>35850000</v>
      </c>
      <c r="AT183" s="894">
        <f t="shared" si="364"/>
        <v>28850000</v>
      </c>
      <c r="AU183" s="894">
        <f t="shared" si="364"/>
        <v>377578722</v>
      </c>
      <c r="AV183" s="894">
        <f t="shared" si="364"/>
        <v>376012435</v>
      </c>
      <c r="AW183" s="894">
        <f t="shared" si="364"/>
        <v>89062525</v>
      </c>
      <c r="AX183" s="894">
        <f t="shared" si="364"/>
        <v>82186496</v>
      </c>
      <c r="AY183" s="903">
        <f t="shared" si="247"/>
        <v>0.92279548553109181</v>
      </c>
      <c r="AZ183" s="894">
        <f t="shared" ref="AZ183" si="365">SUM(AZ184:AZ189)</f>
        <v>2117100000</v>
      </c>
      <c r="BA183" s="894">
        <f t="shared" si="254"/>
        <v>2091273659</v>
      </c>
      <c r="BB183" s="896">
        <f t="shared" si="248"/>
        <v>0.98780107647253323</v>
      </c>
      <c r="BC183" s="962">
        <f t="shared" si="255"/>
        <v>1750544151</v>
      </c>
      <c r="BD183" s="896">
        <f t="shared" si="256"/>
        <v>0.82685945444239761</v>
      </c>
      <c r="BE183" s="902"/>
      <c r="BF183" s="902"/>
      <c r="BG183" s="902"/>
      <c r="BH183" s="902"/>
    </row>
    <row r="184" spans="1:60" s="865" customFormat="1" ht="47.4" customHeight="1">
      <c r="A184" s="1145" t="s">
        <v>2377</v>
      </c>
      <c r="B184" s="1162" t="s">
        <v>2277</v>
      </c>
      <c r="C184" s="937" t="s">
        <v>2086</v>
      </c>
      <c r="D184" s="990">
        <v>0</v>
      </c>
      <c r="E184" s="990">
        <v>2</v>
      </c>
      <c r="F184" s="990">
        <v>0</v>
      </c>
      <c r="G184" s="990">
        <v>2</v>
      </c>
      <c r="H184" s="906">
        <v>0</v>
      </c>
      <c r="I184" s="906">
        <v>0</v>
      </c>
      <c r="J184" s="906">
        <v>0</v>
      </c>
      <c r="K184" s="906">
        <v>2</v>
      </c>
      <c r="L184" s="906"/>
      <c r="M184" s="906">
        <v>2</v>
      </c>
      <c r="N184" s="906"/>
      <c r="O184" s="908">
        <f t="shared" ref="O184:Q189" si="366">+IFERROR(IF((H184+L184)/D184&gt;=100%,100%,(H184+L184)/D184),0)</f>
        <v>0</v>
      </c>
      <c r="P184" s="930">
        <f t="shared" si="366"/>
        <v>1</v>
      </c>
      <c r="Q184" s="908">
        <f t="shared" si="366"/>
        <v>0</v>
      </c>
      <c r="R184" s="908">
        <f t="shared" ref="R184:R189" si="367">+IFERROR(IF(K184/G184&gt;=100%,100%,K184/G184),0)</f>
        <v>1</v>
      </c>
      <c r="S184" s="865" t="s">
        <v>2774</v>
      </c>
      <c r="T184" s="931">
        <v>45291</v>
      </c>
      <c r="U184" s="942" t="s">
        <v>2092</v>
      </c>
      <c r="V184" s="942"/>
      <c r="W184" s="909" t="s">
        <v>2683</v>
      </c>
      <c r="X184" s="933" t="s">
        <v>2250</v>
      </c>
      <c r="Y184" s="869">
        <f t="shared" ref="Y184:Y189" si="368">SUM(D184:G184)</f>
        <v>4</v>
      </c>
      <c r="Z184" s="913">
        <f t="shared" ref="Z184:Z189" si="369">SUM(H184:N184)</f>
        <v>4</v>
      </c>
      <c r="AA184" s="983">
        <f t="shared" ref="AA184:AA189" si="370">IF(Z184/Y184&gt;=100%,100%,Z184/Y184)</f>
        <v>1</v>
      </c>
      <c r="AB184" s="1166">
        <v>0.3</v>
      </c>
      <c r="AC184" s="1166">
        <v>0</v>
      </c>
      <c r="AD184" s="1166">
        <v>0.3</v>
      </c>
      <c r="AE184" s="1166">
        <v>0</v>
      </c>
      <c r="AF184" s="1166">
        <v>0.4</v>
      </c>
      <c r="AG184" s="1143">
        <v>350000000</v>
      </c>
      <c r="AH184" s="1143" t="s">
        <v>2095</v>
      </c>
      <c r="AI184" s="1143">
        <v>374099447</v>
      </c>
      <c r="AJ184" s="1143">
        <v>0</v>
      </c>
      <c r="AK184" s="1143">
        <v>350000000</v>
      </c>
      <c r="AL184" s="982">
        <f t="shared" si="250"/>
        <v>1</v>
      </c>
      <c r="AM184" s="1143" t="s">
        <v>2095</v>
      </c>
      <c r="AN184" s="1143">
        <v>360589843</v>
      </c>
      <c r="AO184" s="1143">
        <v>0</v>
      </c>
      <c r="AP184" s="1143">
        <v>28356479</v>
      </c>
      <c r="AQ184" s="983">
        <f t="shared" si="251"/>
        <v>8.101851142857143E-2</v>
      </c>
      <c r="AR184" s="915">
        <f t="shared" ref="AR184:AR189" si="371">+AJ184-AO184</f>
        <v>0</v>
      </c>
      <c r="AS184" s="1143" t="s">
        <v>2095</v>
      </c>
      <c r="AT184" s="1041">
        <v>0</v>
      </c>
      <c r="AU184" s="1143">
        <v>13509604</v>
      </c>
      <c r="AV184" s="1143">
        <v>12862284</v>
      </c>
      <c r="AW184" s="1143"/>
      <c r="AX184" s="1143"/>
      <c r="AY184" s="984" t="e">
        <f t="shared" si="247"/>
        <v>#DIV/0!</v>
      </c>
      <c r="AZ184" s="1028">
        <v>730000000</v>
      </c>
      <c r="BA184" s="957">
        <f t="shared" si="254"/>
        <v>724099447</v>
      </c>
      <c r="BB184" s="930">
        <f t="shared" si="248"/>
        <v>0.99191705068493152</v>
      </c>
      <c r="BC184" s="986">
        <f t="shared" si="255"/>
        <v>401808606</v>
      </c>
      <c r="BD184" s="930">
        <f t="shared" si="256"/>
        <v>0.55042274794520551</v>
      </c>
      <c r="BE184" s="987"/>
      <c r="BF184" s="987"/>
      <c r="BG184" s="909" t="s">
        <v>1701</v>
      </c>
      <c r="BH184" s="1162" t="s">
        <v>2378</v>
      </c>
    </row>
    <row r="185" spans="1:60" s="865" customFormat="1" ht="47.4" customHeight="1">
      <c r="A185" s="1145" t="s">
        <v>2379</v>
      </c>
      <c r="B185" s="1162" t="s">
        <v>2380</v>
      </c>
      <c r="C185" s="937" t="s">
        <v>2086</v>
      </c>
      <c r="D185" s="990">
        <v>23</v>
      </c>
      <c r="E185" s="990">
        <v>23</v>
      </c>
      <c r="F185" s="990">
        <v>22</v>
      </c>
      <c r="G185" s="990">
        <v>22</v>
      </c>
      <c r="H185" s="906">
        <v>23</v>
      </c>
      <c r="I185" s="906">
        <v>22</v>
      </c>
      <c r="J185" s="906">
        <v>22</v>
      </c>
      <c r="K185" s="906">
        <v>22</v>
      </c>
      <c r="L185" s="906"/>
      <c r="M185" s="906"/>
      <c r="N185" s="906"/>
      <c r="O185" s="908">
        <f t="shared" si="366"/>
        <v>1</v>
      </c>
      <c r="P185" s="930">
        <f t="shared" si="366"/>
        <v>0.95652173913043481</v>
      </c>
      <c r="Q185" s="930">
        <f t="shared" si="366"/>
        <v>1</v>
      </c>
      <c r="R185" s="908">
        <f t="shared" si="367"/>
        <v>1</v>
      </c>
      <c r="S185" s="1154" t="s">
        <v>2775</v>
      </c>
      <c r="T185" s="931">
        <v>45291</v>
      </c>
      <c r="U185" s="942"/>
      <c r="V185" s="942"/>
      <c r="W185" s="909"/>
      <c r="X185" s="933"/>
      <c r="Y185" s="869">
        <f t="shared" si="368"/>
        <v>90</v>
      </c>
      <c r="Z185" s="913">
        <f t="shared" si="369"/>
        <v>89</v>
      </c>
      <c r="AA185" s="983">
        <f t="shared" si="370"/>
        <v>0.98888888888888893</v>
      </c>
      <c r="AB185" s="1166">
        <v>0.1</v>
      </c>
      <c r="AC185" s="1166">
        <v>0.34</v>
      </c>
      <c r="AD185" s="1166">
        <v>0.1</v>
      </c>
      <c r="AE185" s="1166">
        <v>0.2</v>
      </c>
      <c r="AF185" s="1166">
        <v>0.2</v>
      </c>
      <c r="AG185" s="1167">
        <v>50000000</v>
      </c>
      <c r="AH185" s="1143">
        <v>40000000</v>
      </c>
      <c r="AI185" s="1143">
        <v>49223482</v>
      </c>
      <c r="AJ185" s="1143">
        <v>60592560</v>
      </c>
      <c r="AK185" s="1143">
        <v>50000000</v>
      </c>
      <c r="AL185" s="982">
        <f t="shared" si="250"/>
        <v>1</v>
      </c>
      <c r="AM185" s="1143">
        <v>29400000</v>
      </c>
      <c r="AN185" s="1143">
        <v>47478795</v>
      </c>
      <c r="AO185" s="1143">
        <v>57729805</v>
      </c>
      <c r="AP185" s="1143">
        <v>48719169</v>
      </c>
      <c r="AQ185" s="983">
        <f t="shared" si="251"/>
        <v>0.97438338000000002</v>
      </c>
      <c r="AR185" s="915">
        <f t="shared" si="371"/>
        <v>2862755</v>
      </c>
      <c r="AS185" s="1143">
        <v>10600000</v>
      </c>
      <c r="AT185" s="1143">
        <v>3600000</v>
      </c>
      <c r="AU185" s="1143">
        <v>1744687</v>
      </c>
      <c r="AV185" s="1143">
        <v>1675176</v>
      </c>
      <c r="AW185" s="1143">
        <v>2862755</v>
      </c>
      <c r="AX185" s="1143">
        <v>1398496</v>
      </c>
      <c r="AY185" s="984">
        <f t="shared" si="247"/>
        <v>0.48851403630418949</v>
      </c>
      <c r="AZ185" s="985">
        <v>200800000</v>
      </c>
      <c r="BA185" s="957">
        <f t="shared" si="254"/>
        <v>199816042</v>
      </c>
      <c r="BB185" s="930">
        <f t="shared" si="248"/>
        <v>0.99509981075697207</v>
      </c>
      <c r="BC185" s="986">
        <f t="shared" si="255"/>
        <v>190001441</v>
      </c>
      <c r="BD185" s="930">
        <f t="shared" si="256"/>
        <v>0.94622231573705184</v>
      </c>
      <c r="BE185" s="987"/>
      <c r="BF185" s="987"/>
      <c r="BG185" s="909" t="s">
        <v>629</v>
      </c>
      <c r="BH185" s="1162" t="s">
        <v>2381</v>
      </c>
    </row>
    <row r="186" spans="1:60" s="865" customFormat="1" ht="47.4" customHeight="1">
      <c r="A186" s="1145" t="s">
        <v>2382</v>
      </c>
      <c r="B186" s="1162" t="s">
        <v>2383</v>
      </c>
      <c r="C186" s="905" t="s">
        <v>1054</v>
      </c>
      <c r="D186" s="1175">
        <v>1</v>
      </c>
      <c r="E186" s="1175">
        <v>1</v>
      </c>
      <c r="F186" s="1175">
        <v>1</v>
      </c>
      <c r="G186" s="1175">
        <v>1</v>
      </c>
      <c r="H186" s="1175">
        <v>1</v>
      </c>
      <c r="I186" s="908">
        <v>1</v>
      </c>
      <c r="J186" s="908">
        <v>1</v>
      </c>
      <c r="K186" s="908">
        <v>1</v>
      </c>
      <c r="L186" s="906"/>
      <c r="M186" s="906"/>
      <c r="N186" s="906"/>
      <c r="O186" s="908">
        <f t="shared" si="366"/>
        <v>1</v>
      </c>
      <c r="P186" s="930">
        <f t="shared" si="366"/>
        <v>1</v>
      </c>
      <c r="Q186" s="930">
        <f t="shared" si="366"/>
        <v>1</v>
      </c>
      <c r="R186" s="908">
        <f t="shared" si="367"/>
        <v>1</v>
      </c>
      <c r="S186" s="1154" t="s">
        <v>2384</v>
      </c>
      <c r="T186" s="931">
        <v>45291</v>
      </c>
      <c r="U186" s="942"/>
      <c r="V186" s="942"/>
      <c r="W186" s="909"/>
      <c r="X186" s="933"/>
      <c r="Y186" s="908">
        <f t="shared" si="368"/>
        <v>4</v>
      </c>
      <c r="Z186" s="913">
        <f t="shared" si="369"/>
        <v>4</v>
      </c>
      <c r="AA186" s="983">
        <f t="shared" si="370"/>
        <v>1</v>
      </c>
      <c r="AB186" s="1166">
        <v>0.1</v>
      </c>
      <c r="AC186" s="1166">
        <v>0.33</v>
      </c>
      <c r="AD186" s="1166">
        <v>0.1</v>
      </c>
      <c r="AE186" s="1166">
        <v>0.2</v>
      </c>
      <c r="AF186" s="1166">
        <v>0.2</v>
      </c>
      <c r="AG186" s="1167">
        <v>50000000</v>
      </c>
      <c r="AH186" s="1143">
        <v>37050000</v>
      </c>
      <c r="AI186" s="1143">
        <v>49223482</v>
      </c>
      <c r="AJ186" s="1143">
        <v>53149498</v>
      </c>
      <c r="AK186" s="1143">
        <v>50000000</v>
      </c>
      <c r="AL186" s="982">
        <f t="shared" si="250"/>
        <v>1</v>
      </c>
      <c r="AM186" s="1143">
        <v>24800000</v>
      </c>
      <c r="AN186" s="1143">
        <v>47478795</v>
      </c>
      <c r="AO186" s="1143">
        <v>50628865</v>
      </c>
      <c r="AP186" s="1143">
        <v>48396420</v>
      </c>
      <c r="AQ186" s="983">
        <f t="shared" si="251"/>
        <v>0.96792840000000002</v>
      </c>
      <c r="AR186" s="915">
        <f t="shared" si="371"/>
        <v>2520633</v>
      </c>
      <c r="AS186" s="1143">
        <v>12250000</v>
      </c>
      <c r="AT186" s="1143">
        <v>12250000</v>
      </c>
      <c r="AU186" s="1143">
        <v>1744687</v>
      </c>
      <c r="AV186" s="1143">
        <v>1675176</v>
      </c>
      <c r="AW186" s="1143">
        <v>2520633</v>
      </c>
      <c r="AX186" s="1143">
        <v>1085031</v>
      </c>
      <c r="AY186" s="984">
        <f t="shared" si="247"/>
        <v>0.43045972975835833</v>
      </c>
      <c r="AZ186" s="985">
        <v>196300000</v>
      </c>
      <c r="BA186" s="957">
        <f t="shared" si="254"/>
        <v>189422980</v>
      </c>
      <c r="BB186" s="930">
        <f t="shared" si="248"/>
        <v>0.96496678553234849</v>
      </c>
      <c r="BC186" s="986">
        <f t="shared" si="255"/>
        <v>186314287</v>
      </c>
      <c r="BD186" s="930">
        <f t="shared" si="256"/>
        <v>0.94913034640855831</v>
      </c>
      <c r="BE186" s="987"/>
      <c r="BF186" s="987"/>
      <c r="BG186" s="909" t="s">
        <v>1701</v>
      </c>
      <c r="BH186" s="1162" t="s">
        <v>2293</v>
      </c>
    </row>
    <row r="187" spans="1:60" s="865" customFormat="1" ht="47.4" customHeight="1">
      <c r="A187" s="1145" t="s">
        <v>2385</v>
      </c>
      <c r="B187" s="1162" t="s">
        <v>2386</v>
      </c>
      <c r="C187" s="905" t="s">
        <v>1054</v>
      </c>
      <c r="D187" s="1175">
        <v>1</v>
      </c>
      <c r="E187" s="1175">
        <v>1</v>
      </c>
      <c r="F187" s="1175">
        <v>1</v>
      </c>
      <c r="G187" s="1175">
        <v>1</v>
      </c>
      <c r="H187" s="1175">
        <v>1</v>
      </c>
      <c r="I187" s="908">
        <v>1</v>
      </c>
      <c r="J187" s="914">
        <v>1</v>
      </c>
      <c r="K187" s="914">
        <v>1</v>
      </c>
      <c r="L187" s="906"/>
      <c r="M187" s="906"/>
      <c r="N187" s="906"/>
      <c r="O187" s="908">
        <f t="shared" si="366"/>
        <v>1</v>
      </c>
      <c r="P187" s="930">
        <f t="shared" si="366"/>
        <v>1</v>
      </c>
      <c r="Q187" s="930">
        <f t="shared" si="366"/>
        <v>1</v>
      </c>
      <c r="R187" s="908">
        <f t="shared" si="367"/>
        <v>1</v>
      </c>
      <c r="S187" s="1154" t="s">
        <v>2776</v>
      </c>
      <c r="T187" s="931">
        <v>45291</v>
      </c>
      <c r="U187" s="942"/>
      <c r="V187" s="942"/>
      <c r="W187" s="909"/>
      <c r="X187" s="932"/>
      <c r="Y187" s="908">
        <f t="shared" si="368"/>
        <v>4</v>
      </c>
      <c r="Z187" s="913">
        <f t="shared" si="369"/>
        <v>4</v>
      </c>
      <c r="AA187" s="983">
        <f t="shared" si="370"/>
        <v>1</v>
      </c>
      <c r="AB187" s="1166">
        <v>0.1</v>
      </c>
      <c r="AC187" s="1166">
        <v>0.33</v>
      </c>
      <c r="AD187" s="1166">
        <v>0.1</v>
      </c>
      <c r="AE187" s="1166">
        <v>0.2</v>
      </c>
      <c r="AF187" s="1166">
        <v>0.2</v>
      </c>
      <c r="AG187" s="1167">
        <v>40000000</v>
      </c>
      <c r="AH187" s="1143">
        <v>35200000</v>
      </c>
      <c r="AI187" s="1143">
        <v>39466418</v>
      </c>
      <c r="AJ187" s="1143">
        <v>39979542</v>
      </c>
      <c r="AK187" s="1143">
        <v>40000000</v>
      </c>
      <c r="AL187" s="982">
        <f t="shared" si="250"/>
        <v>1</v>
      </c>
      <c r="AM187" s="1143">
        <v>22200000</v>
      </c>
      <c r="AN187" s="1143">
        <v>37943187</v>
      </c>
      <c r="AO187" s="1143">
        <v>38483885</v>
      </c>
      <c r="AP187" s="1143">
        <v>39240740</v>
      </c>
      <c r="AQ187" s="983">
        <f t="shared" si="251"/>
        <v>0.98101850000000002</v>
      </c>
      <c r="AR187" s="915">
        <f t="shared" si="371"/>
        <v>1495657</v>
      </c>
      <c r="AS187" s="1143">
        <v>13000000</v>
      </c>
      <c r="AT187" s="1143">
        <v>13000000</v>
      </c>
      <c r="AU187" s="1143">
        <v>1523231</v>
      </c>
      <c r="AV187" s="1143">
        <v>1472867</v>
      </c>
      <c r="AW187" s="1143">
        <v>1495657</v>
      </c>
      <c r="AX187" s="1143">
        <v>400841</v>
      </c>
      <c r="AY187" s="984">
        <f t="shared" si="247"/>
        <v>0.26800329219867924</v>
      </c>
      <c r="AZ187" s="985">
        <v>160000000</v>
      </c>
      <c r="BA187" s="957">
        <f t="shared" si="254"/>
        <v>154645960</v>
      </c>
      <c r="BB187" s="992">
        <f t="shared" si="248"/>
        <v>0.96653725000000001</v>
      </c>
      <c r="BC187" s="992">
        <f t="shared" si="255"/>
        <v>152741520</v>
      </c>
      <c r="BD187" s="993">
        <f t="shared" si="256"/>
        <v>0.95463450000000005</v>
      </c>
      <c r="BE187" s="987"/>
      <c r="BF187" s="987"/>
      <c r="BG187" s="909" t="s">
        <v>1060</v>
      </c>
      <c r="BH187" s="1162" t="s">
        <v>2201</v>
      </c>
    </row>
    <row r="188" spans="1:60" s="865" customFormat="1" ht="106.5" customHeight="1">
      <c r="A188" s="1145" t="s">
        <v>2387</v>
      </c>
      <c r="B188" s="1162" t="s">
        <v>2388</v>
      </c>
      <c r="C188" s="937" t="s">
        <v>2086</v>
      </c>
      <c r="D188" s="1165">
        <v>0</v>
      </c>
      <c r="E188" s="1165">
        <v>1</v>
      </c>
      <c r="F188" s="1165">
        <v>0</v>
      </c>
      <c r="G188" s="1165">
        <v>0</v>
      </c>
      <c r="H188" s="1165">
        <v>0</v>
      </c>
      <c r="I188" s="906">
        <v>0</v>
      </c>
      <c r="J188" s="906">
        <v>0</v>
      </c>
      <c r="K188" s="906"/>
      <c r="L188" s="906"/>
      <c r="M188" s="906">
        <v>1</v>
      </c>
      <c r="N188" s="906"/>
      <c r="O188" s="908">
        <f t="shared" si="366"/>
        <v>0</v>
      </c>
      <c r="P188" s="930">
        <f t="shared" si="366"/>
        <v>1</v>
      </c>
      <c r="Q188" s="908">
        <f t="shared" si="366"/>
        <v>0</v>
      </c>
      <c r="R188" s="908">
        <f t="shared" si="367"/>
        <v>0</v>
      </c>
      <c r="U188" s="911"/>
      <c r="V188" s="869"/>
      <c r="W188" s="910"/>
      <c r="Y188" s="869">
        <f t="shared" si="368"/>
        <v>1</v>
      </c>
      <c r="Z188" s="913">
        <f t="shared" si="369"/>
        <v>1</v>
      </c>
      <c r="AA188" s="983">
        <f t="shared" si="370"/>
        <v>1</v>
      </c>
      <c r="AB188" s="1166">
        <v>0.1</v>
      </c>
      <c r="AC188" s="1166">
        <v>0</v>
      </c>
      <c r="AD188" s="1166">
        <v>0.1</v>
      </c>
      <c r="AE188" s="1166">
        <v>0</v>
      </c>
      <c r="AF188" s="1166">
        <v>0</v>
      </c>
      <c r="AG188" s="1143">
        <v>0</v>
      </c>
      <c r="AH188" s="1143" t="s">
        <v>2095</v>
      </c>
      <c r="AI188" s="1143">
        <v>98446960</v>
      </c>
      <c r="AJ188" s="1143">
        <v>0</v>
      </c>
      <c r="AK188" s="1143">
        <v>0</v>
      </c>
      <c r="AL188" s="982" t="e">
        <f t="shared" si="250"/>
        <v>#DIV/0!</v>
      </c>
      <c r="AM188" s="1143" t="s">
        <v>2095</v>
      </c>
      <c r="AN188" s="1143">
        <v>51582590</v>
      </c>
      <c r="AO188" s="1143">
        <v>0</v>
      </c>
      <c r="AP188" s="1143"/>
      <c r="AQ188" s="983" t="e">
        <f t="shared" si="251"/>
        <v>#DIV/0!</v>
      </c>
      <c r="AR188" s="915">
        <f t="shared" si="371"/>
        <v>0</v>
      </c>
      <c r="AS188" s="1143" t="s">
        <v>2095</v>
      </c>
      <c r="AT188" s="1041">
        <v>0</v>
      </c>
      <c r="AU188" s="1143">
        <v>46864370</v>
      </c>
      <c r="AV188" s="1143">
        <v>46676104</v>
      </c>
      <c r="AW188" s="1143"/>
      <c r="AX188" s="1143"/>
      <c r="AY188" s="984" t="e">
        <f t="shared" si="247"/>
        <v>#DIV/0!</v>
      </c>
      <c r="AZ188" s="1028">
        <v>100000000</v>
      </c>
      <c r="BA188" s="957">
        <f t="shared" si="254"/>
        <v>98446960</v>
      </c>
      <c r="BB188" s="983">
        <f t="shared" si="248"/>
        <v>0.98446959999999994</v>
      </c>
      <c r="BC188" s="986">
        <f t="shared" si="255"/>
        <v>98258694</v>
      </c>
      <c r="BD188" s="930">
        <f t="shared" si="256"/>
        <v>0.98258694000000002</v>
      </c>
      <c r="BE188" s="987"/>
      <c r="BF188" s="987"/>
      <c r="BG188" s="909" t="s">
        <v>1701</v>
      </c>
      <c r="BH188" s="1162" t="s">
        <v>2381</v>
      </c>
    </row>
    <row r="189" spans="1:60" s="865" customFormat="1" ht="94.5" customHeight="1">
      <c r="A189" s="1145" t="s">
        <v>2389</v>
      </c>
      <c r="B189" s="1162" t="s">
        <v>2390</v>
      </c>
      <c r="C189" s="937" t="s">
        <v>2086</v>
      </c>
      <c r="D189" s="1165">
        <v>0</v>
      </c>
      <c r="E189" s="1165">
        <v>2</v>
      </c>
      <c r="F189" s="1165">
        <v>2</v>
      </c>
      <c r="G189" s="1165">
        <v>0</v>
      </c>
      <c r="H189" s="1165">
        <v>0</v>
      </c>
      <c r="I189" s="906">
        <v>0</v>
      </c>
      <c r="J189" s="906">
        <v>2</v>
      </c>
      <c r="K189" s="906"/>
      <c r="L189" s="906"/>
      <c r="M189" s="906">
        <v>2</v>
      </c>
      <c r="N189" s="906"/>
      <c r="O189" s="908">
        <f t="shared" si="366"/>
        <v>0</v>
      </c>
      <c r="P189" s="930">
        <f t="shared" si="366"/>
        <v>1</v>
      </c>
      <c r="Q189" s="930">
        <f t="shared" si="366"/>
        <v>1</v>
      </c>
      <c r="R189" s="908">
        <f t="shared" si="367"/>
        <v>0</v>
      </c>
      <c r="U189" s="942"/>
      <c r="V189" s="942"/>
      <c r="W189" s="909"/>
      <c r="X189" s="932"/>
      <c r="Y189" s="869">
        <f t="shared" si="368"/>
        <v>4</v>
      </c>
      <c r="Z189" s="913">
        <f t="shared" si="369"/>
        <v>4</v>
      </c>
      <c r="AA189" s="983">
        <f t="shared" si="370"/>
        <v>1</v>
      </c>
      <c r="AB189" s="1166">
        <v>0.3</v>
      </c>
      <c r="AC189" s="1166">
        <v>0</v>
      </c>
      <c r="AD189" s="1166">
        <v>0.3</v>
      </c>
      <c r="AE189" s="1166">
        <v>0.4</v>
      </c>
      <c r="AF189" s="1166">
        <v>0</v>
      </c>
      <c r="AG189" s="1143">
        <v>0</v>
      </c>
      <c r="AH189" s="1143" t="s">
        <v>2095</v>
      </c>
      <c r="AI189" s="1143">
        <v>375423163</v>
      </c>
      <c r="AJ189" s="1143">
        <v>349419107</v>
      </c>
      <c r="AK189" s="1143">
        <v>0</v>
      </c>
      <c r="AL189" s="982" t="e">
        <f t="shared" si="250"/>
        <v>#DIV/0!</v>
      </c>
      <c r="AM189" s="1143" t="s">
        <v>2095</v>
      </c>
      <c r="AN189" s="1143">
        <v>63231020</v>
      </c>
      <c r="AO189" s="1143">
        <v>267235627</v>
      </c>
      <c r="AP189" s="1143"/>
      <c r="AQ189" s="983" t="e">
        <f t="shared" si="251"/>
        <v>#DIV/0!</v>
      </c>
      <c r="AR189" s="915">
        <f t="shared" si="371"/>
        <v>82183480</v>
      </c>
      <c r="AS189" s="1143" t="s">
        <v>2095</v>
      </c>
      <c r="AT189" s="1041">
        <v>0</v>
      </c>
      <c r="AU189" s="1143">
        <v>312192143</v>
      </c>
      <c r="AV189" s="1143">
        <v>311650828</v>
      </c>
      <c r="AW189" s="1143">
        <v>82183480</v>
      </c>
      <c r="AX189" s="1143">
        <v>79302128</v>
      </c>
      <c r="AY189" s="984">
        <f t="shared" si="247"/>
        <v>0.96494000984139394</v>
      </c>
      <c r="AZ189" s="1028">
        <v>730000000</v>
      </c>
      <c r="BA189" s="957">
        <f t="shared" si="254"/>
        <v>724842270</v>
      </c>
      <c r="BB189" s="930">
        <f t="shared" si="248"/>
        <v>0.99293461643835612</v>
      </c>
      <c r="BC189" s="986">
        <f t="shared" si="255"/>
        <v>721419603</v>
      </c>
      <c r="BD189" s="930">
        <f t="shared" si="256"/>
        <v>0.98824603150684931</v>
      </c>
      <c r="BE189" s="987"/>
      <c r="BF189" s="987"/>
      <c r="BG189" s="909" t="s">
        <v>1701</v>
      </c>
      <c r="BH189" s="1162" t="s">
        <v>2381</v>
      </c>
    </row>
    <row r="190" spans="1:60" s="892" customFormat="1" ht="47.4" customHeight="1">
      <c r="A190" s="882" t="s">
        <v>2391</v>
      </c>
      <c r="B190" s="883"/>
      <c r="C190" s="883"/>
      <c r="D190" s="884"/>
      <c r="E190" s="884"/>
      <c r="F190" s="1065"/>
      <c r="G190" s="1065"/>
      <c r="H190" s="884"/>
      <c r="I190" s="884"/>
      <c r="J190" s="1065"/>
      <c r="K190" s="1065"/>
      <c r="L190" s="884"/>
      <c r="M190" s="884"/>
      <c r="N190" s="884"/>
      <c r="O190" s="885">
        <f>+(O191*AC191)+(O200*AC200)</f>
        <v>0.93160000000000009</v>
      </c>
      <c r="P190" s="885">
        <f t="shared" ref="P190:R190" si="372">+(P191*AD191)+(P200*AD200)</f>
        <v>0.87463539999999995</v>
      </c>
      <c r="Q190" s="885">
        <f t="shared" si="372"/>
        <v>0.72863999999999995</v>
      </c>
      <c r="R190" s="885">
        <f t="shared" si="372"/>
        <v>0.81399999999999995</v>
      </c>
      <c r="S190" s="1132"/>
      <c r="T190" s="1132"/>
      <c r="U190" s="883"/>
      <c r="V190" s="883"/>
      <c r="W190" s="883"/>
      <c r="X190" s="1132"/>
      <c r="Y190" s="1133"/>
      <c r="Z190" s="886"/>
      <c r="AA190" s="885">
        <f>+(AA191*AB191)+(AA200*AB200)</f>
        <v>0.89834049999999999</v>
      </c>
      <c r="AB190" s="885">
        <v>0.25</v>
      </c>
      <c r="AC190" s="885">
        <v>0.28999999999999998</v>
      </c>
      <c r="AD190" s="885">
        <v>0.28999999999999998</v>
      </c>
      <c r="AE190" s="885">
        <v>0.25</v>
      </c>
      <c r="AF190" s="885">
        <v>0.25</v>
      </c>
      <c r="AG190" s="883">
        <f>+AG191+AG200</f>
        <v>1560000000</v>
      </c>
      <c r="AH190" s="883">
        <f>+AH191+AH200</f>
        <v>1771156569</v>
      </c>
      <c r="AI190" s="883">
        <f>+AI191+AI200</f>
        <v>2156403564</v>
      </c>
      <c r="AJ190" s="883">
        <f>+AJ191+AJ200</f>
        <v>1754989156</v>
      </c>
      <c r="AK190" s="883">
        <f>+AK191+AK200</f>
        <v>1560000000</v>
      </c>
      <c r="AL190" s="888">
        <f t="shared" si="250"/>
        <v>1</v>
      </c>
      <c r="AM190" s="883">
        <f>+AM191+AM200</f>
        <v>1408480736</v>
      </c>
      <c r="AN190" s="883">
        <f>+AN191+AN200</f>
        <v>1910274275</v>
      </c>
      <c r="AO190" s="883">
        <f>+AO191+AO200</f>
        <v>1716641085</v>
      </c>
      <c r="AP190" s="883">
        <f>+AP191+AP200</f>
        <v>1506659765</v>
      </c>
      <c r="AQ190" s="890">
        <f t="shared" si="251"/>
        <v>0.96580754166666671</v>
      </c>
      <c r="AR190" s="883">
        <f t="shared" ref="AR190:AX190" si="373">+AR191+AR200</f>
        <v>38348071</v>
      </c>
      <c r="AS190" s="883">
        <f t="shared" si="373"/>
        <v>362675833</v>
      </c>
      <c r="AT190" s="883">
        <f t="shared" si="373"/>
        <v>344200542</v>
      </c>
      <c r="AU190" s="883">
        <f t="shared" si="373"/>
        <v>246129289</v>
      </c>
      <c r="AV190" s="883">
        <f t="shared" si="373"/>
        <v>207989706</v>
      </c>
      <c r="AW190" s="883">
        <f t="shared" si="373"/>
        <v>38348071</v>
      </c>
      <c r="AX190" s="883">
        <f t="shared" si="373"/>
        <v>33136612.789999999</v>
      </c>
      <c r="AY190" s="891">
        <f t="shared" si="247"/>
        <v>0.86410116404551351</v>
      </c>
      <c r="AZ190" s="883">
        <f t="shared" ref="AZ190" si="374">+AZ191+AZ200</f>
        <v>7357719358</v>
      </c>
      <c r="BA190" s="883">
        <f t="shared" si="254"/>
        <v>7242549289</v>
      </c>
      <c r="BB190" s="890">
        <f t="shared" si="248"/>
        <v>0.98434704241949966</v>
      </c>
      <c r="BC190" s="967">
        <f t="shared" si="255"/>
        <v>7127382721.79</v>
      </c>
      <c r="BD190" s="885">
        <f t="shared" si="256"/>
        <v>0.96869456077316174</v>
      </c>
      <c r="BE190" s="883"/>
      <c r="BF190" s="883" t="s">
        <v>1692</v>
      </c>
      <c r="BG190" s="883"/>
      <c r="BH190" s="883"/>
    </row>
    <row r="191" spans="1:60" s="865" customFormat="1" ht="47.4" customHeight="1">
      <c r="A191" s="893" t="s">
        <v>2392</v>
      </c>
      <c r="B191" s="894"/>
      <c r="C191" s="894"/>
      <c r="D191" s="895"/>
      <c r="E191" s="895"/>
      <c r="F191" s="895"/>
      <c r="G191" s="895"/>
      <c r="H191" s="895"/>
      <c r="I191" s="895"/>
      <c r="J191" s="895"/>
      <c r="K191" s="895"/>
      <c r="L191" s="895"/>
      <c r="M191" s="895"/>
      <c r="N191" s="895"/>
      <c r="O191" s="896">
        <f>+SUMPRODUCT(O192:O199,AC192:AC199)</f>
        <v>0.93160000000000009</v>
      </c>
      <c r="P191" s="896">
        <f t="shared" ref="P191:R191" si="375">+SUMPRODUCT(P192:P199,AD192:AD199)</f>
        <v>0.86070599999999997</v>
      </c>
      <c r="Q191" s="896">
        <f t="shared" si="375"/>
        <v>0.80959999999999999</v>
      </c>
      <c r="R191" s="896">
        <f t="shared" si="375"/>
        <v>0.81399999999999995</v>
      </c>
      <c r="S191" s="1134"/>
      <c r="T191" s="1134"/>
      <c r="U191" s="894"/>
      <c r="V191" s="894"/>
      <c r="W191" s="894"/>
      <c r="X191" s="1134"/>
      <c r="Y191" s="1059"/>
      <c r="Z191" s="897"/>
      <c r="AA191" s="896">
        <f>+SUMPRODUCT(AA192:AA199,AB192:AB199)</f>
        <v>0.88704499999999997</v>
      </c>
      <c r="AB191" s="896">
        <v>0.9</v>
      </c>
      <c r="AC191" s="896">
        <v>1</v>
      </c>
      <c r="AD191" s="896">
        <v>0.9</v>
      </c>
      <c r="AE191" s="896">
        <v>0.9</v>
      </c>
      <c r="AF191" s="896">
        <v>1</v>
      </c>
      <c r="AG191" s="894">
        <f>SUM(AG192:AG199)</f>
        <v>1560000000</v>
      </c>
      <c r="AH191" s="894">
        <f>SUM(AH192:AH199)</f>
        <v>1771156569</v>
      </c>
      <c r="AI191" s="894">
        <f>SUM(AI192:AI199)</f>
        <v>1912286166</v>
      </c>
      <c r="AJ191" s="894">
        <f>SUM(AJ192:AJ199)</f>
        <v>1754989156</v>
      </c>
      <c r="AK191" s="894">
        <f>SUM(AK192:AK199)</f>
        <v>1560000000</v>
      </c>
      <c r="AL191" s="900">
        <f t="shared" si="250"/>
        <v>1</v>
      </c>
      <c r="AM191" s="894">
        <f>SUM(AM192:AM199)</f>
        <v>1408480736</v>
      </c>
      <c r="AN191" s="902">
        <f>SUM(AN192:AN199)</f>
        <v>1688979721</v>
      </c>
      <c r="AO191" s="902">
        <f>SUM(AO192:AO199)</f>
        <v>1716641085</v>
      </c>
      <c r="AP191" s="894">
        <f>SUM(AP192:AP199)</f>
        <v>1506659765</v>
      </c>
      <c r="AQ191" s="901">
        <f t="shared" si="251"/>
        <v>0.96580754166666671</v>
      </c>
      <c r="AR191" s="902">
        <f t="shared" ref="AR191:AX191" si="376">SUM(AR192:AR199)</f>
        <v>38348071</v>
      </c>
      <c r="AS191" s="894">
        <f t="shared" si="376"/>
        <v>362675833</v>
      </c>
      <c r="AT191" s="894">
        <f t="shared" si="376"/>
        <v>344200542</v>
      </c>
      <c r="AU191" s="894">
        <f t="shared" si="376"/>
        <v>223306445</v>
      </c>
      <c r="AV191" s="894">
        <f t="shared" si="376"/>
        <v>191552733</v>
      </c>
      <c r="AW191" s="894">
        <f t="shared" si="376"/>
        <v>38348071</v>
      </c>
      <c r="AX191" s="894">
        <f t="shared" si="376"/>
        <v>33136612.789999999</v>
      </c>
      <c r="AY191" s="903">
        <f t="shared" si="247"/>
        <v>0.86410116404551351</v>
      </c>
      <c r="AZ191" s="894">
        <f t="shared" ref="AZ191" si="377">SUM(AZ192:AZ199)</f>
        <v>7107719358</v>
      </c>
      <c r="BA191" s="894">
        <f t="shared" si="254"/>
        <v>6998431891</v>
      </c>
      <c r="BB191" s="901">
        <f t="shared" si="248"/>
        <v>0.98462411619037926</v>
      </c>
      <c r="BC191" s="962">
        <f t="shared" si="255"/>
        <v>6889651194.79</v>
      </c>
      <c r="BD191" s="896">
        <f t="shared" si="256"/>
        <v>0.96931953103008262</v>
      </c>
      <c r="BE191" s="902"/>
      <c r="BF191" s="902"/>
      <c r="BG191" s="902"/>
      <c r="BH191" s="902"/>
    </row>
    <row r="192" spans="1:60" s="865" customFormat="1" ht="47.4" customHeight="1">
      <c r="A192" s="1135" t="s">
        <v>2393</v>
      </c>
      <c r="B192" s="1139" t="s">
        <v>2394</v>
      </c>
      <c r="C192" s="905" t="s">
        <v>1054</v>
      </c>
      <c r="D192" s="1175">
        <v>1</v>
      </c>
      <c r="E192" s="1175">
        <v>1</v>
      </c>
      <c r="F192" s="1175">
        <v>1</v>
      </c>
      <c r="G192" s="1175">
        <v>1</v>
      </c>
      <c r="H192" s="1279">
        <v>0.93500000000000005</v>
      </c>
      <c r="I192" s="908">
        <v>0.82</v>
      </c>
      <c r="J192" s="908">
        <v>0.88500000000000001</v>
      </c>
      <c r="K192" s="908">
        <v>1</v>
      </c>
      <c r="L192" s="908">
        <v>2.5000000000000001E-2</v>
      </c>
      <c r="M192" s="908"/>
      <c r="N192" s="908"/>
      <c r="O192" s="930">
        <f t="shared" ref="O192:Q199" si="378">+IFERROR(IF((H192+L192)/D192&gt;=100%,100%,(H192+L192)/D192),0)</f>
        <v>0.96000000000000008</v>
      </c>
      <c r="P192" s="930">
        <f t="shared" si="378"/>
        <v>0.82</v>
      </c>
      <c r="Q192" s="930">
        <f t="shared" si="378"/>
        <v>0.88500000000000001</v>
      </c>
      <c r="R192" s="908">
        <f t="shared" ref="R192:R199" si="379">+IFERROR(IF(K192/G192&gt;=100%,100%,K192/G192),0)</f>
        <v>1</v>
      </c>
      <c r="S192" s="865" t="s">
        <v>2777</v>
      </c>
      <c r="T192" s="931">
        <v>45291</v>
      </c>
      <c r="U192" s="942"/>
      <c r="V192" s="942"/>
      <c r="W192" s="909"/>
      <c r="X192" s="933"/>
      <c r="Y192" s="1168">
        <f t="shared" ref="Y192:Y199" si="380">SUM(D192:G192)</f>
        <v>4</v>
      </c>
      <c r="Z192" s="934">
        <f t="shared" ref="Z192:Z199" si="381">SUM(H192:N192)</f>
        <v>3.6649999999999996</v>
      </c>
      <c r="AA192" s="983">
        <f t="shared" ref="AA192:AA199" si="382">IF(Z192/Y192&gt;=100%,100%,Z192/Y192)</f>
        <v>0.9162499999999999</v>
      </c>
      <c r="AB192" s="1169">
        <v>0.3</v>
      </c>
      <c r="AC192" s="1169">
        <v>0.36</v>
      </c>
      <c r="AD192" s="930">
        <v>0.31</v>
      </c>
      <c r="AE192" s="980">
        <v>0.31</v>
      </c>
      <c r="AF192" s="980">
        <v>0.35</v>
      </c>
      <c r="AG192" s="1170">
        <v>600000000</v>
      </c>
      <c r="AH192" s="1150">
        <f>299700000+367923631+632082938</f>
        <v>1299706569</v>
      </c>
      <c r="AI192" s="1150">
        <v>591956476</v>
      </c>
      <c r="AJ192" s="1150">
        <v>599128503</v>
      </c>
      <c r="AK192" s="1150">
        <v>600000000</v>
      </c>
      <c r="AL192" s="982">
        <f t="shared" si="250"/>
        <v>1</v>
      </c>
      <c r="AM192" s="1150">
        <v>1110980736</v>
      </c>
      <c r="AN192" s="1150">
        <v>533085672</v>
      </c>
      <c r="AO192" s="1150">
        <v>592162763</v>
      </c>
      <c r="AP192" s="1150">
        <v>565662326</v>
      </c>
      <c r="AQ192" s="983">
        <f t="shared" si="251"/>
        <v>0.94277054333333332</v>
      </c>
      <c r="AR192" s="915">
        <f t="shared" ref="AR192:AR199" si="383">+AJ192-AO192</f>
        <v>6965740</v>
      </c>
      <c r="AS192" s="1150">
        <f>43164523+100161310+45400000</f>
        <v>188725833</v>
      </c>
      <c r="AT192" s="1150">
        <f>35671583+89178959+45400000</f>
        <v>170250542</v>
      </c>
      <c r="AU192" s="1150">
        <v>58870804</v>
      </c>
      <c r="AV192" s="1150">
        <v>38190552</v>
      </c>
      <c r="AW192" s="1150">
        <v>6965740</v>
      </c>
      <c r="AX192" s="1150">
        <v>5826162.79</v>
      </c>
      <c r="AY192" s="984">
        <f t="shared" si="247"/>
        <v>0.83640256311605088</v>
      </c>
      <c r="AZ192" s="1028">
        <v>3147719358</v>
      </c>
      <c r="BA192" s="957">
        <f t="shared" si="254"/>
        <v>3090791548</v>
      </c>
      <c r="BB192" s="983">
        <f t="shared" si="248"/>
        <v>0.98191458528368591</v>
      </c>
      <c r="BC192" s="986">
        <f t="shared" si="255"/>
        <v>3016158753.79</v>
      </c>
      <c r="BD192" s="930">
        <f t="shared" si="256"/>
        <v>0.95820446829999761</v>
      </c>
      <c r="BE192" s="987"/>
      <c r="BF192" s="987"/>
      <c r="BG192" s="910" t="s">
        <v>875</v>
      </c>
      <c r="BH192" s="1151" t="s">
        <v>2118</v>
      </c>
    </row>
    <row r="193" spans="1:61" s="865" customFormat="1" ht="47.4" customHeight="1">
      <c r="A193" s="1135" t="s">
        <v>2395</v>
      </c>
      <c r="B193" s="1139" t="s">
        <v>2396</v>
      </c>
      <c r="C193" s="905" t="s">
        <v>1054</v>
      </c>
      <c r="D193" s="1175">
        <v>1</v>
      </c>
      <c r="E193" s="1175">
        <v>1</v>
      </c>
      <c r="F193" s="1175">
        <v>1</v>
      </c>
      <c r="G193" s="1175">
        <v>1</v>
      </c>
      <c r="H193" s="1175">
        <v>0.85</v>
      </c>
      <c r="I193" s="908">
        <v>0.67</v>
      </c>
      <c r="J193" s="908">
        <v>0.33500000000000002</v>
      </c>
      <c r="K193" s="908">
        <v>0.36</v>
      </c>
      <c r="L193" s="908">
        <v>0.11</v>
      </c>
      <c r="M193" s="908"/>
      <c r="N193" s="908"/>
      <c r="O193" s="930">
        <f t="shared" si="378"/>
        <v>0.96</v>
      </c>
      <c r="P193" s="930">
        <f t="shared" si="378"/>
        <v>0.67</v>
      </c>
      <c r="Q193" s="930">
        <f t="shared" si="378"/>
        <v>0.33500000000000002</v>
      </c>
      <c r="R193" s="908">
        <f t="shared" si="379"/>
        <v>0.36</v>
      </c>
      <c r="S193" s="1154" t="s">
        <v>2778</v>
      </c>
      <c r="T193" s="931">
        <v>45291</v>
      </c>
      <c r="U193" s="942"/>
      <c r="V193" s="942"/>
      <c r="W193" s="909"/>
      <c r="X193" s="933"/>
      <c r="Y193" s="1168">
        <f t="shared" si="380"/>
        <v>4</v>
      </c>
      <c r="Z193" s="934">
        <f t="shared" si="381"/>
        <v>2.3249999999999997</v>
      </c>
      <c r="AA193" s="983">
        <f t="shared" si="382"/>
        <v>0.58124999999999993</v>
      </c>
      <c r="AB193" s="1169">
        <v>0.1</v>
      </c>
      <c r="AC193" s="1169">
        <v>0.16</v>
      </c>
      <c r="AD193" s="930">
        <v>0.11</v>
      </c>
      <c r="AE193" s="980">
        <v>0.11</v>
      </c>
      <c r="AF193" s="980">
        <v>0.15</v>
      </c>
      <c r="AG193" s="1170">
        <v>600000000</v>
      </c>
      <c r="AH193" s="1150">
        <v>299800000</v>
      </c>
      <c r="AI193" s="1150">
        <v>591956476</v>
      </c>
      <c r="AJ193" s="1150">
        <v>598749760</v>
      </c>
      <c r="AK193" s="1150">
        <v>600000000</v>
      </c>
      <c r="AL193" s="982">
        <f t="shared" si="250"/>
        <v>1</v>
      </c>
      <c r="AM193" s="1150">
        <v>176800000</v>
      </c>
      <c r="AN193" s="1150">
        <v>522105349</v>
      </c>
      <c r="AO193" s="1150">
        <v>582148055</v>
      </c>
      <c r="AP193" s="1150">
        <v>598196848</v>
      </c>
      <c r="AQ193" s="983">
        <f t="shared" si="251"/>
        <v>0.99699474666666665</v>
      </c>
      <c r="AR193" s="915">
        <f t="shared" si="383"/>
        <v>16601705</v>
      </c>
      <c r="AS193" s="1150">
        <v>123000000</v>
      </c>
      <c r="AT193" s="1150">
        <v>123000000</v>
      </c>
      <c r="AU193" s="1150">
        <v>69851127</v>
      </c>
      <c r="AV193" s="1150">
        <v>69018893</v>
      </c>
      <c r="AW193" s="1150">
        <v>16601705</v>
      </c>
      <c r="AX193" s="1150">
        <v>15318989</v>
      </c>
      <c r="AY193" s="984">
        <f t="shared" si="247"/>
        <v>0.92273588766936887</v>
      </c>
      <c r="AZ193" s="1028">
        <v>2100000000</v>
      </c>
      <c r="BA193" s="957">
        <f t="shared" si="254"/>
        <v>2090506236</v>
      </c>
      <c r="BB193" s="930">
        <f t="shared" si="248"/>
        <v>0.99547916000000003</v>
      </c>
      <c r="BC193" s="986">
        <f t="shared" si="255"/>
        <v>2086588134</v>
      </c>
      <c r="BD193" s="930">
        <f t="shared" si="256"/>
        <v>0.99361339714285712</v>
      </c>
      <c r="BE193" s="987"/>
      <c r="BF193" s="987"/>
      <c r="BG193" s="910" t="s">
        <v>939</v>
      </c>
      <c r="BH193" s="1151" t="s">
        <v>2118</v>
      </c>
    </row>
    <row r="194" spans="1:61" s="865" customFormat="1" ht="47.4" customHeight="1">
      <c r="A194" s="1135" t="s">
        <v>2397</v>
      </c>
      <c r="B194" s="1171" t="s">
        <v>2398</v>
      </c>
      <c r="C194" s="905" t="s">
        <v>1054</v>
      </c>
      <c r="D194" s="1175">
        <v>1</v>
      </c>
      <c r="E194" s="1175">
        <v>1</v>
      </c>
      <c r="F194" s="1175">
        <v>1</v>
      </c>
      <c r="G194" s="1175">
        <v>1</v>
      </c>
      <c r="H194" s="1175">
        <v>0.66</v>
      </c>
      <c r="I194" s="908">
        <v>0.81</v>
      </c>
      <c r="J194" s="914">
        <v>0.83</v>
      </c>
      <c r="K194" s="914">
        <v>0.4</v>
      </c>
      <c r="L194" s="906"/>
      <c r="M194" s="906"/>
      <c r="N194" s="906"/>
      <c r="O194" s="930">
        <f t="shared" si="378"/>
        <v>0.66</v>
      </c>
      <c r="P194" s="930">
        <f t="shared" si="378"/>
        <v>0.81</v>
      </c>
      <c r="Q194" s="930">
        <f t="shared" si="378"/>
        <v>0.83</v>
      </c>
      <c r="R194" s="908">
        <f t="shared" si="379"/>
        <v>0.4</v>
      </c>
      <c r="S194" s="1154" t="s">
        <v>2779</v>
      </c>
      <c r="T194" s="931">
        <v>45291</v>
      </c>
      <c r="U194" s="942"/>
      <c r="V194" s="942"/>
      <c r="W194" s="909"/>
      <c r="X194" s="933"/>
      <c r="Y194" s="1168">
        <f t="shared" si="380"/>
        <v>4</v>
      </c>
      <c r="Z194" s="934">
        <f t="shared" si="381"/>
        <v>2.7</v>
      </c>
      <c r="AA194" s="983">
        <f t="shared" si="382"/>
        <v>0.67500000000000004</v>
      </c>
      <c r="AB194" s="1169">
        <v>0.08</v>
      </c>
      <c r="AC194" s="1169">
        <v>0.14000000000000001</v>
      </c>
      <c r="AD194" s="930">
        <v>0.1</v>
      </c>
      <c r="AE194" s="980">
        <v>0.11</v>
      </c>
      <c r="AF194" s="980">
        <v>0.15</v>
      </c>
      <c r="AG194" s="1150">
        <v>60000000</v>
      </c>
      <c r="AH194" s="1150">
        <v>55450000</v>
      </c>
      <c r="AI194" s="1150">
        <v>58918176</v>
      </c>
      <c r="AJ194" s="1150">
        <v>59969313</v>
      </c>
      <c r="AK194" s="1150">
        <v>60000000</v>
      </c>
      <c r="AL194" s="982">
        <f t="shared" si="250"/>
        <v>1</v>
      </c>
      <c r="AM194" s="1150">
        <v>22600000</v>
      </c>
      <c r="AN194" s="1150">
        <v>37870506</v>
      </c>
      <c r="AO194" s="1150">
        <v>58380176</v>
      </c>
      <c r="AP194" s="1150">
        <v>58454479</v>
      </c>
      <c r="AQ194" s="983">
        <f t="shared" si="251"/>
        <v>0.97424131666666669</v>
      </c>
      <c r="AR194" s="915">
        <f t="shared" si="383"/>
        <v>1589137</v>
      </c>
      <c r="AS194" s="1150">
        <v>32850000</v>
      </c>
      <c r="AT194" s="1150">
        <v>32850000</v>
      </c>
      <c r="AU194" s="1150">
        <v>21047670</v>
      </c>
      <c r="AV194" s="1150">
        <v>16010209</v>
      </c>
      <c r="AW194" s="1150">
        <v>1589137</v>
      </c>
      <c r="AX194" s="1150">
        <v>970294</v>
      </c>
      <c r="AY194" s="984">
        <f t="shared" si="247"/>
        <v>0.61057920116390219</v>
      </c>
      <c r="AZ194" s="1028">
        <v>240000000</v>
      </c>
      <c r="BA194" s="957">
        <f t="shared" si="254"/>
        <v>234337489</v>
      </c>
      <c r="BB194" s="930">
        <f t="shared" si="248"/>
        <v>0.97640620416666668</v>
      </c>
      <c r="BC194" s="986">
        <f t="shared" si="255"/>
        <v>227135664</v>
      </c>
      <c r="BD194" s="930">
        <f t="shared" si="256"/>
        <v>0.94639859999999998</v>
      </c>
      <c r="BE194" s="987"/>
      <c r="BF194" s="987"/>
      <c r="BG194" s="910" t="s">
        <v>1701</v>
      </c>
      <c r="BH194" s="1151" t="s">
        <v>2312</v>
      </c>
    </row>
    <row r="195" spans="1:61" s="865" customFormat="1" ht="90" customHeight="1">
      <c r="A195" s="1135" t="s">
        <v>2399</v>
      </c>
      <c r="B195" s="1139" t="s">
        <v>2242</v>
      </c>
      <c r="C195" s="937" t="s">
        <v>2086</v>
      </c>
      <c r="D195" s="1172">
        <v>0</v>
      </c>
      <c r="E195" s="1172">
        <v>1</v>
      </c>
      <c r="F195" s="1172">
        <v>0</v>
      </c>
      <c r="G195" s="1172">
        <v>0</v>
      </c>
      <c r="H195" s="1172">
        <v>0</v>
      </c>
      <c r="I195" s="907">
        <v>1</v>
      </c>
      <c r="J195" s="906">
        <v>0</v>
      </c>
      <c r="K195" s="906"/>
      <c r="L195" s="907"/>
      <c r="M195" s="907"/>
      <c r="N195" s="907"/>
      <c r="O195" s="930">
        <f t="shared" si="378"/>
        <v>0</v>
      </c>
      <c r="P195" s="930">
        <f t="shared" si="378"/>
        <v>1</v>
      </c>
      <c r="Q195" s="908">
        <f t="shared" si="378"/>
        <v>0</v>
      </c>
      <c r="R195" s="908">
        <f t="shared" si="379"/>
        <v>0</v>
      </c>
      <c r="S195" s="1154"/>
      <c r="T195" s="1154"/>
      <c r="U195" s="941"/>
      <c r="V195" s="942"/>
      <c r="W195" s="909"/>
      <c r="X195" s="932"/>
      <c r="Y195" s="1172">
        <f t="shared" si="380"/>
        <v>1</v>
      </c>
      <c r="Z195" s="913">
        <f t="shared" si="381"/>
        <v>1</v>
      </c>
      <c r="AA195" s="983">
        <f t="shared" si="382"/>
        <v>1</v>
      </c>
      <c r="AB195" s="1169">
        <v>0.1</v>
      </c>
      <c r="AC195" s="1169">
        <v>0</v>
      </c>
      <c r="AD195" s="930">
        <v>0.12</v>
      </c>
      <c r="AE195" s="908">
        <v>0</v>
      </c>
      <c r="AF195" s="908">
        <v>0</v>
      </c>
      <c r="AG195" s="1150">
        <v>0</v>
      </c>
      <c r="AH195" s="1150" t="s">
        <v>2095</v>
      </c>
      <c r="AI195" s="1150">
        <v>244443805</v>
      </c>
      <c r="AJ195" s="1150">
        <v>0</v>
      </c>
      <c r="AK195" s="1150">
        <v>0</v>
      </c>
      <c r="AL195" s="982">
        <v>0</v>
      </c>
      <c r="AM195" s="1150" t="s">
        <v>2095</v>
      </c>
      <c r="AN195" s="1150">
        <v>231001294</v>
      </c>
      <c r="AO195" s="1150">
        <v>0</v>
      </c>
      <c r="AP195" s="1150"/>
      <c r="AQ195" s="983" t="e">
        <f t="shared" si="251"/>
        <v>#DIV/0!</v>
      </c>
      <c r="AR195" s="915">
        <f t="shared" si="383"/>
        <v>0</v>
      </c>
      <c r="AS195" s="1150" t="s">
        <v>2095</v>
      </c>
      <c r="AT195" s="1041">
        <v>0</v>
      </c>
      <c r="AU195" s="1150">
        <v>13442511</v>
      </c>
      <c r="AV195" s="1150">
        <v>11538257</v>
      </c>
      <c r="AW195" s="1150"/>
      <c r="AX195" s="1150"/>
      <c r="AY195" s="984" t="e">
        <f t="shared" si="247"/>
        <v>#DIV/0!</v>
      </c>
      <c r="AZ195" s="1028">
        <v>250000000</v>
      </c>
      <c r="BA195" s="957">
        <f t="shared" si="254"/>
        <v>244443805</v>
      </c>
      <c r="BB195" s="983">
        <f t="shared" si="248"/>
        <v>0.97777521999999994</v>
      </c>
      <c r="BC195" s="986">
        <f t="shared" si="255"/>
        <v>242539551</v>
      </c>
      <c r="BD195" s="930">
        <f t="shared" si="256"/>
        <v>0.97015820399999997</v>
      </c>
      <c r="BE195" s="987"/>
      <c r="BF195" s="987"/>
      <c r="BG195" s="910" t="s">
        <v>1701</v>
      </c>
      <c r="BH195" s="1151" t="s">
        <v>2118</v>
      </c>
    </row>
    <row r="196" spans="1:61" s="865" customFormat="1" ht="51.75" customHeight="1">
      <c r="A196" s="1135" t="s">
        <v>2400</v>
      </c>
      <c r="B196" s="1139" t="s">
        <v>2401</v>
      </c>
      <c r="C196" s="905" t="s">
        <v>1054</v>
      </c>
      <c r="D196" s="1168">
        <v>0</v>
      </c>
      <c r="E196" s="1168">
        <v>0</v>
      </c>
      <c r="F196" s="1168">
        <v>1</v>
      </c>
      <c r="G196" s="1168">
        <v>0</v>
      </c>
      <c r="H196" s="1168">
        <v>0</v>
      </c>
      <c r="I196" s="1168">
        <v>0</v>
      </c>
      <c r="J196" s="908">
        <v>1</v>
      </c>
      <c r="K196" s="908"/>
      <c r="L196" s="907"/>
      <c r="M196" s="907"/>
      <c r="N196" s="907"/>
      <c r="O196" s="930">
        <f t="shared" si="378"/>
        <v>0</v>
      </c>
      <c r="P196" s="978">
        <f t="shared" si="378"/>
        <v>0</v>
      </c>
      <c r="Q196" s="930">
        <f t="shared" si="378"/>
        <v>1</v>
      </c>
      <c r="R196" s="908">
        <f t="shared" si="379"/>
        <v>0</v>
      </c>
      <c r="S196" s="1154"/>
      <c r="T196" s="1154"/>
      <c r="U196" s="942"/>
      <c r="V196" s="942"/>
      <c r="W196" s="909"/>
      <c r="X196" s="932"/>
      <c r="Y196" s="1168">
        <f t="shared" si="380"/>
        <v>1</v>
      </c>
      <c r="Z196" s="934">
        <f t="shared" si="381"/>
        <v>1</v>
      </c>
      <c r="AA196" s="983">
        <f t="shared" si="382"/>
        <v>1</v>
      </c>
      <c r="AB196" s="1169">
        <v>0.1</v>
      </c>
      <c r="AC196" s="1169">
        <v>0</v>
      </c>
      <c r="AD196" s="930">
        <v>0</v>
      </c>
      <c r="AE196" s="980">
        <v>0.11</v>
      </c>
      <c r="AF196" s="980">
        <v>0</v>
      </c>
      <c r="AG196" s="1152">
        <v>0</v>
      </c>
      <c r="AH196" s="1150" t="s">
        <v>2095</v>
      </c>
      <c r="AI196" s="1150" t="s">
        <v>2095</v>
      </c>
      <c r="AJ196" s="1150">
        <v>197296632</v>
      </c>
      <c r="AK196" s="1150">
        <v>0</v>
      </c>
      <c r="AL196" s="982">
        <v>0</v>
      </c>
      <c r="AM196" s="1150" t="s">
        <v>2095</v>
      </c>
      <c r="AN196" s="1150">
        <v>0</v>
      </c>
      <c r="AO196" s="1150">
        <v>192231990</v>
      </c>
      <c r="AP196" s="1150"/>
      <c r="AQ196" s="983" t="e">
        <f t="shared" si="251"/>
        <v>#DIV/0!</v>
      </c>
      <c r="AR196" s="915">
        <f t="shared" si="383"/>
        <v>5064642</v>
      </c>
      <c r="AS196" s="1150" t="s">
        <v>2095</v>
      </c>
      <c r="AT196" s="1041">
        <v>0</v>
      </c>
      <c r="AU196" s="1150"/>
      <c r="AV196" s="1150"/>
      <c r="AW196" s="1150">
        <v>5064642</v>
      </c>
      <c r="AX196" s="1150">
        <v>3268468</v>
      </c>
      <c r="AY196" s="984">
        <f t="shared" si="247"/>
        <v>0.64535025377904298</v>
      </c>
      <c r="AZ196" s="1028">
        <v>200000000</v>
      </c>
      <c r="BA196" s="957">
        <f t="shared" si="254"/>
        <v>197296632</v>
      </c>
      <c r="BB196" s="930">
        <f t="shared" si="248"/>
        <v>0.98648316000000003</v>
      </c>
      <c r="BC196" s="986">
        <f t="shared" si="255"/>
        <v>195500458</v>
      </c>
      <c r="BD196" s="930">
        <f t="shared" si="256"/>
        <v>0.97750229</v>
      </c>
      <c r="BE196" s="987"/>
      <c r="BF196" s="987"/>
      <c r="BG196" s="910" t="s">
        <v>1701</v>
      </c>
      <c r="BH196" s="1151" t="s">
        <v>2118</v>
      </c>
    </row>
    <row r="197" spans="1:61" s="865" customFormat="1" ht="47.4" customHeight="1">
      <c r="A197" s="1135" t="s">
        <v>2402</v>
      </c>
      <c r="B197" s="1139" t="s">
        <v>2403</v>
      </c>
      <c r="C197" s="905" t="s">
        <v>1054</v>
      </c>
      <c r="D197" s="1175">
        <v>1</v>
      </c>
      <c r="E197" s="1175">
        <v>1</v>
      </c>
      <c r="F197" s="1175">
        <v>1</v>
      </c>
      <c r="G197" s="1175">
        <v>1</v>
      </c>
      <c r="H197" s="1175">
        <v>1</v>
      </c>
      <c r="I197" s="908">
        <v>0.83499999999999996</v>
      </c>
      <c r="J197" s="908">
        <v>0.83</v>
      </c>
      <c r="K197" s="908">
        <v>1</v>
      </c>
      <c r="L197" s="906"/>
      <c r="M197" s="906"/>
      <c r="N197" s="906"/>
      <c r="O197" s="930">
        <f t="shared" si="378"/>
        <v>1</v>
      </c>
      <c r="P197" s="930">
        <f t="shared" si="378"/>
        <v>0.83499999999999996</v>
      </c>
      <c r="Q197" s="930">
        <f t="shared" si="378"/>
        <v>0.83</v>
      </c>
      <c r="R197" s="908">
        <f t="shared" si="379"/>
        <v>1</v>
      </c>
      <c r="S197" s="1154" t="s">
        <v>2780</v>
      </c>
      <c r="T197" s="931">
        <v>45291</v>
      </c>
      <c r="U197" s="942"/>
      <c r="V197" s="942"/>
      <c r="W197" s="909"/>
      <c r="X197" s="932"/>
      <c r="Y197" s="1168">
        <f t="shared" si="380"/>
        <v>4</v>
      </c>
      <c r="Z197" s="934">
        <f t="shared" si="381"/>
        <v>3.665</v>
      </c>
      <c r="AA197" s="983">
        <f t="shared" si="382"/>
        <v>0.91625000000000001</v>
      </c>
      <c r="AB197" s="1169">
        <v>0.12</v>
      </c>
      <c r="AC197" s="1169">
        <v>0.18</v>
      </c>
      <c r="AD197" s="930">
        <v>0.13</v>
      </c>
      <c r="AE197" s="980">
        <v>0.13</v>
      </c>
      <c r="AF197" s="980">
        <v>0.2</v>
      </c>
      <c r="AG197" s="1173">
        <v>200000000</v>
      </c>
      <c r="AH197" s="1150">
        <v>60000000</v>
      </c>
      <c r="AI197" s="1150">
        <v>127981050</v>
      </c>
      <c r="AJ197" s="1150">
        <v>99948316</v>
      </c>
      <c r="AK197" s="1150">
        <v>200000000</v>
      </c>
      <c r="AL197" s="982">
        <f t="shared" si="250"/>
        <v>1</v>
      </c>
      <c r="AM197" s="1150">
        <v>55700000</v>
      </c>
      <c r="AN197" s="1150">
        <v>119177761</v>
      </c>
      <c r="AO197" s="1150">
        <v>98111509</v>
      </c>
      <c r="AP197" s="1150">
        <v>186244261</v>
      </c>
      <c r="AQ197" s="983">
        <f t="shared" si="251"/>
        <v>0.931221305</v>
      </c>
      <c r="AR197" s="915">
        <f t="shared" si="383"/>
        <v>1836807</v>
      </c>
      <c r="AS197" s="1150">
        <v>4300000</v>
      </c>
      <c r="AT197" s="1150">
        <v>4300000</v>
      </c>
      <c r="AU197" s="1150">
        <v>8803289</v>
      </c>
      <c r="AV197" s="1150">
        <v>7899554</v>
      </c>
      <c r="AW197" s="1150">
        <v>1836807</v>
      </c>
      <c r="AX197" s="1150">
        <v>1712091</v>
      </c>
      <c r="AY197" s="984">
        <f t="shared" si="247"/>
        <v>0.93210173959485132</v>
      </c>
      <c r="AZ197" s="1028">
        <v>490000000</v>
      </c>
      <c r="BA197" s="957">
        <f t="shared" si="254"/>
        <v>487929366</v>
      </c>
      <c r="BB197" s="930">
        <f t="shared" si="248"/>
        <v>0.99577421632653063</v>
      </c>
      <c r="BC197" s="986">
        <f t="shared" si="255"/>
        <v>473145176</v>
      </c>
      <c r="BD197" s="930">
        <f t="shared" si="256"/>
        <v>0.96560239999999997</v>
      </c>
      <c r="BE197" s="987"/>
      <c r="BF197" s="987"/>
      <c r="BG197" s="910" t="s">
        <v>1701</v>
      </c>
      <c r="BH197" s="1151" t="s">
        <v>2118</v>
      </c>
    </row>
    <row r="198" spans="1:61" s="865" customFormat="1" ht="47.4" customHeight="1">
      <c r="A198" s="1135" t="s">
        <v>2404</v>
      </c>
      <c r="B198" s="1171" t="s">
        <v>2405</v>
      </c>
      <c r="C198" s="905" t="s">
        <v>1054</v>
      </c>
      <c r="D198" s="1175">
        <v>1</v>
      </c>
      <c r="E198" s="1175">
        <v>1</v>
      </c>
      <c r="F198" s="1175">
        <v>1</v>
      </c>
      <c r="G198" s="1175">
        <v>1</v>
      </c>
      <c r="H198" s="1175">
        <v>1</v>
      </c>
      <c r="I198" s="908">
        <v>0.94379999999999997</v>
      </c>
      <c r="J198" s="914">
        <v>0.66</v>
      </c>
      <c r="K198" s="914">
        <v>1</v>
      </c>
      <c r="L198" s="906"/>
      <c r="M198" s="906"/>
      <c r="N198" s="906"/>
      <c r="O198" s="930">
        <f t="shared" si="378"/>
        <v>1</v>
      </c>
      <c r="P198" s="930">
        <f t="shared" si="378"/>
        <v>0.94379999999999997</v>
      </c>
      <c r="Q198" s="930">
        <f t="shared" si="378"/>
        <v>0.66</v>
      </c>
      <c r="R198" s="908">
        <f t="shared" si="379"/>
        <v>1</v>
      </c>
      <c r="S198" s="865" t="s">
        <v>2781</v>
      </c>
      <c r="T198" s="931">
        <v>45291</v>
      </c>
      <c r="U198" s="942"/>
      <c r="V198" s="942"/>
      <c r="W198" s="909"/>
      <c r="X198" s="932"/>
      <c r="Y198" s="1168">
        <f t="shared" si="380"/>
        <v>4</v>
      </c>
      <c r="Z198" s="934">
        <f t="shared" si="381"/>
        <v>3.6038000000000001</v>
      </c>
      <c r="AA198" s="983">
        <f t="shared" si="382"/>
        <v>0.90095000000000003</v>
      </c>
      <c r="AB198" s="1169">
        <v>0.1</v>
      </c>
      <c r="AC198" s="1169">
        <v>0.16</v>
      </c>
      <c r="AD198" s="930">
        <v>0.12</v>
      </c>
      <c r="AE198" s="980">
        <v>0.12</v>
      </c>
      <c r="AF198" s="980">
        <v>0.15</v>
      </c>
      <c r="AG198" s="1173">
        <v>100000000</v>
      </c>
      <c r="AH198" s="1150">
        <v>56200000</v>
      </c>
      <c r="AI198" s="1150">
        <v>118136352</v>
      </c>
      <c r="AJ198" s="1150">
        <v>99948316</v>
      </c>
      <c r="AK198" s="1150">
        <v>100000000</v>
      </c>
      <c r="AL198" s="982">
        <f t="shared" si="250"/>
        <v>1</v>
      </c>
      <c r="AM198" s="1150">
        <v>42400000</v>
      </c>
      <c r="AN198" s="1150">
        <v>112404117</v>
      </c>
      <c r="AO198" s="1150">
        <v>98189367</v>
      </c>
      <c r="AP198" s="1150">
        <v>98101851</v>
      </c>
      <c r="AQ198" s="983">
        <f t="shared" si="251"/>
        <v>0.98101850999999995</v>
      </c>
      <c r="AR198" s="915">
        <f t="shared" si="383"/>
        <v>1758949</v>
      </c>
      <c r="AS198" s="1150">
        <v>13800000</v>
      </c>
      <c r="AT198" s="1150">
        <v>13800000</v>
      </c>
      <c r="AU198" s="1150">
        <v>5732235</v>
      </c>
      <c r="AV198" s="1150">
        <v>4857313</v>
      </c>
      <c r="AW198" s="1150">
        <v>1758949</v>
      </c>
      <c r="AX198" s="1150">
        <v>1634233</v>
      </c>
      <c r="AY198" s="984">
        <f t="shared" si="247"/>
        <v>0.92909629557195805</v>
      </c>
      <c r="AZ198" s="1028">
        <v>380000000</v>
      </c>
      <c r="BA198" s="957">
        <f t="shared" si="254"/>
        <v>374284668</v>
      </c>
      <c r="BB198" s="930">
        <f t="shared" si="248"/>
        <v>0.98495965263157892</v>
      </c>
      <c r="BC198" s="986">
        <f t="shared" si="255"/>
        <v>371386881</v>
      </c>
      <c r="BD198" s="930">
        <f t="shared" si="256"/>
        <v>0.97733389736842102</v>
      </c>
      <c r="BE198" s="987"/>
      <c r="BF198" s="987"/>
      <c r="BG198" s="910" t="s">
        <v>1701</v>
      </c>
      <c r="BH198" s="1151" t="s">
        <v>2406</v>
      </c>
    </row>
    <row r="199" spans="1:61" s="865" customFormat="1" ht="96" customHeight="1">
      <c r="A199" s="1135" t="s">
        <v>2407</v>
      </c>
      <c r="B199" s="1139" t="s">
        <v>2408</v>
      </c>
      <c r="C199" s="937" t="s">
        <v>2086</v>
      </c>
      <c r="D199" s="1172">
        <v>0</v>
      </c>
      <c r="E199" s="1172">
        <v>1</v>
      </c>
      <c r="F199" s="990">
        <v>0.1</v>
      </c>
      <c r="G199" s="990">
        <v>0</v>
      </c>
      <c r="H199" s="1172">
        <v>0</v>
      </c>
      <c r="I199" s="907">
        <v>0</v>
      </c>
      <c r="J199" s="938">
        <v>0.1</v>
      </c>
      <c r="K199" s="943"/>
      <c r="L199" s="907"/>
      <c r="M199" s="906">
        <v>1</v>
      </c>
      <c r="N199" s="907"/>
      <c r="O199" s="930">
        <f t="shared" si="378"/>
        <v>0</v>
      </c>
      <c r="P199" s="930">
        <f t="shared" si="378"/>
        <v>1</v>
      </c>
      <c r="Q199" s="930">
        <f t="shared" si="378"/>
        <v>1</v>
      </c>
      <c r="R199" s="908">
        <f t="shared" si="379"/>
        <v>0</v>
      </c>
      <c r="S199" s="1154" t="s">
        <v>2782</v>
      </c>
      <c r="T199" s="1299">
        <v>45291</v>
      </c>
      <c r="U199" s="941" t="s">
        <v>2092</v>
      </c>
      <c r="V199" s="942"/>
      <c r="W199" s="909" t="s">
        <v>2683</v>
      </c>
      <c r="X199" s="1154" t="s">
        <v>2783</v>
      </c>
      <c r="Y199" s="1172">
        <f t="shared" si="380"/>
        <v>1.1000000000000001</v>
      </c>
      <c r="Z199" s="913">
        <f t="shared" si="381"/>
        <v>1.1000000000000001</v>
      </c>
      <c r="AA199" s="983">
        <f t="shared" si="382"/>
        <v>1</v>
      </c>
      <c r="AB199" s="1169">
        <v>0.1</v>
      </c>
      <c r="AC199" s="1169">
        <v>0</v>
      </c>
      <c r="AD199" s="930">
        <v>0.11</v>
      </c>
      <c r="AE199" s="980">
        <v>0.11</v>
      </c>
      <c r="AF199" s="980">
        <v>0</v>
      </c>
      <c r="AG199" s="1150">
        <v>0</v>
      </c>
      <c r="AH199" s="1150" t="s">
        <v>2095</v>
      </c>
      <c r="AI199" s="1150">
        <v>178893831</v>
      </c>
      <c r="AJ199" s="1150">
        <v>99948316</v>
      </c>
      <c r="AK199" s="1150">
        <v>0</v>
      </c>
      <c r="AL199" s="982">
        <v>0</v>
      </c>
      <c r="AM199" s="1150" t="s">
        <v>2095</v>
      </c>
      <c r="AN199" s="1150">
        <v>133335022</v>
      </c>
      <c r="AO199" s="1150">
        <v>95417225</v>
      </c>
      <c r="AP199" s="1150"/>
      <c r="AQ199" s="983" t="e">
        <f t="shared" si="251"/>
        <v>#DIV/0!</v>
      </c>
      <c r="AR199" s="915">
        <f t="shared" si="383"/>
        <v>4531091</v>
      </c>
      <c r="AS199" s="1150" t="s">
        <v>2095</v>
      </c>
      <c r="AT199" s="1041">
        <v>0</v>
      </c>
      <c r="AU199" s="1150">
        <v>45558809</v>
      </c>
      <c r="AV199" s="1150">
        <v>44037955</v>
      </c>
      <c r="AW199" s="1150">
        <v>4531091</v>
      </c>
      <c r="AX199" s="1150">
        <v>4406375</v>
      </c>
      <c r="AY199" s="984">
        <f t="shared" si="247"/>
        <v>0.97247550314041364</v>
      </c>
      <c r="AZ199" s="1028">
        <v>300000000</v>
      </c>
      <c r="BA199" s="957">
        <f t="shared" si="254"/>
        <v>278842147</v>
      </c>
      <c r="BB199" s="930">
        <f t="shared" si="248"/>
        <v>0.92947382333333328</v>
      </c>
      <c r="BC199" s="986">
        <f t="shared" si="255"/>
        <v>277196577</v>
      </c>
      <c r="BD199" s="930">
        <f t="shared" si="256"/>
        <v>0.92398859</v>
      </c>
      <c r="BE199" s="987"/>
      <c r="BF199" s="987"/>
      <c r="BG199" s="910" t="s">
        <v>1701</v>
      </c>
      <c r="BH199" s="1151" t="s">
        <v>2406</v>
      </c>
    </row>
    <row r="200" spans="1:61" s="865" customFormat="1" ht="54" customHeight="1">
      <c r="A200" s="893" t="s">
        <v>2409</v>
      </c>
      <c r="B200" s="894"/>
      <c r="C200" s="894"/>
      <c r="D200" s="895"/>
      <c r="E200" s="895"/>
      <c r="F200" s="895"/>
      <c r="G200" s="895"/>
      <c r="H200" s="895"/>
      <c r="I200" s="895"/>
      <c r="J200" s="895"/>
      <c r="K200" s="895"/>
      <c r="L200" s="895"/>
      <c r="M200" s="895"/>
      <c r="N200" s="895"/>
      <c r="O200" s="896">
        <f>+O201*AC201</f>
        <v>0</v>
      </c>
      <c r="P200" s="896">
        <f t="shared" ref="P200:R200" si="384">+P201*AD201</f>
        <v>1</v>
      </c>
      <c r="Q200" s="896">
        <f t="shared" si="384"/>
        <v>0</v>
      </c>
      <c r="R200" s="896">
        <f t="shared" si="384"/>
        <v>0</v>
      </c>
      <c r="S200" s="1134"/>
      <c r="T200" s="1134"/>
      <c r="U200" s="894"/>
      <c r="V200" s="894"/>
      <c r="W200" s="894"/>
      <c r="X200" s="1134"/>
      <c r="Y200" s="1059"/>
      <c r="Z200" s="897"/>
      <c r="AA200" s="896">
        <f>+SUMPRODUCT(AA201:AA201,AB201:AB201)</f>
        <v>1</v>
      </c>
      <c r="AB200" s="896">
        <v>0.1</v>
      </c>
      <c r="AC200" s="896">
        <v>0</v>
      </c>
      <c r="AD200" s="896">
        <v>0.1</v>
      </c>
      <c r="AE200" s="896">
        <v>0.1</v>
      </c>
      <c r="AF200" s="896">
        <v>0</v>
      </c>
      <c r="AG200" s="894">
        <f>SUM(AG201)</f>
        <v>0</v>
      </c>
      <c r="AH200" s="894">
        <f>SUM(AH201)</f>
        <v>0</v>
      </c>
      <c r="AI200" s="894">
        <f>SUM(AI201)</f>
        <v>244117398</v>
      </c>
      <c r="AJ200" s="894">
        <f>SUM(AJ201)</f>
        <v>0</v>
      </c>
      <c r="AK200" s="894">
        <f>SUM(AK201)</f>
        <v>0</v>
      </c>
      <c r="AL200" s="900">
        <v>0</v>
      </c>
      <c r="AM200" s="894">
        <f>SUM(AM201)</f>
        <v>0</v>
      </c>
      <c r="AN200" s="894">
        <f>SUM(AN201)</f>
        <v>221294554</v>
      </c>
      <c r="AO200" s="894">
        <f>SUM(AO201)</f>
        <v>0</v>
      </c>
      <c r="AP200" s="894"/>
      <c r="AQ200" s="901" t="e">
        <f t="shared" si="251"/>
        <v>#DIV/0!</v>
      </c>
      <c r="AR200" s="902">
        <f t="shared" ref="AR200:AX200" si="385">SUM(AR201)</f>
        <v>0</v>
      </c>
      <c r="AS200" s="894">
        <f t="shared" si="385"/>
        <v>0</v>
      </c>
      <c r="AT200" s="894">
        <f t="shared" si="385"/>
        <v>0</v>
      </c>
      <c r="AU200" s="894">
        <f t="shared" si="385"/>
        <v>22822844</v>
      </c>
      <c r="AV200" s="894">
        <f t="shared" si="385"/>
        <v>16436973</v>
      </c>
      <c r="AW200" s="894">
        <f t="shared" si="385"/>
        <v>0</v>
      </c>
      <c r="AX200" s="894">
        <f t="shared" si="385"/>
        <v>0</v>
      </c>
      <c r="AY200" s="903" t="e">
        <f t="shared" ref="AY200:AY263" si="386">+AX200/AW200</f>
        <v>#DIV/0!</v>
      </c>
      <c r="AZ200" s="894">
        <f t="shared" ref="AZ200" si="387">SUM(AZ201)</f>
        <v>250000000</v>
      </c>
      <c r="BA200" s="894">
        <f t="shared" si="254"/>
        <v>244117398</v>
      </c>
      <c r="BB200" s="901">
        <f t="shared" si="248"/>
        <v>0.97646959200000005</v>
      </c>
      <c r="BC200" s="962">
        <f t="shared" si="255"/>
        <v>237731527</v>
      </c>
      <c r="BD200" s="896">
        <f t="shared" si="256"/>
        <v>0.95092610799999999</v>
      </c>
      <c r="BE200" s="902"/>
      <c r="BF200" s="902"/>
      <c r="BG200" s="902"/>
      <c r="BH200" s="902"/>
    </row>
    <row r="201" spans="1:61" s="865" customFormat="1" ht="108.75" customHeight="1">
      <c r="A201" s="1145" t="s">
        <v>2410</v>
      </c>
      <c r="B201" s="1153" t="s">
        <v>2411</v>
      </c>
      <c r="C201" s="937" t="s">
        <v>2086</v>
      </c>
      <c r="D201" s="1137">
        <v>0</v>
      </c>
      <c r="E201" s="1137">
        <v>1</v>
      </c>
      <c r="F201" s="1137">
        <v>0</v>
      </c>
      <c r="G201" s="1137">
        <v>0</v>
      </c>
      <c r="H201" s="906">
        <v>0</v>
      </c>
      <c r="I201" s="906">
        <v>1</v>
      </c>
      <c r="J201" s="906">
        <v>0</v>
      </c>
      <c r="K201" s="906"/>
      <c r="L201" s="906"/>
      <c r="M201" s="906"/>
      <c r="N201" s="906"/>
      <c r="O201" s="908">
        <f>+IFERROR(IF((H201+L201)/D201&gt;=100%,100%,(H201+L201)/D201),0)</f>
        <v>0</v>
      </c>
      <c r="P201" s="930">
        <f>+IFERROR(IF((I201+M201)/E201&gt;=100%,100%,(I201+M201)/E201),0)</f>
        <v>1</v>
      </c>
      <c r="Q201" s="908">
        <f>+IFERROR(IF((J201+N201)/F201&gt;=100%,100%,(J201+N201)/F201),0)</f>
        <v>0</v>
      </c>
      <c r="R201" s="908">
        <f>+IFERROR(IF(K201/G201&gt;=100%,100%,K201/G201),0)</f>
        <v>0</v>
      </c>
      <c r="U201" s="911"/>
      <c r="V201" s="869"/>
      <c r="W201" s="910"/>
      <c r="Y201" s="1172">
        <f t="shared" ref="Y201" si="388">SUM(D201:G201)</f>
        <v>1</v>
      </c>
      <c r="Z201" s="913">
        <f t="shared" ref="Z201" si="389">SUM(H201:N201)</f>
        <v>1</v>
      </c>
      <c r="AA201" s="928">
        <f t="shared" ref="AA201" si="390">IF(Z201/Y201&gt;=100%,100%,Z201/Y201)</f>
        <v>1</v>
      </c>
      <c r="AB201" s="1168">
        <v>1</v>
      </c>
      <c r="AC201" s="1168">
        <v>0</v>
      </c>
      <c r="AD201" s="1168">
        <v>1</v>
      </c>
      <c r="AE201" s="1168">
        <v>0</v>
      </c>
      <c r="AF201" s="1168">
        <v>0</v>
      </c>
      <c r="AG201" s="1143">
        <v>0</v>
      </c>
      <c r="AH201" s="1150" t="s">
        <v>2095</v>
      </c>
      <c r="AI201" s="1143">
        <v>244117398</v>
      </c>
      <c r="AJ201" s="1143">
        <v>0</v>
      </c>
      <c r="AK201" s="1143">
        <v>0</v>
      </c>
      <c r="AL201" s="916">
        <v>0</v>
      </c>
      <c r="AM201" s="1150" t="s">
        <v>2095</v>
      </c>
      <c r="AN201" s="1143">
        <v>221294554</v>
      </c>
      <c r="AO201" s="1143">
        <v>0</v>
      </c>
      <c r="AP201" s="1143"/>
      <c r="AQ201" s="928" t="e">
        <f t="shared" si="251"/>
        <v>#DIV/0!</v>
      </c>
      <c r="AR201" s="915">
        <f>+AJ201-AO201</f>
        <v>0</v>
      </c>
      <c r="AS201" s="1150" t="s">
        <v>2095</v>
      </c>
      <c r="AT201" s="1041">
        <v>0</v>
      </c>
      <c r="AU201" s="1150">
        <v>22822844</v>
      </c>
      <c r="AV201" s="1150">
        <v>16436973</v>
      </c>
      <c r="AW201" s="1150"/>
      <c r="AX201" s="1150"/>
      <c r="AY201" s="956" t="e">
        <f t="shared" si="386"/>
        <v>#DIV/0!</v>
      </c>
      <c r="AZ201" s="1041">
        <v>250000000</v>
      </c>
      <c r="BA201" s="957">
        <f t="shared" si="254"/>
        <v>244117398</v>
      </c>
      <c r="BB201" s="928">
        <f t="shared" si="248"/>
        <v>0.97646959200000005</v>
      </c>
      <c r="BC201" s="958">
        <f t="shared" si="255"/>
        <v>237731527</v>
      </c>
      <c r="BD201" s="908">
        <f t="shared" si="256"/>
        <v>0.95092610799999999</v>
      </c>
      <c r="BE201" s="926"/>
      <c r="BF201" s="926"/>
      <c r="BG201" s="910" t="s">
        <v>1701</v>
      </c>
      <c r="BH201" s="1147" t="s">
        <v>2118</v>
      </c>
    </row>
    <row r="202" spans="1:61" s="892" customFormat="1" ht="47.4" customHeight="1">
      <c r="A202" s="882" t="s">
        <v>2412</v>
      </c>
      <c r="B202" s="883"/>
      <c r="C202" s="883"/>
      <c r="D202" s="884"/>
      <c r="E202" s="884"/>
      <c r="F202" s="1065"/>
      <c r="G202" s="1065"/>
      <c r="H202" s="884"/>
      <c r="I202" s="884"/>
      <c r="J202" s="1065"/>
      <c r="K202" s="1065"/>
      <c r="L202" s="884"/>
      <c r="M202" s="884"/>
      <c r="N202" s="884"/>
      <c r="O202" s="885">
        <f>+(O203*AC203)</f>
        <v>1</v>
      </c>
      <c r="P202" s="885">
        <f t="shared" ref="P202:R202" si="391">+(P203*AD203)</f>
        <v>1</v>
      </c>
      <c r="Q202" s="885">
        <f t="shared" si="391"/>
        <v>1</v>
      </c>
      <c r="R202" s="885">
        <f t="shared" si="391"/>
        <v>1</v>
      </c>
      <c r="S202" s="1132"/>
      <c r="T202" s="1132"/>
      <c r="U202" s="883"/>
      <c r="V202" s="883"/>
      <c r="W202" s="883"/>
      <c r="X202" s="1132"/>
      <c r="Y202" s="1133"/>
      <c r="Z202" s="886"/>
      <c r="AA202" s="885">
        <f>+(AA203*AB203)</f>
        <v>1</v>
      </c>
      <c r="AB202" s="885">
        <v>0.15</v>
      </c>
      <c r="AC202" s="885">
        <v>0.19</v>
      </c>
      <c r="AD202" s="885">
        <v>0.18</v>
      </c>
      <c r="AE202" s="885">
        <v>0.15</v>
      </c>
      <c r="AF202" s="885">
        <v>0.15</v>
      </c>
      <c r="AG202" s="883">
        <f>+AG203</f>
        <v>1200000000</v>
      </c>
      <c r="AH202" s="883">
        <f>+AH203</f>
        <v>176700000</v>
      </c>
      <c r="AI202" s="883">
        <f>+AI203</f>
        <v>181800319</v>
      </c>
      <c r="AJ202" s="883">
        <f>+AJ203</f>
        <v>488140412</v>
      </c>
      <c r="AK202" s="883">
        <f>+AK203</f>
        <v>1200000000</v>
      </c>
      <c r="AL202" s="888">
        <f t="shared" si="250"/>
        <v>1</v>
      </c>
      <c r="AM202" s="883">
        <f>+AM203</f>
        <v>97200000</v>
      </c>
      <c r="AN202" s="883">
        <f>+AN203</f>
        <v>153323642</v>
      </c>
      <c r="AO202" s="883">
        <f>+AO203</f>
        <v>248222958</v>
      </c>
      <c r="AP202" s="883">
        <f>+AP203</f>
        <v>650947454.53999996</v>
      </c>
      <c r="AQ202" s="890">
        <f t="shared" si="251"/>
        <v>0.54245621211666661</v>
      </c>
      <c r="AR202" s="883">
        <f t="shared" ref="AR202:AX202" si="392">+AR203</f>
        <v>239917454</v>
      </c>
      <c r="AS202" s="883">
        <f t="shared" si="392"/>
        <v>79500000</v>
      </c>
      <c r="AT202" s="883">
        <f t="shared" si="392"/>
        <v>79500000</v>
      </c>
      <c r="AU202" s="883">
        <f t="shared" si="392"/>
        <v>28476677</v>
      </c>
      <c r="AV202" s="883">
        <f t="shared" si="392"/>
        <v>25021150</v>
      </c>
      <c r="AW202" s="883">
        <f t="shared" si="392"/>
        <v>239917454</v>
      </c>
      <c r="AX202" s="883">
        <f t="shared" si="392"/>
        <v>236100441</v>
      </c>
      <c r="AY202" s="891">
        <f t="shared" si="386"/>
        <v>0.98409030716039525</v>
      </c>
      <c r="AZ202" s="883">
        <f t="shared" ref="AZ202" si="393">+AZ203</f>
        <v>2170000000</v>
      </c>
      <c r="BA202" s="883">
        <f t="shared" si="254"/>
        <v>2046640731</v>
      </c>
      <c r="BB202" s="885">
        <f t="shared" si="248"/>
        <v>0.94315241059907839</v>
      </c>
      <c r="BC202" s="967">
        <f t="shared" si="255"/>
        <v>1490315645.54</v>
      </c>
      <c r="BD202" s="885">
        <f t="shared" si="256"/>
        <v>0.68678140347465433</v>
      </c>
      <c r="BE202" s="883"/>
      <c r="BF202" s="883" t="s">
        <v>1696</v>
      </c>
      <c r="BG202" s="883"/>
      <c r="BH202" s="883"/>
      <c r="BI202" s="892" t="s">
        <v>2081</v>
      </c>
    </row>
    <row r="203" spans="1:61" s="865" customFormat="1" ht="47.4" customHeight="1">
      <c r="A203" s="893" t="s">
        <v>2413</v>
      </c>
      <c r="B203" s="894"/>
      <c r="C203" s="894"/>
      <c r="D203" s="895"/>
      <c r="E203" s="895"/>
      <c r="F203" s="895"/>
      <c r="G203" s="895"/>
      <c r="H203" s="895"/>
      <c r="I203" s="895"/>
      <c r="J203" s="895"/>
      <c r="K203" s="895"/>
      <c r="L203" s="895"/>
      <c r="M203" s="895"/>
      <c r="N203" s="895"/>
      <c r="O203" s="896">
        <f>+SUMPRODUCT(O204:O207,AC204:AC207)</f>
        <v>1</v>
      </c>
      <c r="P203" s="896">
        <f t="shared" ref="P203:R203" si="394">+SUMPRODUCT(P204:P207,AD204:AD207)</f>
        <v>1</v>
      </c>
      <c r="Q203" s="896">
        <f t="shared" si="394"/>
        <v>1</v>
      </c>
      <c r="R203" s="896">
        <f t="shared" si="394"/>
        <v>1</v>
      </c>
      <c r="S203" s="1134"/>
      <c r="T203" s="1134"/>
      <c r="U203" s="894"/>
      <c r="V203" s="894"/>
      <c r="W203" s="894"/>
      <c r="X203" s="1134"/>
      <c r="Y203" s="1059"/>
      <c r="Z203" s="897"/>
      <c r="AA203" s="896">
        <f>+SUMPRODUCT(AA204:AA207,AB204:AB207)</f>
        <v>1</v>
      </c>
      <c r="AB203" s="896">
        <v>1</v>
      </c>
      <c r="AC203" s="896">
        <v>1</v>
      </c>
      <c r="AD203" s="896">
        <v>1</v>
      </c>
      <c r="AE203" s="896">
        <v>1</v>
      </c>
      <c r="AF203" s="896">
        <v>1</v>
      </c>
      <c r="AG203" s="894">
        <f>SUM(AG204:AG207)</f>
        <v>1200000000</v>
      </c>
      <c r="AH203" s="894">
        <f>SUM(AH204:AH207)</f>
        <v>176700000</v>
      </c>
      <c r="AI203" s="894">
        <f>SUM(AI204:AI207)</f>
        <v>181800319</v>
      </c>
      <c r="AJ203" s="894">
        <f>SUM(AJ204:AJ207)</f>
        <v>488140412</v>
      </c>
      <c r="AK203" s="894">
        <f>SUM(AK204:AK207)</f>
        <v>1200000000</v>
      </c>
      <c r="AL203" s="900">
        <f t="shared" si="250"/>
        <v>1</v>
      </c>
      <c r="AM203" s="894">
        <f>SUM(AM204:AM207)</f>
        <v>97200000</v>
      </c>
      <c r="AN203" s="894">
        <f>SUM(AN204:AN207)</f>
        <v>153323642</v>
      </c>
      <c r="AO203" s="894">
        <f>SUM(AO204:AO207)</f>
        <v>248222958</v>
      </c>
      <c r="AP203" s="894">
        <f>SUM(AP204:AP207)</f>
        <v>650947454.53999996</v>
      </c>
      <c r="AQ203" s="901">
        <f t="shared" si="251"/>
        <v>0.54245621211666661</v>
      </c>
      <c r="AR203" s="902">
        <f t="shared" ref="AR203:AX203" si="395">SUM(AR204:AR207)</f>
        <v>239917454</v>
      </c>
      <c r="AS203" s="894">
        <f t="shared" si="395"/>
        <v>79500000</v>
      </c>
      <c r="AT203" s="894">
        <f t="shared" si="395"/>
        <v>79500000</v>
      </c>
      <c r="AU203" s="894">
        <f t="shared" si="395"/>
        <v>28476677</v>
      </c>
      <c r="AV203" s="894">
        <f t="shared" si="395"/>
        <v>25021150</v>
      </c>
      <c r="AW203" s="894">
        <f t="shared" si="395"/>
        <v>239917454</v>
      </c>
      <c r="AX203" s="894">
        <f t="shared" si="395"/>
        <v>236100441</v>
      </c>
      <c r="AY203" s="903">
        <f t="shared" si="386"/>
        <v>0.98409030716039525</v>
      </c>
      <c r="AZ203" s="894">
        <f t="shared" ref="AZ203" si="396">SUM(AZ204:AZ207)</f>
        <v>2170000000</v>
      </c>
      <c r="BA203" s="894">
        <f t="shared" si="254"/>
        <v>2046640731</v>
      </c>
      <c r="BB203" s="896">
        <f t="shared" si="248"/>
        <v>0.94315241059907839</v>
      </c>
      <c r="BC203" s="962">
        <f t="shared" si="255"/>
        <v>1490315645.54</v>
      </c>
      <c r="BD203" s="896">
        <f t="shared" si="256"/>
        <v>0.68678140347465433</v>
      </c>
      <c r="BE203" s="902"/>
      <c r="BF203" s="902"/>
      <c r="BG203" s="902"/>
      <c r="BH203" s="902"/>
      <c r="BI203" s="865" t="s">
        <v>2081</v>
      </c>
    </row>
    <row r="204" spans="1:61" s="865" customFormat="1" ht="47.4" customHeight="1">
      <c r="A204" s="1140" t="s">
        <v>2414</v>
      </c>
      <c r="B204" s="1148" t="s">
        <v>2415</v>
      </c>
      <c r="C204" s="937" t="s">
        <v>2086</v>
      </c>
      <c r="D204" s="990">
        <v>0</v>
      </c>
      <c r="E204" s="990">
        <v>0</v>
      </c>
      <c r="F204" s="990">
        <v>0</v>
      </c>
      <c r="G204" s="990">
        <v>4</v>
      </c>
      <c r="H204" s="906">
        <v>0</v>
      </c>
      <c r="I204" s="906">
        <v>0</v>
      </c>
      <c r="J204" s="906">
        <v>0</v>
      </c>
      <c r="K204" s="906">
        <v>4</v>
      </c>
      <c r="L204" s="906"/>
      <c r="M204" s="906"/>
      <c r="N204" s="906"/>
      <c r="O204" s="908">
        <f t="shared" ref="O204:Q207" si="397">+IFERROR(IF((H204+L204)/D204&gt;=100%,100%,(H204+L204)/D204),0)</f>
        <v>0</v>
      </c>
      <c r="P204" s="978">
        <f t="shared" si="397"/>
        <v>0</v>
      </c>
      <c r="Q204" s="908">
        <f t="shared" si="397"/>
        <v>0</v>
      </c>
      <c r="R204" s="908">
        <f t="shared" ref="R204:R207" si="398">+IFERROR(IF(K204/G204&gt;=100%,100%,K204/G204),0)</f>
        <v>1</v>
      </c>
      <c r="S204" s="865" t="s">
        <v>2784</v>
      </c>
      <c r="T204" s="931">
        <v>45291</v>
      </c>
      <c r="U204" s="911" t="s">
        <v>2092</v>
      </c>
      <c r="V204" s="869"/>
      <c r="W204" s="910" t="s">
        <v>2683</v>
      </c>
      <c r="X204" s="865">
        <v>291</v>
      </c>
      <c r="Y204" s="869">
        <f t="shared" ref="Y204:Y207" si="399">SUM(D204:G204)</f>
        <v>4</v>
      </c>
      <c r="Z204" s="913">
        <f t="shared" ref="Z204:Z207" si="400">SUM(H204:N204)</f>
        <v>4</v>
      </c>
      <c r="AA204" s="928">
        <f t="shared" ref="AA204:AA207" si="401">IF(Z204/Y204&gt;=100%,100%,Z204/Y204)</f>
        <v>1</v>
      </c>
      <c r="AB204" s="1157">
        <v>0.3</v>
      </c>
      <c r="AC204" s="1157">
        <v>0</v>
      </c>
      <c r="AD204" s="908">
        <v>0</v>
      </c>
      <c r="AE204" s="908">
        <v>0</v>
      </c>
      <c r="AF204" s="1157">
        <v>0.3</v>
      </c>
      <c r="AG204" s="1142">
        <v>500000000</v>
      </c>
      <c r="AH204" s="1158" t="s">
        <v>2095</v>
      </c>
      <c r="AI204" s="1158" t="s">
        <v>2095</v>
      </c>
      <c r="AJ204" s="1158"/>
      <c r="AK204" s="1174">
        <v>500000000</v>
      </c>
      <c r="AL204" s="916">
        <f t="shared" ref="AL204:AL267" si="402">+AK204/AG204</f>
        <v>1</v>
      </c>
      <c r="AM204" s="1158" t="s">
        <v>2095</v>
      </c>
      <c r="AN204" s="1158" t="s">
        <v>2095</v>
      </c>
      <c r="AO204" s="1158"/>
      <c r="AP204" s="1174">
        <v>462067833.54000002</v>
      </c>
      <c r="AQ204" s="1040">
        <f t="shared" ref="AQ204:AQ267" si="403">+AP204/AG204</f>
        <v>0.92413566708000006</v>
      </c>
      <c r="AR204" s="915">
        <f t="shared" ref="AR204:AR207" si="404">+AJ204-AO204</f>
        <v>0</v>
      </c>
      <c r="AS204" s="1158" t="s">
        <v>2095</v>
      </c>
      <c r="AT204" s="1041">
        <v>0</v>
      </c>
      <c r="AU204" s="1158"/>
      <c r="AV204" s="1158"/>
      <c r="AW204" s="1158"/>
      <c r="AX204" s="1158"/>
      <c r="AY204" s="956" t="e">
        <f t="shared" si="386"/>
        <v>#DIV/0!</v>
      </c>
      <c r="AZ204" s="1041">
        <v>500000000</v>
      </c>
      <c r="BA204" s="957">
        <f t="shared" ref="BA204:BA267" si="405">SUM(AH204:AK204)</f>
        <v>500000000</v>
      </c>
      <c r="BB204" s="930">
        <f t="shared" ref="BB204:BB267" si="406">+BA204/AZ204</f>
        <v>1</v>
      </c>
      <c r="BC204" s="986">
        <f t="shared" ref="BC204:BC267" si="407">SUM(AM204:AP204)+AT204+AV204+AX204</f>
        <v>462067833.54000002</v>
      </c>
      <c r="BD204" s="930">
        <f t="shared" ref="BD204:BD267" si="408">+BC204/AZ204</f>
        <v>0.92413566708000006</v>
      </c>
      <c r="BE204" s="987"/>
      <c r="BF204" s="987"/>
      <c r="BG204" s="910" t="s">
        <v>1701</v>
      </c>
      <c r="BH204" s="1355" t="s">
        <v>2216</v>
      </c>
      <c r="BI204" s="865" t="s">
        <v>2081</v>
      </c>
    </row>
    <row r="205" spans="1:61" s="865" customFormat="1" ht="47.4" customHeight="1">
      <c r="A205" s="1140" t="s">
        <v>2416</v>
      </c>
      <c r="B205" s="1148" t="s">
        <v>2417</v>
      </c>
      <c r="C205" s="937" t="s">
        <v>2086</v>
      </c>
      <c r="D205" s="990">
        <v>0</v>
      </c>
      <c r="E205" s="990">
        <v>0</v>
      </c>
      <c r="F205" s="990">
        <v>8</v>
      </c>
      <c r="G205" s="990">
        <v>15</v>
      </c>
      <c r="H205" s="906">
        <v>0</v>
      </c>
      <c r="I205" s="906">
        <v>0</v>
      </c>
      <c r="J205" s="906">
        <v>0</v>
      </c>
      <c r="K205" s="906">
        <v>15</v>
      </c>
      <c r="L205" s="906"/>
      <c r="M205" s="906"/>
      <c r="N205" s="906">
        <v>8</v>
      </c>
      <c r="O205" s="908">
        <f t="shared" si="397"/>
        <v>0</v>
      </c>
      <c r="P205" s="978">
        <f t="shared" si="397"/>
        <v>0</v>
      </c>
      <c r="Q205" s="930">
        <f t="shared" si="397"/>
        <v>1</v>
      </c>
      <c r="R205" s="908">
        <f t="shared" si="398"/>
        <v>1</v>
      </c>
      <c r="S205" s="865" t="s">
        <v>2785</v>
      </c>
      <c r="T205" s="931">
        <v>45291</v>
      </c>
      <c r="U205" s="911" t="s">
        <v>2092</v>
      </c>
      <c r="V205" s="869"/>
      <c r="W205" s="910" t="s">
        <v>2683</v>
      </c>
      <c r="X205" s="933" t="s">
        <v>2766</v>
      </c>
      <c r="Y205" s="869">
        <f t="shared" si="399"/>
        <v>23</v>
      </c>
      <c r="Z205" s="913">
        <f t="shared" si="400"/>
        <v>23</v>
      </c>
      <c r="AA205" s="928">
        <f t="shared" si="401"/>
        <v>1</v>
      </c>
      <c r="AB205" s="1157">
        <v>0.3</v>
      </c>
      <c r="AC205" s="1157">
        <v>0</v>
      </c>
      <c r="AD205" s="908">
        <v>0</v>
      </c>
      <c r="AE205" s="908">
        <v>0.4</v>
      </c>
      <c r="AF205" s="1157">
        <v>0.3</v>
      </c>
      <c r="AG205" s="1142">
        <v>500000000</v>
      </c>
      <c r="AH205" s="1158" t="s">
        <v>2095</v>
      </c>
      <c r="AI205" s="1158" t="s">
        <v>2095</v>
      </c>
      <c r="AJ205" s="1158">
        <v>239671155</v>
      </c>
      <c r="AK205" s="1174">
        <v>500000000</v>
      </c>
      <c r="AL205" s="916">
        <f t="shared" si="402"/>
        <v>1</v>
      </c>
      <c r="AM205" s="1158" t="s">
        <v>2095</v>
      </c>
      <c r="AN205" s="1158" t="s">
        <v>2095</v>
      </c>
      <c r="AO205" s="1158">
        <v>18648707</v>
      </c>
      <c r="AP205" s="1174">
        <v>38842587</v>
      </c>
      <c r="AQ205" s="1040">
        <f t="shared" si="403"/>
        <v>7.7685173999999996E-2</v>
      </c>
      <c r="AR205" s="915">
        <f t="shared" si="404"/>
        <v>221022448</v>
      </c>
      <c r="AS205" s="1158" t="s">
        <v>2095</v>
      </c>
      <c r="AT205" s="1041">
        <v>0</v>
      </c>
      <c r="AU205" s="1158"/>
      <c r="AV205" s="1158"/>
      <c r="AW205" s="1158">
        <v>221022448</v>
      </c>
      <c r="AX205" s="1158">
        <v>220635658</v>
      </c>
      <c r="AY205" s="956">
        <f t="shared" si="386"/>
        <v>0.99824999676051007</v>
      </c>
      <c r="AZ205" s="1041">
        <v>740300000</v>
      </c>
      <c r="BA205" s="957">
        <f t="shared" si="405"/>
        <v>739671155</v>
      </c>
      <c r="BB205" s="930">
        <f t="shared" si="406"/>
        <v>0.99915055382952855</v>
      </c>
      <c r="BC205" s="986">
        <f t="shared" si="407"/>
        <v>278126952</v>
      </c>
      <c r="BD205" s="930">
        <f t="shared" si="408"/>
        <v>0.37569492367958934</v>
      </c>
      <c r="BE205" s="987"/>
      <c r="BF205" s="987"/>
      <c r="BG205" s="910" t="s">
        <v>1701</v>
      </c>
      <c r="BH205" s="1345"/>
      <c r="BI205" s="865" t="s">
        <v>2081</v>
      </c>
    </row>
    <row r="206" spans="1:61" s="865" customFormat="1" ht="47.4" customHeight="1">
      <c r="A206" s="1140" t="s">
        <v>1908</v>
      </c>
      <c r="B206" s="1148" t="s">
        <v>2418</v>
      </c>
      <c r="C206" s="905" t="s">
        <v>1054</v>
      </c>
      <c r="D206" s="1175">
        <v>1</v>
      </c>
      <c r="E206" s="1175">
        <v>1</v>
      </c>
      <c r="F206" s="1175">
        <v>1</v>
      </c>
      <c r="G206" s="1175">
        <v>1</v>
      </c>
      <c r="H206" s="1175">
        <v>1</v>
      </c>
      <c r="I206" s="908">
        <v>1</v>
      </c>
      <c r="J206" s="914">
        <v>1</v>
      </c>
      <c r="K206" s="914">
        <v>1</v>
      </c>
      <c r="L206" s="906"/>
      <c r="M206" s="906"/>
      <c r="N206" s="906"/>
      <c r="O206" s="908">
        <f t="shared" si="397"/>
        <v>1</v>
      </c>
      <c r="P206" s="930">
        <f t="shared" si="397"/>
        <v>1</v>
      </c>
      <c r="Q206" s="930">
        <f t="shared" si="397"/>
        <v>1</v>
      </c>
      <c r="R206" s="908">
        <f t="shared" si="398"/>
        <v>1</v>
      </c>
      <c r="S206" s="865" t="s">
        <v>2786</v>
      </c>
      <c r="T206" s="931">
        <v>45291</v>
      </c>
      <c r="U206" s="942"/>
      <c r="V206" s="942"/>
      <c r="W206" s="909"/>
      <c r="Y206" s="934">
        <f t="shared" si="399"/>
        <v>4</v>
      </c>
      <c r="Z206" s="934">
        <f t="shared" si="400"/>
        <v>4</v>
      </c>
      <c r="AA206" s="928">
        <f t="shared" si="401"/>
        <v>1</v>
      </c>
      <c r="AB206" s="1157">
        <v>0.2</v>
      </c>
      <c r="AC206" s="1157">
        <v>0.5</v>
      </c>
      <c r="AD206" s="908">
        <v>0.5</v>
      </c>
      <c r="AE206" s="908">
        <v>0.3</v>
      </c>
      <c r="AF206" s="1157">
        <v>0.2</v>
      </c>
      <c r="AG206" s="1142">
        <v>100000000</v>
      </c>
      <c r="AH206" s="1142">
        <v>79700000</v>
      </c>
      <c r="AI206" s="1158">
        <v>83453359</v>
      </c>
      <c r="AJ206" s="1158">
        <v>139685550</v>
      </c>
      <c r="AK206" s="1174">
        <v>100000000</v>
      </c>
      <c r="AL206" s="916">
        <f t="shared" si="402"/>
        <v>1</v>
      </c>
      <c r="AM206" s="1142">
        <v>50800000</v>
      </c>
      <c r="AN206" s="1158">
        <v>62161821</v>
      </c>
      <c r="AO206" s="1158">
        <v>126721637</v>
      </c>
      <c r="AP206" s="1174">
        <v>85168517</v>
      </c>
      <c r="AQ206" s="928">
        <f t="shared" si="403"/>
        <v>0.85168516999999999</v>
      </c>
      <c r="AR206" s="915">
        <f t="shared" si="404"/>
        <v>12963913</v>
      </c>
      <c r="AS206" s="1142">
        <v>28900000</v>
      </c>
      <c r="AT206" s="1142">
        <v>28900000</v>
      </c>
      <c r="AU206" s="1142">
        <v>21291538</v>
      </c>
      <c r="AV206" s="1142">
        <v>20565112</v>
      </c>
      <c r="AW206" s="1142">
        <v>12963913</v>
      </c>
      <c r="AX206" s="1142">
        <v>12589282</v>
      </c>
      <c r="AY206" s="956">
        <f t="shared" si="386"/>
        <v>0.97110201217795888</v>
      </c>
      <c r="AZ206" s="1041">
        <v>450700000</v>
      </c>
      <c r="BA206" s="957">
        <f t="shared" si="405"/>
        <v>402838909</v>
      </c>
      <c r="BB206" s="930">
        <f t="shared" si="406"/>
        <v>0.89380720878633235</v>
      </c>
      <c r="BC206" s="986">
        <f t="shared" si="407"/>
        <v>386906369</v>
      </c>
      <c r="BD206" s="930">
        <f t="shared" si="408"/>
        <v>0.85845655424894607</v>
      </c>
      <c r="BE206" s="987"/>
      <c r="BF206" s="987"/>
      <c r="BG206" s="910" t="s">
        <v>279</v>
      </c>
      <c r="BH206" s="1144" t="s">
        <v>2216</v>
      </c>
      <c r="BI206" s="865" t="s">
        <v>2081</v>
      </c>
    </row>
    <row r="207" spans="1:61" s="865" customFormat="1" ht="47.4" customHeight="1">
      <c r="A207" s="1140" t="s">
        <v>2419</v>
      </c>
      <c r="B207" s="1148" t="s">
        <v>2420</v>
      </c>
      <c r="C207" s="937" t="s">
        <v>2086</v>
      </c>
      <c r="D207" s="990">
        <v>23</v>
      </c>
      <c r="E207" s="990">
        <v>23</v>
      </c>
      <c r="F207" s="990">
        <v>23</v>
      </c>
      <c r="G207" s="990">
        <v>23</v>
      </c>
      <c r="H207" s="990">
        <v>23</v>
      </c>
      <c r="I207" s="906">
        <v>23</v>
      </c>
      <c r="J207" s="906">
        <v>23</v>
      </c>
      <c r="K207" s="906">
        <v>23</v>
      </c>
      <c r="L207" s="906"/>
      <c r="M207" s="906"/>
      <c r="N207" s="906"/>
      <c r="O207" s="908">
        <f t="shared" si="397"/>
        <v>1</v>
      </c>
      <c r="P207" s="930">
        <f t="shared" si="397"/>
        <v>1</v>
      </c>
      <c r="Q207" s="930">
        <f t="shared" si="397"/>
        <v>1</v>
      </c>
      <c r="R207" s="908">
        <f t="shared" si="398"/>
        <v>1</v>
      </c>
      <c r="S207" s="865" t="s">
        <v>2787</v>
      </c>
      <c r="T207" s="931">
        <v>45291</v>
      </c>
      <c r="U207" s="942" t="s">
        <v>2092</v>
      </c>
      <c r="V207" s="942"/>
      <c r="W207" s="909" t="s">
        <v>2683</v>
      </c>
      <c r="X207" s="933" t="s">
        <v>2250</v>
      </c>
      <c r="Y207" s="869">
        <f t="shared" si="399"/>
        <v>92</v>
      </c>
      <c r="Z207" s="913">
        <f t="shared" si="400"/>
        <v>92</v>
      </c>
      <c r="AA207" s="928">
        <f t="shared" si="401"/>
        <v>1</v>
      </c>
      <c r="AB207" s="1157">
        <v>0.2</v>
      </c>
      <c r="AC207" s="1157">
        <v>0.5</v>
      </c>
      <c r="AD207" s="908">
        <v>0.5</v>
      </c>
      <c r="AE207" s="908">
        <v>0.3</v>
      </c>
      <c r="AF207" s="1157">
        <v>0.2</v>
      </c>
      <c r="AG207" s="1142">
        <v>100000000</v>
      </c>
      <c r="AH207" s="1142">
        <v>97000000</v>
      </c>
      <c r="AI207" s="1158">
        <v>98346960</v>
      </c>
      <c r="AJ207" s="1158">
        <v>108783707</v>
      </c>
      <c r="AK207" s="1174">
        <v>100000000</v>
      </c>
      <c r="AL207" s="916">
        <f t="shared" si="402"/>
        <v>1</v>
      </c>
      <c r="AM207" s="1142">
        <v>46400000</v>
      </c>
      <c r="AN207" s="1158">
        <v>91161821</v>
      </c>
      <c r="AO207" s="1158">
        <v>102852614</v>
      </c>
      <c r="AP207" s="1174">
        <v>64868517</v>
      </c>
      <c r="AQ207" s="928">
        <f t="shared" si="403"/>
        <v>0.64868517000000003</v>
      </c>
      <c r="AR207" s="915">
        <f t="shared" si="404"/>
        <v>5931093</v>
      </c>
      <c r="AS207" s="1142">
        <v>50600000</v>
      </c>
      <c r="AT207" s="1142">
        <v>50600000</v>
      </c>
      <c r="AU207" s="1142">
        <v>7185139</v>
      </c>
      <c r="AV207" s="1142">
        <v>4456038</v>
      </c>
      <c r="AW207" s="1142">
        <v>5931093</v>
      </c>
      <c r="AX207" s="1142">
        <v>2875501</v>
      </c>
      <c r="AY207" s="956">
        <f t="shared" si="386"/>
        <v>0.48481805967298103</v>
      </c>
      <c r="AZ207" s="1041">
        <v>479000000</v>
      </c>
      <c r="BA207" s="957">
        <f t="shared" si="405"/>
        <v>404130667</v>
      </c>
      <c r="BB207" s="930">
        <f t="shared" si="406"/>
        <v>0.84369659081419623</v>
      </c>
      <c r="BC207" s="986">
        <f t="shared" si="407"/>
        <v>363214491</v>
      </c>
      <c r="BD207" s="930">
        <f t="shared" si="408"/>
        <v>0.75827659916492696</v>
      </c>
      <c r="BE207" s="987"/>
      <c r="BF207" s="987"/>
      <c r="BG207" s="910" t="s">
        <v>1701</v>
      </c>
      <c r="BH207" s="1144" t="s">
        <v>2216</v>
      </c>
      <c r="BI207" s="865" t="s">
        <v>2081</v>
      </c>
    </row>
    <row r="208" spans="1:61" s="892" customFormat="1" ht="42.75" customHeight="1">
      <c r="A208" s="882" t="s">
        <v>2421</v>
      </c>
      <c r="B208" s="883"/>
      <c r="C208" s="883"/>
      <c r="D208" s="884"/>
      <c r="E208" s="884"/>
      <c r="F208" s="1065"/>
      <c r="G208" s="1065"/>
      <c r="H208" s="884"/>
      <c r="I208" s="884"/>
      <c r="J208" s="1065"/>
      <c r="K208" s="1065"/>
      <c r="L208" s="884"/>
      <c r="M208" s="884"/>
      <c r="N208" s="884"/>
      <c r="O208" s="885">
        <f>+O209*AC209</f>
        <v>0</v>
      </c>
      <c r="P208" s="885">
        <f t="shared" ref="P208:R209" si="409">+P209*AD209</f>
        <v>0</v>
      </c>
      <c r="Q208" s="885">
        <f t="shared" si="409"/>
        <v>1</v>
      </c>
      <c r="R208" s="885">
        <f t="shared" si="409"/>
        <v>1</v>
      </c>
      <c r="S208" s="1132"/>
      <c r="T208" s="1132"/>
      <c r="U208" s="883"/>
      <c r="V208" s="883"/>
      <c r="W208" s="883"/>
      <c r="X208" s="1132"/>
      <c r="Y208" s="1133"/>
      <c r="Z208" s="886"/>
      <c r="AA208" s="885">
        <f>+(AA209*AB209)</f>
        <v>1</v>
      </c>
      <c r="AB208" s="885">
        <v>0.15</v>
      </c>
      <c r="AC208" s="885">
        <v>0</v>
      </c>
      <c r="AD208" s="885">
        <v>0</v>
      </c>
      <c r="AE208" s="885">
        <v>0.15</v>
      </c>
      <c r="AF208" s="885">
        <v>0.15</v>
      </c>
      <c r="AG208" s="883">
        <f>+AG209</f>
        <v>2337657757</v>
      </c>
      <c r="AH208" s="883">
        <f>+AH209</f>
        <v>0</v>
      </c>
      <c r="AI208" s="883">
        <f>+AI209</f>
        <v>0</v>
      </c>
      <c r="AJ208" s="883">
        <f>+AJ209</f>
        <v>4664621367.4099998</v>
      </c>
      <c r="AK208" s="883">
        <f>+AK209</f>
        <v>2332351406</v>
      </c>
      <c r="AL208" s="888">
        <f t="shared" si="402"/>
        <v>0.99773005651314428</v>
      </c>
      <c r="AM208" s="883">
        <f>+AM209</f>
        <v>0</v>
      </c>
      <c r="AN208" s="883">
        <f>+AN209</f>
        <v>0</v>
      </c>
      <c r="AO208" s="883">
        <f>+AO209</f>
        <v>1238760297.3699999</v>
      </c>
      <c r="AP208" s="883">
        <f>+AP209</f>
        <v>207112817</v>
      </c>
      <c r="AQ208" s="890">
        <f t="shared" si="403"/>
        <v>8.8598434214679611E-2</v>
      </c>
      <c r="AR208" s="883">
        <f t="shared" ref="AR208:AX208" si="410">+AR209</f>
        <v>3425861070.04</v>
      </c>
      <c r="AS208" s="883">
        <f t="shared" si="410"/>
        <v>0</v>
      </c>
      <c r="AT208" s="883">
        <f t="shared" si="410"/>
        <v>0</v>
      </c>
      <c r="AU208" s="883">
        <f t="shared" si="410"/>
        <v>0</v>
      </c>
      <c r="AV208" s="883">
        <f t="shared" si="410"/>
        <v>0</v>
      </c>
      <c r="AW208" s="883">
        <f t="shared" si="410"/>
        <v>3425861070.04</v>
      </c>
      <c r="AX208" s="883">
        <f t="shared" si="410"/>
        <v>3161240922.4899998</v>
      </c>
      <c r="AY208" s="891">
        <f t="shared" si="386"/>
        <v>0.92275806223895984</v>
      </c>
      <c r="AZ208" s="883">
        <f t="shared" ref="AZ208" si="411">+AZ209</f>
        <v>7021231736</v>
      </c>
      <c r="BA208" s="883">
        <f t="shared" si="405"/>
        <v>6996972773.4099998</v>
      </c>
      <c r="BB208" s="885">
        <f t="shared" si="406"/>
        <v>0.99654491355617603</v>
      </c>
      <c r="BC208" s="967">
        <f t="shared" si="407"/>
        <v>4607114036.8599997</v>
      </c>
      <c r="BD208" s="885">
        <f t="shared" si="408"/>
        <v>0.65616891880065975</v>
      </c>
      <c r="BE208" s="883"/>
      <c r="BF208" s="883" t="s">
        <v>1697</v>
      </c>
      <c r="BG208" s="883"/>
      <c r="BH208" s="883"/>
      <c r="BI208" s="892" t="s">
        <v>2081</v>
      </c>
    </row>
    <row r="209" spans="1:61" s="865" customFormat="1" ht="46.5" customHeight="1">
      <c r="A209" s="893" t="s">
        <v>2422</v>
      </c>
      <c r="B209" s="894"/>
      <c r="C209" s="894"/>
      <c r="D209" s="895"/>
      <c r="E209" s="895"/>
      <c r="F209" s="895"/>
      <c r="G209" s="895"/>
      <c r="H209" s="895"/>
      <c r="I209" s="895"/>
      <c r="J209" s="895"/>
      <c r="K209" s="895"/>
      <c r="L209" s="895"/>
      <c r="M209" s="895"/>
      <c r="N209" s="895"/>
      <c r="O209" s="896">
        <f>+O210*AC210</f>
        <v>0</v>
      </c>
      <c r="P209" s="896">
        <f t="shared" si="409"/>
        <v>0</v>
      </c>
      <c r="Q209" s="896">
        <f t="shared" si="409"/>
        <v>1</v>
      </c>
      <c r="R209" s="896">
        <f t="shared" si="409"/>
        <v>1</v>
      </c>
      <c r="S209" s="1134"/>
      <c r="T209" s="1134"/>
      <c r="U209" s="894"/>
      <c r="V209" s="894"/>
      <c r="W209" s="894"/>
      <c r="X209" s="1134"/>
      <c r="Y209" s="1059"/>
      <c r="Z209" s="897"/>
      <c r="AA209" s="896">
        <f>+SUMPRODUCT(AA210:AA210,AB210:AB210)</f>
        <v>1</v>
      </c>
      <c r="AB209" s="896">
        <v>1</v>
      </c>
      <c r="AC209" s="896">
        <v>0</v>
      </c>
      <c r="AD209" s="896">
        <v>0</v>
      </c>
      <c r="AE209" s="896">
        <v>1</v>
      </c>
      <c r="AF209" s="896">
        <v>1</v>
      </c>
      <c r="AG209" s="894">
        <f>SUM(AG210)</f>
        <v>2337657757</v>
      </c>
      <c r="AH209" s="894">
        <f>SUM(AH210)</f>
        <v>0</v>
      </c>
      <c r="AI209" s="894">
        <f>SUM(AI210)</f>
        <v>0</v>
      </c>
      <c r="AJ209" s="894">
        <f>SUM(AJ210)</f>
        <v>4664621367.4099998</v>
      </c>
      <c r="AK209" s="894">
        <f>SUM(AK210)</f>
        <v>2332351406</v>
      </c>
      <c r="AL209" s="900">
        <f t="shared" si="402"/>
        <v>0.99773005651314428</v>
      </c>
      <c r="AM209" s="894">
        <f>SUM(AM210)</f>
        <v>0</v>
      </c>
      <c r="AN209" s="894">
        <f>SUM(AN210)</f>
        <v>0</v>
      </c>
      <c r="AO209" s="894">
        <f>SUM(AO210)</f>
        <v>1238760297.3699999</v>
      </c>
      <c r="AP209" s="894">
        <f>SUM(AP210)</f>
        <v>207112817</v>
      </c>
      <c r="AQ209" s="901">
        <f t="shared" si="403"/>
        <v>8.8598434214679611E-2</v>
      </c>
      <c r="AR209" s="902">
        <f t="shared" ref="AR209:AX209" si="412">SUM(AR210)</f>
        <v>3425861070.04</v>
      </c>
      <c r="AS209" s="894">
        <f t="shared" si="412"/>
        <v>0</v>
      </c>
      <c r="AT209" s="894">
        <f t="shared" si="412"/>
        <v>0</v>
      </c>
      <c r="AU209" s="894">
        <f t="shared" si="412"/>
        <v>0</v>
      </c>
      <c r="AV209" s="894">
        <f t="shared" si="412"/>
        <v>0</v>
      </c>
      <c r="AW209" s="894">
        <f t="shared" si="412"/>
        <v>3425861070.04</v>
      </c>
      <c r="AX209" s="894">
        <f t="shared" si="412"/>
        <v>3161240922.4899998</v>
      </c>
      <c r="AY209" s="903">
        <f t="shared" si="386"/>
        <v>0.92275806223895984</v>
      </c>
      <c r="AZ209" s="902">
        <f t="shared" ref="AZ209" si="413">SUM(AZ210)</f>
        <v>7021231736</v>
      </c>
      <c r="BA209" s="902">
        <f t="shared" si="405"/>
        <v>6996972773.4099998</v>
      </c>
      <c r="BB209" s="896">
        <f t="shared" si="406"/>
        <v>0.99654491355617603</v>
      </c>
      <c r="BC209" s="962">
        <f t="shared" si="407"/>
        <v>4607114036.8599997</v>
      </c>
      <c r="BD209" s="896">
        <f t="shared" si="408"/>
        <v>0.65616891880065975</v>
      </c>
      <c r="BE209" s="902"/>
      <c r="BF209" s="902"/>
      <c r="BG209" s="902"/>
      <c r="BH209" s="902"/>
      <c r="BI209" s="865" t="s">
        <v>2081</v>
      </c>
    </row>
    <row r="210" spans="1:61" s="865" customFormat="1" ht="47.4" customHeight="1">
      <c r="A210" s="1135" t="s">
        <v>2423</v>
      </c>
      <c r="B210" s="1139" t="s">
        <v>2424</v>
      </c>
      <c r="C210" s="937" t="s">
        <v>2086</v>
      </c>
      <c r="D210" s="1003">
        <v>0</v>
      </c>
      <c r="E210" s="1003">
        <v>0</v>
      </c>
      <c r="F210" s="1003">
        <v>1</v>
      </c>
      <c r="G210" s="1003">
        <v>1</v>
      </c>
      <c r="H210" s="906">
        <v>0</v>
      </c>
      <c r="I210" s="906">
        <v>0</v>
      </c>
      <c r="J210" s="906">
        <v>6</v>
      </c>
      <c r="K210" s="906">
        <v>1</v>
      </c>
      <c r="L210" s="906"/>
      <c r="M210" s="906"/>
      <c r="N210" s="906"/>
      <c r="O210" s="908">
        <f>+IFERROR(IF((H210+L210)/D210&gt;=100%,100%,(H210+L210)/D210),0)</f>
        <v>0</v>
      </c>
      <c r="P210" s="978">
        <f>+IFERROR(IF((I210+M210)/E210&gt;=100%,100%,(I210+M210)/E210),0)</f>
        <v>0</v>
      </c>
      <c r="Q210" s="930">
        <f>+IFERROR(IF((J210+N210)/F210&gt;=100%,100%,(J210+N210)/F210),0)</f>
        <v>1</v>
      </c>
      <c r="R210" s="908">
        <f>+IFERROR(IF(K210/G210&gt;=100%,100%,K210/G210),0)</f>
        <v>1</v>
      </c>
      <c r="S210" s="865" t="s">
        <v>2788</v>
      </c>
      <c r="T210" s="931">
        <v>45291</v>
      </c>
      <c r="U210" s="942" t="s">
        <v>2092</v>
      </c>
      <c r="V210" s="942"/>
      <c r="W210" s="910" t="s">
        <v>2687</v>
      </c>
      <c r="X210" s="933">
        <v>251</v>
      </c>
      <c r="Y210" s="869">
        <f t="shared" ref="Y210" si="414">SUM(D210:G210)</f>
        <v>2</v>
      </c>
      <c r="Z210" s="913">
        <f t="shared" ref="Z210" si="415">SUM(H210:N210)</f>
        <v>7</v>
      </c>
      <c r="AA210" s="928">
        <f t="shared" ref="AA210" si="416">IF(Z210/Y210&gt;=100%,100%,Z210/Y210)</f>
        <v>1</v>
      </c>
      <c r="AB210" s="1056">
        <v>1</v>
      </c>
      <c r="AC210" s="1056">
        <v>0</v>
      </c>
      <c r="AD210" s="908">
        <v>0</v>
      </c>
      <c r="AE210" s="908">
        <v>1</v>
      </c>
      <c r="AF210" s="908">
        <v>1</v>
      </c>
      <c r="AG210" s="1041">
        <v>2337657757</v>
      </c>
      <c r="AH210" s="1041">
        <v>0</v>
      </c>
      <c r="AI210" s="1041">
        <v>0</v>
      </c>
      <c r="AJ210" s="1041">
        <v>4664621367.4099998</v>
      </c>
      <c r="AK210" s="1041">
        <v>2332351406</v>
      </c>
      <c r="AL210" s="916">
        <f t="shared" si="402"/>
        <v>0.99773005651314428</v>
      </c>
      <c r="AM210" s="1041">
        <v>0</v>
      </c>
      <c r="AN210" s="1041">
        <v>0</v>
      </c>
      <c r="AO210" s="1041">
        <v>1238760297.3699999</v>
      </c>
      <c r="AP210" s="1041">
        <v>207112817</v>
      </c>
      <c r="AQ210" s="1040">
        <f t="shared" si="403"/>
        <v>8.8598434214679611E-2</v>
      </c>
      <c r="AR210" s="915">
        <f>+AJ210-AO210</f>
        <v>3425861070.04</v>
      </c>
      <c r="AS210" s="1041">
        <v>0</v>
      </c>
      <c r="AT210" s="1041">
        <v>0</v>
      </c>
      <c r="AU210" s="1041"/>
      <c r="AV210" s="1041"/>
      <c r="AW210" s="1041">
        <v>3425861070.04</v>
      </c>
      <c r="AX210" s="1041">
        <v>3161240922.4899998</v>
      </c>
      <c r="AY210" s="956">
        <f t="shared" si="386"/>
        <v>0.92275806223895984</v>
      </c>
      <c r="AZ210" s="1041">
        <v>7021231736</v>
      </c>
      <c r="BA210" s="957">
        <f t="shared" si="405"/>
        <v>6996972773.4099998</v>
      </c>
      <c r="BB210" s="930">
        <f t="shared" si="406"/>
        <v>0.99654491355617603</v>
      </c>
      <c r="BC210" s="986">
        <f t="shared" si="407"/>
        <v>4607114036.8599997</v>
      </c>
      <c r="BD210" s="930">
        <f t="shared" si="408"/>
        <v>0.65616891880065975</v>
      </c>
      <c r="BE210" s="987"/>
      <c r="BF210" s="926"/>
      <c r="BG210" s="910" t="s">
        <v>1701</v>
      </c>
      <c r="BH210" s="1151" t="s">
        <v>2216</v>
      </c>
      <c r="BI210" s="865" t="s">
        <v>2081</v>
      </c>
    </row>
    <row r="211" spans="1:61" s="865" customFormat="1" ht="47.4" customHeight="1">
      <c r="A211" s="871" t="s">
        <v>2425</v>
      </c>
      <c r="B211" s="1080"/>
      <c r="C211" s="1080"/>
      <c r="D211" s="1081"/>
      <c r="E211" s="1081"/>
      <c r="F211" s="1081"/>
      <c r="G211" s="1081"/>
      <c r="H211" s="1081"/>
      <c r="I211" s="1081"/>
      <c r="J211" s="1081"/>
      <c r="K211" s="1081"/>
      <c r="L211" s="1081"/>
      <c r="M211" s="1081"/>
      <c r="N211" s="1081"/>
      <c r="O211" s="874">
        <f>+(O212*AC212)+(O218*AC218)+(O229*AC229)+(O239*AC239)+(O245*AC245)+(O250*AC250)+(O260*AC260)+(O270*AC270)+(O278*AC278)+(O286*AC286)+(O293*AC293)</f>
        <v>0.99352666666666667</v>
      </c>
      <c r="P211" s="874">
        <f>+(P212*AD212)+(P218*AD218)+(P229*AD229)+(P239*AD239)+(P245*AD245)+(P250*AD250)+(P260*AD260)+(P270*AD270)+(P278*AD278)+(P286*AD286)+(P293*AD293)</f>
        <v>0.97339999999999982</v>
      </c>
      <c r="Q211" s="874">
        <f>+(Q212*AE212)+(Q218*AE218)+(Q229*AE229)+(Q239*AE239)+(Q245*AE245)+(Q250*AE250)+(Q260*AE260)+(Q270*AE270)+(Q278*AE278)+(Q286*AE286)+(Q293*AE293)</f>
        <v>0.95788600000000002</v>
      </c>
      <c r="R211" s="880">
        <f>+(R212*AF212)+(R218*AF218)+(R229*AF229)+(R239*AF239)+(R245*AF245)+(R250*AF250)+(R260*AF260)+(R270*AF270)+(R278*AF278)+(R286*AF286)+(R293*AF293)</f>
        <v>0.98727496147552063</v>
      </c>
      <c r="S211" s="1129"/>
      <c r="T211" s="1129"/>
      <c r="U211" s="875"/>
      <c r="V211" s="875"/>
      <c r="W211" s="875"/>
      <c r="X211" s="1129"/>
      <c r="Y211" s="1130"/>
      <c r="Z211" s="1131"/>
      <c r="AA211" s="874">
        <f>+(AA212*AB212)+(AA218*AB218)+(AA229*AB229)+(AA239*AB239)+(AA245*AB245)+(AA250*AB250)+(AA260*AB260)+(AA270*AB270)+(AA278*AB278)+(AA286*AB286)+(AA293*AB293)</f>
        <v>0.96249754844265634</v>
      </c>
      <c r="AB211" s="877">
        <v>0.15</v>
      </c>
      <c r="AC211" s="877">
        <v>0.15</v>
      </c>
      <c r="AD211" s="877">
        <v>0.15</v>
      </c>
      <c r="AE211" s="877">
        <v>0.15</v>
      </c>
      <c r="AF211" s="877">
        <v>0.15</v>
      </c>
      <c r="AG211" s="878">
        <f>+AG212+AG218+AG229+AG239+AG245+AG250+AG260+AG270+AG278+AG286+AG293</f>
        <v>12184476422</v>
      </c>
      <c r="AH211" s="878">
        <f>+AH212+AH218+AH229+AH239+AH245+AH250+AH260+AH270+AH278+AH286+AH293</f>
        <v>9863323746.75</v>
      </c>
      <c r="AI211" s="878">
        <f>+AI212+AI218+AI229+AI239+AI245+AI250+AI260+AI270+AI278+AI286+AI293</f>
        <v>11821207043.58</v>
      </c>
      <c r="AJ211" s="878">
        <f>+AJ212+AJ218+AJ229+AJ239+AJ245+AJ250+AJ260+AJ270+AJ278+AJ286+AJ293</f>
        <v>29921273852.739998</v>
      </c>
      <c r="AK211" s="878">
        <f>+AK212+AK218+AK229+AK239+AK245+AK250+AK260+AK270+AK278+AK286+AK293</f>
        <v>11804439954.690001</v>
      </c>
      <c r="AL211" s="879">
        <f t="shared" si="402"/>
        <v>0.9688097826982689</v>
      </c>
      <c r="AM211" s="878">
        <f>+AM212+AM218+AM229+AM239+AM245+AM250+AM260+AM270+AM278+AM286</f>
        <v>1884731885</v>
      </c>
      <c r="AN211" s="878">
        <f>+AN212+AN218+AN229+AN239+AN245+AN250+AN260+AN270+AN278+AN286</f>
        <v>4098867829.7200003</v>
      </c>
      <c r="AO211" s="878">
        <f>+AO212+AO218+AO229+AO239+AO245+AO250+AO260+AO270+AO278+AO286</f>
        <v>5741471631.8499994</v>
      </c>
      <c r="AP211" s="878">
        <f>+AP212+AP218+AP229+AP239+AP245+AP250+AP260+AP270+AP278+AP286+AP293</f>
        <v>10047420905.060001</v>
      </c>
      <c r="AQ211" s="880">
        <f t="shared" si="403"/>
        <v>0.82460834237559999</v>
      </c>
      <c r="AR211" s="872">
        <f>+AR212+AR218+AR229+AR239+AR245+AR250+AR260+AR270+AR278+AR286</f>
        <v>432561577.88999999</v>
      </c>
      <c r="AS211" s="878">
        <f>+AS212+AS218+AS229+AS239+AS245+AS250+AS260+AS270+AS278+AS286+AS293</f>
        <v>1973271694.75</v>
      </c>
      <c r="AT211" s="878">
        <f>+AT212+AT218+AT229+AT239+AT245+AT250+AT260+AT270+AT278+AT286+AT294</f>
        <v>1791889983.02</v>
      </c>
      <c r="AU211" s="878">
        <f>+AU212+AU218+AU229+AU239+AU245+AU250+AU260+AU270+AU278+AU286+AU293</f>
        <v>1221478666.8599999</v>
      </c>
      <c r="AV211" s="878">
        <f>+AV212+AV218+AV229+AV239+AV245+AV250+AV260+AV270+AV278+AV286</f>
        <v>1125926103.2</v>
      </c>
      <c r="AW211" s="878">
        <f>+AW212+AW218+AW229+AW239+AW245+AW250+AW260+AW270+AW278+AW286+AW293</f>
        <v>3658936666.8799996</v>
      </c>
      <c r="AX211" s="878">
        <f>+AX212+AX218+AX229+AX239+AX245+AX250+AX260+AX270+AX278+AX286+AX293</f>
        <v>3511260807.6500001</v>
      </c>
      <c r="AY211" s="1082">
        <f t="shared" si="386"/>
        <v>0.95963967877150391</v>
      </c>
      <c r="AZ211" s="872">
        <f>+AZ212+AZ218+AZ229+AZ239+AZ245+AZ250+AZ260+AZ270+AZ278+AZ286+AZ293</f>
        <v>68803261655</v>
      </c>
      <c r="BA211" s="872">
        <f t="shared" si="405"/>
        <v>63410244597.760002</v>
      </c>
      <c r="BB211" s="877">
        <f t="shared" si="406"/>
        <v>0.92161684013932088</v>
      </c>
      <c r="BC211" s="1016">
        <f t="shared" si="407"/>
        <v>28201569145.500004</v>
      </c>
      <c r="BD211" s="877">
        <f t="shared" si="408"/>
        <v>0.40988709644189619</v>
      </c>
      <c r="BE211" s="872"/>
      <c r="BF211" s="872"/>
      <c r="BG211" s="872"/>
      <c r="BH211" s="872"/>
      <c r="BI211" s="865" t="s">
        <v>2081</v>
      </c>
    </row>
    <row r="212" spans="1:61" s="865" customFormat="1" ht="47.4" customHeight="1">
      <c r="A212" s="882" t="s">
        <v>2426</v>
      </c>
      <c r="B212" s="883"/>
      <c r="C212" s="883"/>
      <c r="D212" s="884"/>
      <c r="E212" s="884"/>
      <c r="F212" s="884"/>
      <c r="G212" s="884"/>
      <c r="H212" s="884"/>
      <c r="I212" s="884"/>
      <c r="J212" s="884"/>
      <c r="K212" s="884"/>
      <c r="L212" s="884"/>
      <c r="M212" s="884"/>
      <c r="N212" s="884"/>
      <c r="O212" s="885">
        <f>+(O213*AC213)</f>
        <v>1</v>
      </c>
      <c r="P212" s="885">
        <f t="shared" ref="P212:R212" si="417">+(P213*AD213)</f>
        <v>1</v>
      </c>
      <c r="Q212" s="885">
        <f t="shared" si="417"/>
        <v>1</v>
      </c>
      <c r="R212" s="885">
        <f t="shared" si="417"/>
        <v>1</v>
      </c>
      <c r="S212" s="1132"/>
      <c r="T212" s="1132"/>
      <c r="U212" s="883"/>
      <c r="V212" s="883"/>
      <c r="W212" s="883"/>
      <c r="X212" s="1132"/>
      <c r="Y212" s="1133"/>
      <c r="Z212" s="886"/>
      <c r="AA212" s="885">
        <f>+(AA213*AB213)</f>
        <v>1</v>
      </c>
      <c r="AB212" s="885">
        <v>0.1</v>
      </c>
      <c r="AC212" s="885">
        <v>0.1</v>
      </c>
      <c r="AD212" s="885">
        <v>0.1</v>
      </c>
      <c r="AE212" s="885">
        <v>0.1</v>
      </c>
      <c r="AF212" s="885">
        <v>0.1</v>
      </c>
      <c r="AG212" s="883">
        <f>+AG213</f>
        <v>535000000</v>
      </c>
      <c r="AH212" s="883">
        <f>+AH213</f>
        <v>341342657</v>
      </c>
      <c r="AI212" s="883">
        <f>+AI213</f>
        <v>576619318.39999998</v>
      </c>
      <c r="AJ212" s="883">
        <f>+AJ213</f>
        <v>544014835</v>
      </c>
      <c r="AK212" s="883">
        <f>+AK213</f>
        <v>534971991</v>
      </c>
      <c r="AL212" s="888">
        <f t="shared" si="402"/>
        <v>0.99994764672897196</v>
      </c>
      <c r="AM212" s="883">
        <f>+AM213</f>
        <v>313342657</v>
      </c>
      <c r="AN212" s="883">
        <f>+AN213</f>
        <v>500799213</v>
      </c>
      <c r="AO212" s="883">
        <f>+AO213</f>
        <v>477240510</v>
      </c>
      <c r="AP212" s="883">
        <f>+AP213</f>
        <v>390979713</v>
      </c>
      <c r="AQ212" s="890">
        <f t="shared" si="403"/>
        <v>0.73080320186915892</v>
      </c>
      <c r="AR212" s="883">
        <f t="shared" ref="AR212:AX212" si="418">+AR213</f>
        <v>66774325</v>
      </c>
      <c r="AS212" s="883">
        <f t="shared" si="418"/>
        <v>28000000</v>
      </c>
      <c r="AT212" s="883">
        <f t="shared" si="418"/>
        <v>19001563</v>
      </c>
      <c r="AU212" s="883">
        <f t="shared" si="418"/>
        <v>75820105.400000006</v>
      </c>
      <c r="AV212" s="883">
        <f t="shared" si="418"/>
        <v>60377211.399999999</v>
      </c>
      <c r="AW212" s="883">
        <f t="shared" si="418"/>
        <v>66774325</v>
      </c>
      <c r="AX212" s="883">
        <f t="shared" si="418"/>
        <v>0</v>
      </c>
      <c r="AY212" s="1068">
        <f t="shared" si="386"/>
        <v>0</v>
      </c>
      <c r="AZ212" s="883">
        <f>+AZ213</f>
        <v>2234277512</v>
      </c>
      <c r="BA212" s="883">
        <f t="shared" si="405"/>
        <v>1996948801.4000001</v>
      </c>
      <c r="BB212" s="885">
        <f t="shared" si="406"/>
        <v>0.89377832013913239</v>
      </c>
      <c r="BC212" s="967">
        <f t="shared" si="407"/>
        <v>1761740867.4000001</v>
      </c>
      <c r="BD212" s="885">
        <f t="shared" si="408"/>
        <v>0.7885058404508527</v>
      </c>
      <c r="BE212" s="883"/>
      <c r="BF212" s="883" t="s">
        <v>1700</v>
      </c>
      <c r="BG212" s="883"/>
      <c r="BH212" s="883"/>
    </row>
    <row r="213" spans="1:61" s="865" customFormat="1" ht="47.4" customHeight="1">
      <c r="A213" s="893" t="s">
        <v>2427</v>
      </c>
      <c r="B213" s="894"/>
      <c r="C213" s="894"/>
      <c r="D213" s="895"/>
      <c r="E213" s="895"/>
      <c r="F213" s="895"/>
      <c r="G213" s="895"/>
      <c r="H213" s="895"/>
      <c r="I213" s="895"/>
      <c r="J213" s="895"/>
      <c r="K213" s="895"/>
      <c r="L213" s="895"/>
      <c r="M213" s="895"/>
      <c r="N213" s="895"/>
      <c r="O213" s="896">
        <f>+SUMPRODUCT(O214:O217,AC214:AC217)</f>
        <v>1</v>
      </c>
      <c r="P213" s="896">
        <f t="shared" ref="P213:R213" si="419">+SUMPRODUCT(P214:P217,AD214:AD217)</f>
        <v>1</v>
      </c>
      <c r="Q213" s="896">
        <f t="shared" si="419"/>
        <v>1</v>
      </c>
      <c r="R213" s="896">
        <f t="shared" si="419"/>
        <v>1</v>
      </c>
      <c r="S213" s="1134"/>
      <c r="T213" s="1134"/>
      <c r="U213" s="894"/>
      <c r="V213" s="894"/>
      <c r="W213" s="894"/>
      <c r="X213" s="1134"/>
      <c r="Y213" s="1059"/>
      <c r="Z213" s="897"/>
      <c r="AA213" s="896">
        <f>+SUMPRODUCT(AA214:AA217,AB214:AB217)</f>
        <v>1</v>
      </c>
      <c r="AB213" s="896">
        <v>1</v>
      </c>
      <c r="AC213" s="896">
        <v>1</v>
      </c>
      <c r="AD213" s="896">
        <v>1</v>
      </c>
      <c r="AE213" s="896">
        <v>1</v>
      </c>
      <c r="AF213" s="896">
        <v>1</v>
      </c>
      <c r="AG213" s="894">
        <f>SUM(AG214:AG217)</f>
        <v>535000000</v>
      </c>
      <c r="AH213" s="894">
        <f>SUM(AH214:AH217)</f>
        <v>341342657</v>
      </c>
      <c r="AI213" s="894">
        <f>SUM(AI214:AI217)</f>
        <v>576619318.39999998</v>
      </c>
      <c r="AJ213" s="894">
        <f>SUM(AJ214:AJ217)</f>
        <v>544014835</v>
      </c>
      <c r="AK213" s="894">
        <f>SUM(AK214:AK217)</f>
        <v>534971991</v>
      </c>
      <c r="AL213" s="900">
        <f t="shared" si="402"/>
        <v>0.99994764672897196</v>
      </c>
      <c r="AM213" s="894">
        <f>SUM(AM214:AM217)</f>
        <v>313342657</v>
      </c>
      <c r="AN213" s="894">
        <f>SUM(AN214:AN217)</f>
        <v>500799213</v>
      </c>
      <c r="AO213" s="894">
        <f>SUM(AO214:AO217)</f>
        <v>477240510</v>
      </c>
      <c r="AP213" s="894">
        <f>SUM(AP214:AP217)</f>
        <v>390979713</v>
      </c>
      <c r="AQ213" s="901">
        <f t="shared" si="403"/>
        <v>0.73080320186915892</v>
      </c>
      <c r="AR213" s="902">
        <f t="shared" ref="AR213:AX213" si="420">SUM(AR214:AR217)</f>
        <v>66774325</v>
      </c>
      <c r="AS213" s="894">
        <f t="shared" si="420"/>
        <v>28000000</v>
      </c>
      <c r="AT213" s="894">
        <f t="shared" si="420"/>
        <v>19001563</v>
      </c>
      <c r="AU213" s="894">
        <f t="shared" si="420"/>
        <v>75820105.400000006</v>
      </c>
      <c r="AV213" s="894">
        <f t="shared" si="420"/>
        <v>60377211.399999999</v>
      </c>
      <c r="AW213" s="894">
        <f t="shared" si="420"/>
        <v>66774325</v>
      </c>
      <c r="AX213" s="894">
        <f t="shared" si="420"/>
        <v>0</v>
      </c>
      <c r="AY213" s="903">
        <f t="shared" si="386"/>
        <v>0</v>
      </c>
      <c r="AZ213" s="894">
        <f>SUM(AZ214:AZ217)</f>
        <v>2234277512</v>
      </c>
      <c r="BA213" s="894">
        <f t="shared" si="405"/>
        <v>1996948801.4000001</v>
      </c>
      <c r="BB213" s="896">
        <f t="shared" si="406"/>
        <v>0.89377832013913239</v>
      </c>
      <c r="BC213" s="962">
        <f t="shared" si="407"/>
        <v>1761740867.4000001</v>
      </c>
      <c r="BD213" s="896">
        <f t="shared" si="408"/>
        <v>0.7885058404508527</v>
      </c>
      <c r="BE213" s="902"/>
      <c r="BF213" s="902"/>
      <c r="BG213" s="902"/>
      <c r="BH213" s="902"/>
    </row>
    <row r="214" spans="1:61" s="865" customFormat="1" ht="63.75" customHeight="1">
      <c r="A214" s="1176" t="s">
        <v>2428</v>
      </c>
      <c r="B214" s="937" t="s">
        <v>2429</v>
      </c>
      <c r="C214" s="937" t="s">
        <v>2086</v>
      </c>
      <c r="D214" s="1177">
        <v>0</v>
      </c>
      <c r="E214" s="1177">
        <v>1</v>
      </c>
      <c r="F214" s="1177">
        <v>0</v>
      </c>
      <c r="G214" s="1177">
        <v>0</v>
      </c>
      <c r="H214" s="1177">
        <v>0</v>
      </c>
      <c r="I214" s="906">
        <v>1</v>
      </c>
      <c r="J214" s="906">
        <v>0</v>
      </c>
      <c r="K214" s="906">
        <v>0</v>
      </c>
      <c r="L214" s="906"/>
      <c r="M214" s="906"/>
      <c r="N214" s="906"/>
      <c r="O214" s="908">
        <f t="shared" ref="O214:Q217" si="421">+IFERROR(IF((H214+L214)/D214&gt;=100%,100%,(H214+L214)/D214),0)</f>
        <v>0</v>
      </c>
      <c r="P214" s="930">
        <f t="shared" si="421"/>
        <v>1</v>
      </c>
      <c r="Q214" s="908">
        <f t="shared" si="421"/>
        <v>0</v>
      </c>
      <c r="R214" s="908">
        <f t="shared" ref="R214:R217" si="422">+IFERROR(IF(K214/G214&gt;=100%,100%,K214/G214),0)</f>
        <v>0</v>
      </c>
      <c r="U214" s="911"/>
      <c r="V214" s="869"/>
      <c r="W214" s="910"/>
      <c r="Y214" s="869">
        <f t="shared" ref="Y214:Y217" si="423">SUM(D214:G214)</f>
        <v>1</v>
      </c>
      <c r="Z214" s="913">
        <f t="shared" ref="Z214:Z217" si="424">SUM(H214:N214)</f>
        <v>1</v>
      </c>
      <c r="AA214" s="928">
        <f t="shared" ref="AA214:AA217" si="425">IF(Z214/Y214&gt;=100%,100%,Z214/Y214)</f>
        <v>1</v>
      </c>
      <c r="AB214" s="1178">
        <v>0.1</v>
      </c>
      <c r="AC214" s="1178">
        <v>0</v>
      </c>
      <c r="AD214" s="1178">
        <v>0.1</v>
      </c>
      <c r="AE214" s="1178">
        <v>0</v>
      </c>
      <c r="AF214" s="908">
        <v>0</v>
      </c>
      <c r="AG214" s="1179">
        <v>0</v>
      </c>
      <c r="AH214" s="1179">
        <v>0</v>
      </c>
      <c r="AI214" s="1179">
        <v>78856872</v>
      </c>
      <c r="AJ214" s="1179">
        <v>0</v>
      </c>
      <c r="AK214" s="1179"/>
      <c r="AL214" s="916" t="e">
        <f t="shared" si="402"/>
        <v>#DIV/0!</v>
      </c>
      <c r="AM214" s="1179">
        <v>0</v>
      </c>
      <c r="AN214" s="1179">
        <v>75227275</v>
      </c>
      <c r="AO214" s="1179">
        <v>0</v>
      </c>
      <c r="AP214" s="1179"/>
      <c r="AQ214" s="928" t="e">
        <f t="shared" si="403"/>
        <v>#DIV/0!</v>
      </c>
      <c r="AR214" s="915">
        <f t="shared" ref="AR214:AR217" si="426">+AJ214-AO214</f>
        <v>0</v>
      </c>
      <c r="AS214" s="1179">
        <v>0</v>
      </c>
      <c r="AT214" s="1179">
        <v>0</v>
      </c>
      <c r="AU214" s="1179">
        <v>3629597</v>
      </c>
      <c r="AV214" s="1179">
        <v>3073553</v>
      </c>
      <c r="AW214" s="1179"/>
      <c r="AX214" s="1179"/>
      <c r="AY214" s="956" t="e">
        <f t="shared" si="386"/>
        <v>#DIV/0!</v>
      </c>
      <c r="AZ214" s="1041">
        <v>80000000</v>
      </c>
      <c r="BA214" s="957">
        <f t="shared" si="405"/>
        <v>78856872</v>
      </c>
      <c r="BB214" s="928">
        <f t="shared" si="406"/>
        <v>0.98571089999999995</v>
      </c>
      <c r="BC214" s="958">
        <f t="shared" si="407"/>
        <v>78300828</v>
      </c>
      <c r="BD214" s="908">
        <f t="shared" si="408"/>
        <v>0.97876034999999995</v>
      </c>
      <c r="BE214" s="926"/>
      <c r="BF214" s="926"/>
      <c r="BG214" s="910" t="s">
        <v>1701</v>
      </c>
      <c r="BH214" s="1180" t="s">
        <v>2118</v>
      </c>
    </row>
    <row r="215" spans="1:61" s="865" customFormat="1" ht="47.4" customHeight="1">
      <c r="A215" s="1176" t="s">
        <v>2430</v>
      </c>
      <c r="B215" s="937" t="s">
        <v>2431</v>
      </c>
      <c r="C215" s="937" t="s">
        <v>2086</v>
      </c>
      <c r="D215" s="990">
        <v>3</v>
      </c>
      <c r="E215" s="990">
        <v>4</v>
      </c>
      <c r="F215" s="990">
        <v>4</v>
      </c>
      <c r="G215" s="990">
        <v>4</v>
      </c>
      <c r="H215" s="990">
        <v>3</v>
      </c>
      <c r="I215" s="906">
        <v>4</v>
      </c>
      <c r="J215" s="906">
        <v>4</v>
      </c>
      <c r="K215" s="906">
        <v>5</v>
      </c>
      <c r="L215" s="906"/>
      <c r="M215" s="906"/>
      <c r="N215" s="906"/>
      <c r="O215" s="908">
        <f t="shared" si="421"/>
        <v>1</v>
      </c>
      <c r="P215" s="930">
        <f t="shared" si="421"/>
        <v>1</v>
      </c>
      <c r="Q215" s="930">
        <f t="shared" si="421"/>
        <v>1</v>
      </c>
      <c r="R215" s="908">
        <f t="shared" si="422"/>
        <v>1</v>
      </c>
      <c r="S215" s="865" t="s">
        <v>2789</v>
      </c>
      <c r="T215" s="931">
        <v>45291</v>
      </c>
      <c r="U215" s="869"/>
      <c r="V215" s="1181"/>
      <c r="W215" s="910"/>
      <c r="Y215" s="869">
        <f t="shared" si="423"/>
        <v>15</v>
      </c>
      <c r="Z215" s="913">
        <f t="shared" si="424"/>
        <v>16</v>
      </c>
      <c r="AA215" s="928">
        <f t="shared" si="425"/>
        <v>1</v>
      </c>
      <c r="AB215" s="1178">
        <v>0.1</v>
      </c>
      <c r="AC215" s="1178">
        <v>0.12</v>
      </c>
      <c r="AD215" s="1178">
        <v>0.1</v>
      </c>
      <c r="AE215" s="1182">
        <v>0.13</v>
      </c>
      <c r="AF215" s="1182">
        <v>0.13</v>
      </c>
      <c r="AG215" s="1179">
        <v>10087760</v>
      </c>
      <c r="AH215" s="1179">
        <v>2112242</v>
      </c>
      <c r="AI215" s="1179">
        <v>7331359</v>
      </c>
      <c r="AJ215" s="1179">
        <v>11373717</v>
      </c>
      <c r="AK215" s="1179">
        <v>10087760</v>
      </c>
      <c r="AL215" s="916">
        <f t="shared" si="402"/>
        <v>1</v>
      </c>
      <c r="AM215" s="1179">
        <v>2112242</v>
      </c>
      <c r="AN215" s="1179">
        <v>5555028</v>
      </c>
      <c r="AO215" s="1179">
        <v>11351087</v>
      </c>
      <c r="AP215" s="1179">
        <v>9418316</v>
      </c>
      <c r="AQ215" s="983">
        <f t="shared" si="403"/>
        <v>0.93363799297366312</v>
      </c>
      <c r="AR215" s="915">
        <f t="shared" si="426"/>
        <v>22630</v>
      </c>
      <c r="AS215" s="1179">
        <v>0</v>
      </c>
      <c r="AT215" s="1179">
        <v>0</v>
      </c>
      <c r="AU215" s="1179">
        <v>1776331</v>
      </c>
      <c r="AV215" s="1179">
        <v>1504203</v>
      </c>
      <c r="AW215" s="1179">
        <v>22630</v>
      </c>
      <c r="AX215" s="1179"/>
      <c r="AY215" s="984">
        <f t="shared" si="386"/>
        <v>0</v>
      </c>
      <c r="AZ215" s="1028">
        <v>100087760</v>
      </c>
      <c r="BA215" s="957">
        <f t="shared" si="405"/>
        <v>30905078</v>
      </c>
      <c r="BB215" s="930">
        <f t="shared" si="406"/>
        <v>0.30877979485203783</v>
      </c>
      <c r="BC215" s="986">
        <f t="shared" si="407"/>
        <v>29940876</v>
      </c>
      <c r="BD215" s="930">
        <f t="shared" si="408"/>
        <v>0.29914622926919338</v>
      </c>
      <c r="BE215" s="987"/>
      <c r="BF215" s="987"/>
      <c r="BG215" s="910" t="s">
        <v>1701</v>
      </c>
      <c r="BH215" s="1180" t="s">
        <v>2432</v>
      </c>
    </row>
    <row r="216" spans="1:61" s="865" customFormat="1" ht="47.4" customHeight="1">
      <c r="A216" s="1176" t="s">
        <v>2433</v>
      </c>
      <c r="B216" s="937" t="s">
        <v>2434</v>
      </c>
      <c r="C216" s="905" t="s">
        <v>1054</v>
      </c>
      <c r="D216" s="1175">
        <v>0.9</v>
      </c>
      <c r="E216" s="1175">
        <v>0.9</v>
      </c>
      <c r="F216" s="1175">
        <v>0.9</v>
      </c>
      <c r="G216" s="1175">
        <v>0.9</v>
      </c>
      <c r="H216" s="1175">
        <v>0.9</v>
      </c>
      <c r="I216" s="908">
        <v>1</v>
      </c>
      <c r="J216" s="908">
        <v>0.9</v>
      </c>
      <c r="K216" s="908">
        <v>0.9</v>
      </c>
      <c r="L216" s="906"/>
      <c r="M216" s="906"/>
      <c r="N216" s="906"/>
      <c r="O216" s="908">
        <f t="shared" si="421"/>
        <v>1</v>
      </c>
      <c r="P216" s="930">
        <f t="shared" si="421"/>
        <v>1</v>
      </c>
      <c r="Q216" s="930">
        <f t="shared" si="421"/>
        <v>1</v>
      </c>
      <c r="R216" s="908">
        <f t="shared" si="422"/>
        <v>1</v>
      </c>
      <c r="S216" s="1154" t="s">
        <v>2790</v>
      </c>
      <c r="T216" s="931">
        <v>45291</v>
      </c>
      <c r="U216" s="942" t="s">
        <v>2092</v>
      </c>
      <c r="V216" s="942"/>
      <c r="W216" s="909" t="s">
        <v>2683</v>
      </c>
      <c r="X216" s="933">
        <v>265</v>
      </c>
      <c r="Y216" s="908">
        <f t="shared" si="423"/>
        <v>3.6</v>
      </c>
      <c r="Z216" s="913">
        <f t="shared" si="424"/>
        <v>3.6999999999999997</v>
      </c>
      <c r="AA216" s="928">
        <f t="shared" si="425"/>
        <v>1</v>
      </c>
      <c r="AB216" s="1178">
        <v>0.4</v>
      </c>
      <c r="AC216" s="1178">
        <v>0.44</v>
      </c>
      <c r="AD216" s="1178">
        <v>0.4</v>
      </c>
      <c r="AE216" s="1182">
        <v>0.44</v>
      </c>
      <c r="AF216" s="1182">
        <v>0.44</v>
      </c>
      <c r="AG216" s="1179">
        <v>280000000</v>
      </c>
      <c r="AH216" s="1179">
        <v>120914682</v>
      </c>
      <c r="AI216" s="1179">
        <v>179743921</v>
      </c>
      <c r="AJ216" s="1179">
        <v>326463956</v>
      </c>
      <c r="AK216" s="1179">
        <v>280000000</v>
      </c>
      <c r="AL216" s="916">
        <f t="shared" si="402"/>
        <v>1</v>
      </c>
      <c r="AM216" s="1179">
        <v>92914682</v>
      </c>
      <c r="AN216" s="1179">
        <v>123723644</v>
      </c>
      <c r="AO216" s="1179">
        <v>259712261</v>
      </c>
      <c r="AP216" s="1179">
        <v>136677166</v>
      </c>
      <c r="AQ216" s="983">
        <f t="shared" si="403"/>
        <v>0.48813273571428573</v>
      </c>
      <c r="AR216" s="915">
        <f t="shared" si="426"/>
        <v>66751695</v>
      </c>
      <c r="AS216" s="1179">
        <v>28000000</v>
      </c>
      <c r="AT216" s="1179">
        <v>19001563</v>
      </c>
      <c r="AU216" s="1179">
        <v>56020277</v>
      </c>
      <c r="AV216" s="1179">
        <v>54562074</v>
      </c>
      <c r="AW216" s="1179">
        <v>66751695</v>
      </c>
      <c r="AX216" s="1179"/>
      <c r="AY216" s="984">
        <f t="shared" si="386"/>
        <v>0</v>
      </c>
      <c r="AZ216" s="1028">
        <v>1044277512</v>
      </c>
      <c r="BA216" s="957">
        <f t="shared" si="405"/>
        <v>907122559</v>
      </c>
      <c r="BB216" s="930">
        <f t="shared" si="406"/>
        <v>0.86866043611595078</v>
      </c>
      <c r="BC216" s="986">
        <f t="shared" si="407"/>
        <v>686591390</v>
      </c>
      <c r="BD216" s="930">
        <f t="shared" si="408"/>
        <v>0.65747981940647204</v>
      </c>
      <c r="BE216" s="987"/>
      <c r="BF216" s="987"/>
      <c r="BG216" s="910" t="s">
        <v>1701</v>
      </c>
      <c r="BH216" s="1180" t="s">
        <v>2435</v>
      </c>
    </row>
    <row r="217" spans="1:61" s="865" customFormat="1" ht="47.4" customHeight="1">
      <c r="A217" s="1176" t="s">
        <v>2436</v>
      </c>
      <c r="B217" s="937" t="s">
        <v>2437</v>
      </c>
      <c r="C217" s="937" t="s">
        <v>2086</v>
      </c>
      <c r="D217" s="990">
        <v>10</v>
      </c>
      <c r="E217" s="990">
        <v>10</v>
      </c>
      <c r="F217" s="990">
        <v>10</v>
      </c>
      <c r="G217" s="990">
        <v>10</v>
      </c>
      <c r="H217" s="990">
        <v>35</v>
      </c>
      <c r="I217" s="906">
        <v>31</v>
      </c>
      <c r="J217" s="906">
        <v>25</v>
      </c>
      <c r="K217" s="906">
        <v>37</v>
      </c>
      <c r="L217" s="906"/>
      <c r="M217" s="906"/>
      <c r="N217" s="906"/>
      <c r="O217" s="908">
        <f t="shared" si="421"/>
        <v>1</v>
      </c>
      <c r="P217" s="930">
        <f t="shared" si="421"/>
        <v>1</v>
      </c>
      <c r="Q217" s="930">
        <f t="shared" si="421"/>
        <v>1</v>
      </c>
      <c r="R217" s="908">
        <f t="shared" si="422"/>
        <v>1</v>
      </c>
      <c r="S217" s="865" t="s">
        <v>2791</v>
      </c>
      <c r="T217" s="931">
        <v>45291</v>
      </c>
      <c r="U217" s="869"/>
      <c r="V217" s="1181"/>
      <c r="W217" s="910"/>
      <c r="Y217" s="869">
        <f t="shared" si="423"/>
        <v>40</v>
      </c>
      <c r="Z217" s="913">
        <f t="shared" si="424"/>
        <v>128</v>
      </c>
      <c r="AA217" s="928">
        <f t="shared" si="425"/>
        <v>1</v>
      </c>
      <c r="AB217" s="1178">
        <v>0.4</v>
      </c>
      <c r="AC217" s="1178">
        <v>0.44</v>
      </c>
      <c r="AD217" s="1178">
        <v>0.4</v>
      </c>
      <c r="AE217" s="1182">
        <v>0.43</v>
      </c>
      <c r="AF217" s="1182">
        <v>0.43</v>
      </c>
      <c r="AG217" s="1179">
        <v>244912240</v>
      </c>
      <c r="AH217" s="1179">
        <v>218315733</v>
      </c>
      <c r="AI217" s="1179">
        <v>310687166.39999998</v>
      </c>
      <c r="AJ217" s="1179">
        <v>206177162</v>
      </c>
      <c r="AK217" s="1179">
        <v>244884231</v>
      </c>
      <c r="AL217" s="916">
        <f t="shared" si="402"/>
        <v>0.99988563658557861</v>
      </c>
      <c r="AM217" s="1179">
        <v>218315733</v>
      </c>
      <c r="AN217" s="1179">
        <v>296293266</v>
      </c>
      <c r="AO217" s="1179">
        <v>206177162</v>
      </c>
      <c r="AP217" s="1179">
        <v>244884231</v>
      </c>
      <c r="AQ217" s="928">
        <f t="shared" si="403"/>
        <v>0.99988563658557861</v>
      </c>
      <c r="AR217" s="915">
        <f t="shared" si="426"/>
        <v>0</v>
      </c>
      <c r="AS217" s="1179">
        <v>0</v>
      </c>
      <c r="AT217" s="1179">
        <v>0</v>
      </c>
      <c r="AU217" s="1179">
        <v>14393900.4</v>
      </c>
      <c r="AV217" s="1179">
        <v>1237381.3999999999</v>
      </c>
      <c r="AW217" s="1179"/>
      <c r="AX217" s="1179"/>
      <c r="AY217" s="956" t="e">
        <f t="shared" si="386"/>
        <v>#DIV/0!</v>
      </c>
      <c r="AZ217" s="1041">
        <v>1009912240</v>
      </c>
      <c r="BA217" s="957">
        <f t="shared" si="405"/>
        <v>980064292.39999998</v>
      </c>
      <c r="BB217" s="928">
        <f t="shared" si="406"/>
        <v>0.97044500856826921</v>
      </c>
      <c r="BC217" s="958">
        <f t="shared" si="407"/>
        <v>966907773.39999998</v>
      </c>
      <c r="BD217" s="908">
        <f t="shared" si="408"/>
        <v>0.95741762016865939</v>
      </c>
      <c r="BE217" s="926"/>
      <c r="BF217" s="926"/>
      <c r="BG217" s="910" t="s">
        <v>1701</v>
      </c>
      <c r="BH217" s="1180" t="s">
        <v>2438</v>
      </c>
    </row>
    <row r="218" spans="1:61" s="865" customFormat="1" ht="47.4" customHeight="1">
      <c r="A218" s="882" t="s">
        <v>2439</v>
      </c>
      <c r="B218" s="883"/>
      <c r="C218" s="883"/>
      <c r="D218" s="884"/>
      <c r="E218" s="884"/>
      <c r="F218" s="884"/>
      <c r="G218" s="884"/>
      <c r="H218" s="884"/>
      <c r="I218" s="884"/>
      <c r="J218" s="884"/>
      <c r="K218" s="884"/>
      <c r="L218" s="884"/>
      <c r="M218" s="884"/>
      <c r="N218" s="884"/>
      <c r="O218" s="885">
        <f>+(O219*AC219)+(O227*AC227)</f>
        <v>1</v>
      </c>
      <c r="P218" s="885">
        <f t="shared" ref="P218:R218" si="427">+(P219*AD219)+(P227*AD227)</f>
        <v>1</v>
      </c>
      <c r="Q218" s="885">
        <f t="shared" si="427"/>
        <v>0.99999999999999933</v>
      </c>
      <c r="R218" s="885">
        <f t="shared" si="427"/>
        <v>1</v>
      </c>
      <c r="S218" s="1132"/>
      <c r="T218" s="1132"/>
      <c r="U218" s="883"/>
      <c r="V218" s="883"/>
      <c r="W218" s="883"/>
      <c r="X218" s="1132"/>
      <c r="Y218" s="1133"/>
      <c r="Z218" s="886"/>
      <c r="AA218" s="885">
        <f>+(AA219*AB219)+(AA227*AB227)</f>
        <v>1</v>
      </c>
      <c r="AB218" s="885">
        <v>0.1</v>
      </c>
      <c r="AC218" s="885">
        <v>0.1</v>
      </c>
      <c r="AD218" s="885">
        <v>0.1</v>
      </c>
      <c r="AE218" s="885">
        <v>0.1</v>
      </c>
      <c r="AF218" s="885">
        <v>0.1</v>
      </c>
      <c r="AG218" s="883">
        <f>+AG219+AG227</f>
        <v>456297027</v>
      </c>
      <c r="AH218" s="883">
        <f>+AH219+AH227</f>
        <v>103830000</v>
      </c>
      <c r="AI218" s="883">
        <f>+AI219+AI227</f>
        <v>170793813</v>
      </c>
      <c r="AJ218" s="883">
        <f>+AJ219+AJ227</f>
        <v>354408889</v>
      </c>
      <c r="AK218" s="883">
        <f>+AK219+AK227</f>
        <v>456060722</v>
      </c>
      <c r="AL218" s="888">
        <f t="shared" si="402"/>
        <v>0.99948212461178276</v>
      </c>
      <c r="AM218" s="883">
        <f>+AM219+AM227</f>
        <v>67230000</v>
      </c>
      <c r="AN218" s="883">
        <f>+AN219+AN227</f>
        <v>154222709</v>
      </c>
      <c r="AO218" s="883">
        <f>+AO219+AO227</f>
        <v>344918056</v>
      </c>
      <c r="AP218" s="883">
        <f>+AP219+AP227</f>
        <v>283605820</v>
      </c>
      <c r="AQ218" s="1185">
        <f t="shared" si="403"/>
        <v>0.62153773357808884</v>
      </c>
      <c r="AR218" s="883">
        <f t="shared" ref="AR218:AX218" si="428">+AR219+AR227</f>
        <v>9490833</v>
      </c>
      <c r="AS218" s="883">
        <f t="shared" si="428"/>
        <v>36600000</v>
      </c>
      <c r="AT218" s="883">
        <f t="shared" si="428"/>
        <v>36600000</v>
      </c>
      <c r="AU218" s="883">
        <f t="shared" si="428"/>
        <v>16571104</v>
      </c>
      <c r="AV218" s="883">
        <f t="shared" si="428"/>
        <v>14283762</v>
      </c>
      <c r="AW218" s="883">
        <f t="shared" si="428"/>
        <v>9490833</v>
      </c>
      <c r="AX218" s="883">
        <f t="shared" si="428"/>
        <v>8478214</v>
      </c>
      <c r="AY218" s="1068">
        <f t="shared" si="386"/>
        <v>0.89330557180808046</v>
      </c>
      <c r="AZ218" s="883">
        <f t="shared" ref="AZ218" si="429">+AZ219+AZ227</f>
        <v>1590297027</v>
      </c>
      <c r="BA218" s="883">
        <f t="shared" si="405"/>
        <v>1085093424</v>
      </c>
      <c r="BB218" s="1066">
        <f t="shared" si="406"/>
        <v>0.68232123029681047</v>
      </c>
      <c r="BC218" s="1186">
        <f t="shared" si="407"/>
        <v>909338561</v>
      </c>
      <c r="BD218" s="1066">
        <f t="shared" si="408"/>
        <v>0.57180422623024874</v>
      </c>
      <c r="BE218" s="883"/>
      <c r="BF218" s="883" t="s">
        <v>1700</v>
      </c>
      <c r="BG218" s="883"/>
      <c r="BH218" s="883"/>
    </row>
    <row r="219" spans="1:61" s="865" customFormat="1" ht="47.4" customHeight="1">
      <c r="A219" s="893" t="s">
        <v>2440</v>
      </c>
      <c r="B219" s="894"/>
      <c r="C219" s="894"/>
      <c r="D219" s="895"/>
      <c r="E219" s="895"/>
      <c r="F219" s="895"/>
      <c r="G219" s="895"/>
      <c r="H219" s="895"/>
      <c r="I219" s="895"/>
      <c r="J219" s="895"/>
      <c r="K219" s="895"/>
      <c r="L219" s="895"/>
      <c r="M219" s="895"/>
      <c r="N219" s="895"/>
      <c r="O219" s="896">
        <f>+SUMPRODUCT(O220:O226,AC220:AC226)</f>
        <v>1</v>
      </c>
      <c r="P219" s="896">
        <f t="shared" ref="P219:R219" si="430">+SUMPRODUCT(P220:P226,AD220:AD226)</f>
        <v>1</v>
      </c>
      <c r="Q219" s="896">
        <f t="shared" si="430"/>
        <v>0.99999999999999911</v>
      </c>
      <c r="R219" s="896">
        <f t="shared" si="430"/>
        <v>1</v>
      </c>
      <c r="S219" s="1134"/>
      <c r="T219" s="1134"/>
      <c r="U219" s="894"/>
      <c r="V219" s="894"/>
      <c r="W219" s="894"/>
      <c r="X219" s="1134"/>
      <c r="Y219" s="1059"/>
      <c r="Z219" s="897"/>
      <c r="AA219" s="896">
        <f>+SUMPRODUCT(AA220:AA226,AB220:AB226)</f>
        <v>1</v>
      </c>
      <c r="AB219" s="896">
        <v>0.8</v>
      </c>
      <c r="AC219" s="896">
        <v>0.8</v>
      </c>
      <c r="AD219" s="896">
        <v>0.8</v>
      </c>
      <c r="AE219" s="896">
        <v>0.8</v>
      </c>
      <c r="AF219" s="896">
        <v>0.8</v>
      </c>
      <c r="AG219" s="894">
        <f>SUM(AG220:AG226)</f>
        <v>386297027</v>
      </c>
      <c r="AH219" s="894">
        <f>SUM(AH220:AH226)</f>
        <v>52830000</v>
      </c>
      <c r="AI219" s="894">
        <f>SUM(AI220:AI226)</f>
        <v>126817400</v>
      </c>
      <c r="AJ219" s="894">
        <f>SUM(AJ220:AJ226)</f>
        <v>304434731</v>
      </c>
      <c r="AK219" s="894">
        <f>SUM(AK220:AK226)</f>
        <v>386060722</v>
      </c>
      <c r="AL219" s="900">
        <f t="shared" si="402"/>
        <v>0.99938828159813919</v>
      </c>
      <c r="AM219" s="894">
        <f>SUM(AM220:AM226)</f>
        <v>49230000</v>
      </c>
      <c r="AN219" s="902">
        <f>SUM(AN220:AN226)</f>
        <v>112237392</v>
      </c>
      <c r="AO219" s="902">
        <f>SUM(AO220:AO226)</f>
        <v>296418361</v>
      </c>
      <c r="AP219" s="894">
        <f>SUM(AP220:AP226)</f>
        <v>215167858</v>
      </c>
      <c r="AQ219" s="901">
        <f t="shared" si="403"/>
        <v>0.55700107161321744</v>
      </c>
      <c r="AR219" s="902">
        <f t="shared" ref="AR219:AX219" si="431">SUM(AR220:AR226)</f>
        <v>8016370</v>
      </c>
      <c r="AS219" s="894">
        <f t="shared" si="431"/>
        <v>3600000</v>
      </c>
      <c r="AT219" s="894">
        <f t="shared" si="431"/>
        <v>3600000</v>
      </c>
      <c r="AU219" s="894">
        <f t="shared" si="431"/>
        <v>14580008</v>
      </c>
      <c r="AV219" s="894">
        <f t="shared" si="431"/>
        <v>12627135</v>
      </c>
      <c r="AW219" s="894">
        <f t="shared" si="431"/>
        <v>8016370</v>
      </c>
      <c r="AX219" s="894">
        <f t="shared" si="431"/>
        <v>7690267</v>
      </c>
      <c r="AY219" s="903">
        <f t="shared" si="386"/>
        <v>0.95932036570168289</v>
      </c>
      <c r="AZ219" s="894">
        <f t="shared" ref="AZ219" si="432">SUM(AZ220:AZ226)</f>
        <v>1345297027</v>
      </c>
      <c r="BA219" s="894">
        <f t="shared" si="405"/>
        <v>870142853</v>
      </c>
      <c r="BB219" s="896">
        <f t="shared" si="406"/>
        <v>0.64680352036487476</v>
      </c>
      <c r="BC219" s="962">
        <f t="shared" si="407"/>
        <v>696971013</v>
      </c>
      <c r="BD219" s="896">
        <f t="shared" si="408"/>
        <v>0.51807965007864398</v>
      </c>
      <c r="BE219" s="902"/>
      <c r="BF219" s="902"/>
      <c r="BG219" s="902"/>
      <c r="BH219" s="902"/>
    </row>
    <row r="220" spans="1:61" s="865" customFormat="1" ht="47.4" customHeight="1">
      <c r="A220" s="1187" t="s">
        <v>2441</v>
      </c>
      <c r="B220" s="1188" t="s">
        <v>2442</v>
      </c>
      <c r="C220" s="937" t="s">
        <v>2086</v>
      </c>
      <c r="D220" s="990">
        <v>1</v>
      </c>
      <c r="E220" s="990">
        <v>1</v>
      </c>
      <c r="F220" s="990">
        <v>1</v>
      </c>
      <c r="G220" s="990">
        <v>1</v>
      </c>
      <c r="H220" s="906">
        <v>1</v>
      </c>
      <c r="I220" s="906">
        <v>1</v>
      </c>
      <c r="J220" s="939">
        <v>1</v>
      </c>
      <c r="K220" s="939">
        <v>1</v>
      </c>
      <c r="L220" s="906"/>
      <c r="M220" s="906"/>
      <c r="N220" s="906"/>
      <c r="O220" s="908">
        <f t="shared" ref="O220:Q226" si="433">+IFERROR(IF((H220+L220)/D220&gt;=100%,100%,(H220+L220)/D220),0)</f>
        <v>1</v>
      </c>
      <c r="P220" s="930">
        <f t="shared" si="433"/>
        <v>1</v>
      </c>
      <c r="Q220" s="930">
        <f t="shared" si="433"/>
        <v>1</v>
      </c>
      <c r="R220" s="908">
        <f t="shared" ref="R220:R226" si="434">+IFERROR(IF(K220/G220&gt;=100%,100%,K220/G220),0)</f>
        <v>1</v>
      </c>
      <c r="S220" s="865" t="s">
        <v>2792</v>
      </c>
      <c r="T220" s="931">
        <v>45291</v>
      </c>
      <c r="U220" s="942"/>
      <c r="V220" s="942"/>
      <c r="W220" s="909"/>
      <c r="X220" s="933"/>
      <c r="Y220" s="1189">
        <f t="shared" ref="Y220:Y226" si="435">SUM(D220:G220)</f>
        <v>4</v>
      </c>
      <c r="Z220" s="913">
        <f t="shared" ref="Z220:Z226" si="436">SUM(H220:N220)</f>
        <v>4</v>
      </c>
      <c r="AA220" s="928">
        <f t="shared" ref="AA220:AA226" si="437">IF(Z220/Y220&gt;=100%,100%,Z220/Y220)</f>
        <v>1</v>
      </c>
      <c r="AB220" s="1190">
        <v>0.2</v>
      </c>
      <c r="AC220" s="1190">
        <v>0.22</v>
      </c>
      <c r="AD220" s="1190">
        <v>0.2</v>
      </c>
      <c r="AE220" s="908">
        <f>+AD220*1.11111111111111</f>
        <v>0.22222222222222202</v>
      </c>
      <c r="AF220" s="1190">
        <v>0.2</v>
      </c>
      <c r="AG220" s="1191">
        <v>50000000</v>
      </c>
      <c r="AH220" s="1191">
        <v>8330000</v>
      </c>
      <c r="AI220" s="1191">
        <v>31878784</v>
      </c>
      <c r="AJ220" s="1191">
        <v>49974158</v>
      </c>
      <c r="AK220" s="1191">
        <v>50000000</v>
      </c>
      <c r="AL220" s="916">
        <f t="shared" si="402"/>
        <v>1</v>
      </c>
      <c r="AM220" s="1191">
        <v>8330000</v>
      </c>
      <c r="AN220" s="1191">
        <v>29804729</v>
      </c>
      <c r="AO220" s="1191">
        <v>49189809</v>
      </c>
      <c r="AP220" s="1191">
        <v>48884259</v>
      </c>
      <c r="AQ220" s="928">
        <f t="shared" si="403"/>
        <v>0.97768518000000004</v>
      </c>
      <c r="AR220" s="915">
        <f t="shared" ref="AR220:AR226" si="438">+AJ220-AO220</f>
        <v>784349</v>
      </c>
      <c r="AS220" s="1191">
        <v>0</v>
      </c>
      <c r="AT220" s="1191">
        <v>0</v>
      </c>
      <c r="AU220" s="1191">
        <v>2074055</v>
      </c>
      <c r="AV220" s="1191">
        <v>1782414</v>
      </c>
      <c r="AW220" s="1191">
        <v>784349</v>
      </c>
      <c r="AX220" s="1191">
        <v>745554</v>
      </c>
      <c r="AY220" s="956">
        <f t="shared" si="386"/>
        <v>0.95053859952648634</v>
      </c>
      <c r="AZ220" s="1041">
        <v>190000000</v>
      </c>
      <c r="BA220" s="957">
        <f t="shared" si="405"/>
        <v>140182942</v>
      </c>
      <c r="BB220" s="908">
        <f t="shared" si="406"/>
        <v>0.73780495789473688</v>
      </c>
      <c r="BC220" s="958">
        <f t="shared" si="407"/>
        <v>138736765</v>
      </c>
      <c r="BD220" s="908">
        <f t="shared" si="408"/>
        <v>0.73019350000000005</v>
      </c>
      <c r="BE220" s="926"/>
      <c r="BF220" s="926"/>
      <c r="BG220" s="910" t="s">
        <v>1701</v>
      </c>
      <c r="BH220" s="1192" t="s">
        <v>2443</v>
      </c>
    </row>
    <row r="221" spans="1:61" s="865" customFormat="1" ht="47.4" customHeight="1">
      <c r="A221" s="1187" t="s">
        <v>2444</v>
      </c>
      <c r="B221" s="1188" t="s">
        <v>2445</v>
      </c>
      <c r="C221" s="937" t="s">
        <v>2086</v>
      </c>
      <c r="D221" s="990">
        <v>1</v>
      </c>
      <c r="E221" s="990">
        <v>0.1</v>
      </c>
      <c r="F221" s="1193">
        <v>1</v>
      </c>
      <c r="G221" s="1193">
        <v>1</v>
      </c>
      <c r="H221" s="906">
        <v>0</v>
      </c>
      <c r="I221" s="990">
        <v>0.1</v>
      </c>
      <c r="J221" s="906">
        <v>1</v>
      </c>
      <c r="K221" s="906">
        <v>1</v>
      </c>
      <c r="L221" s="906">
        <v>1</v>
      </c>
      <c r="M221" s="938"/>
      <c r="N221" s="938"/>
      <c r="O221" s="930">
        <f t="shared" si="433"/>
        <v>1</v>
      </c>
      <c r="P221" s="930">
        <f t="shared" si="433"/>
        <v>1</v>
      </c>
      <c r="Q221" s="930">
        <f t="shared" si="433"/>
        <v>1</v>
      </c>
      <c r="R221" s="908">
        <f t="shared" si="434"/>
        <v>1</v>
      </c>
      <c r="S221" s="1194" t="s">
        <v>2793</v>
      </c>
      <c r="T221" s="931">
        <v>45291</v>
      </c>
      <c r="U221" s="941"/>
      <c r="V221" s="942"/>
      <c r="W221" s="909"/>
      <c r="X221" s="1154"/>
      <c r="Y221" s="1195">
        <f t="shared" si="435"/>
        <v>3.1</v>
      </c>
      <c r="Z221" s="913">
        <f t="shared" si="436"/>
        <v>3.1</v>
      </c>
      <c r="AA221" s="983">
        <f t="shared" si="437"/>
        <v>1</v>
      </c>
      <c r="AB221" s="1190">
        <v>0.15</v>
      </c>
      <c r="AC221" s="1190">
        <v>0.16</v>
      </c>
      <c r="AD221" s="1190">
        <v>0.15</v>
      </c>
      <c r="AE221" s="908">
        <f>+AD221*1.11111111111111</f>
        <v>0.16666666666666649</v>
      </c>
      <c r="AF221" s="1190">
        <v>0.15</v>
      </c>
      <c r="AG221" s="1196">
        <v>10000000</v>
      </c>
      <c r="AH221" s="1191">
        <v>15000000</v>
      </c>
      <c r="AI221" s="1191">
        <v>20178784</v>
      </c>
      <c r="AJ221" s="1191">
        <v>39979542</v>
      </c>
      <c r="AK221" s="1191">
        <v>10000000</v>
      </c>
      <c r="AL221" s="982">
        <f t="shared" si="402"/>
        <v>1</v>
      </c>
      <c r="AM221" s="1191">
        <v>15000000</v>
      </c>
      <c r="AN221" s="1191">
        <v>18104729</v>
      </c>
      <c r="AO221" s="1191">
        <v>39470500</v>
      </c>
      <c r="AP221" s="1191">
        <v>9776852</v>
      </c>
      <c r="AQ221" s="983">
        <f t="shared" si="403"/>
        <v>0.97768520000000003</v>
      </c>
      <c r="AR221" s="915">
        <f t="shared" si="438"/>
        <v>509042</v>
      </c>
      <c r="AS221" s="1191">
        <v>0</v>
      </c>
      <c r="AT221" s="1191">
        <v>0</v>
      </c>
      <c r="AU221" s="1191">
        <v>2074055</v>
      </c>
      <c r="AV221" s="1191">
        <v>1756315</v>
      </c>
      <c r="AW221" s="1191">
        <v>509042</v>
      </c>
      <c r="AX221" s="1191">
        <v>478329</v>
      </c>
      <c r="AY221" s="984">
        <f t="shared" si="386"/>
        <v>0.93966509639676099</v>
      </c>
      <c r="AZ221" s="1007">
        <v>120000000</v>
      </c>
      <c r="BA221" s="957">
        <f t="shared" si="405"/>
        <v>85158326</v>
      </c>
      <c r="BB221" s="930">
        <f t="shared" si="406"/>
        <v>0.70965271666666663</v>
      </c>
      <c r="BC221" s="986">
        <f t="shared" si="407"/>
        <v>84586725</v>
      </c>
      <c r="BD221" s="930">
        <f t="shared" si="408"/>
        <v>0.70488937500000004</v>
      </c>
      <c r="BE221" s="987"/>
      <c r="BF221" s="987"/>
      <c r="BG221" s="910" t="s">
        <v>1701</v>
      </c>
      <c r="BH221" s="1344" t="s">
        <v>2443</v>
      </c>
    </row>
    <row r="222" spans="1:61" s="865" customFormat="1" ht="47.4" customHeight="1">
      <c r="A222" s="1187" t="s">
        <v>2446</v>
      </c>
      <c r="B222" s="1188" t="s">
        <v>2447</v>
      </c>
      <c r="C222" s="937" t="s">
        <v>2086</v>
      </c>
      <c r="D222" s="990">
        <v>1</v>
      </c>
      <c r="E222" s="990">
        <v>0.1</v>
      </c>
      <c r="F222" s="990">
        <v>1</v>
      </c>
      <c r="G222" s="990">
        <v>1</v>
      </c>
      <c r="H222" s="906">
        <v>1</v>
      </c>
      <c r="I222" s="990">
        <v>0.1</v>
      </c>
      <c r="J222" s="938">
        <v>1</v>
      </c>
      <c r="K222" s="938">
        <v>1</v>
      </c>
      <c r="L222" s="906"/>
      <c r="M222" s="938"/>
      <c r="N222" s="938"/>
      <c r="O222" s="930">
        <f t="shared" si="433"/>
        <v>1</v>
      </c>
      <c r="P222" s="930">
        <f t="shared" si="433"/>
        <v>1</v>
      </c>
      <c r="Q222" s="930">
        <f t="shared" si="433"/>
        <v>1</v>
      </c>
      <c r="R222" s="908">
        <f t="shared" si="434"/>
        <v>1</v>
      </c>
      <c r="S222" s="1197" t="s">
        <v>2794</v>
      </c>
      <c r="T222" s="931">
        <v>45291</v>
      </c>
      <c r="U222" s="942" t="s">
        <v>2092</v>
      </c>
      <c r="V222" s="942"/>
      <c r="W222" s="909" t="s">
        <v>2795</v>
      </c>
      <c r="X222" s="933" t="s">
        <v>2448</v>
      </c>
      <c r="Y222" s="1195">
        <f t="shared" si="435"/>
        <v>3.1</v>
      </c>
      <c r="Z222" s="913">
        <f t="shared" si="436"/>
        <v>3.1</v>
      </c>
      <c r="AA222" s="983">
        <f t="shared" si="437"/>
        <v>1</v>
      </c>
      <c r="AB222" s="1190">
        <v>0.15</v>
      </c>
      <c r="AC222" s="1190">
        <v>0.16</v>
      </c>
      <c r="AD222" s="1190">
        <v>0.15</v>
      </c>
      <c r="AE222" s="908">
        <f>+AD222*1.11111111111111</f>
        <v>0.16666666666666649</v>
      </c>
      <c r="AF222" s="1190">
        <v>0.15</v>
      </c>
      <c r="AG222" s="1196">
        <v>91297027</v>
      </c>
      <c r="AH222" s="1191">
        <v>15000000</v>
      </c>
      <c r="AI222" s="1191">
        <v>20178784</v>
      </c>
      <c r="AJ222" s="1191">
        <v>39979542</v>
      </c>
      <c r="AK222" s="1191">
        <v>91293569</v>
      </c>
      <c r="AL222" s="982">
        <f t="shared" si="402"/>
        <v>0.99996212362972126</v>
      </c>
      <c r="AM222" s="1191">
        <v>11400000</v>
      </c>
      <c r="AN222" s="1191">
        <v>18104729</v>
      </c>
      <c r="AO222" s="1191">
        <v>39358599</v>
      </c>
      <c r="AP222" s="1191">
        <v>67726178</v>
      </c>
      <c r="AQ222" s="983">
        <f t="shared" si="403"/>
        <v>0.74182238157656544</v>
      </c>
      <c r="AR222" s="915">
        <f t="shared" si="438"/>
        <v>620943</v>
      </c>
      <c r="AS222" s="1191">
        <v>3600000</v>
      </c>
      <c r="AT222" s="1191">
        <v>3600000</v>
      </c>
      <c r="AU222" s="1191">
        <v>2074055</v>
      </c>
      <c r="AV222" s="1191">
        <v>1782414</v>
      </c>
      <c r="AW222" s="1191">
        <v>620943</v>
      </c>
      <c r="AX222" s="1191">
        <v>590230</v>
      </c>
      <c r="AY222" s="984">
        <f t="shared" si="386"/>
        <v>0.95053813312977198</v>
      </c>
      <c r="AZ222" s="1007">
        <v>201297027</v>
      </c>
      <c r="BA222" s="957">
        <f t="shared" si="405"/>
        <v>166451895</v>
      </c>
      <c r="BB222" s="930">
        <f t="shared" si="406"/>
        <v>0.82689693673419229</v>
      </c>
      <c r="BC222" s="986">
        <f t="shared" si="407"/>
        <v>142562150</v>
      </c>
      <c r="BD222" s="930">
        <f t="shared" si="408"/>
        <v>0.70821786155838262</v>
      </c>
      <c r="BE222" s="987"/>
      <c r="BF222" s="987"/>
      <c r="BG222" s="910" t="s">
        <v>1701</v>
      </c>
      <c r="BH222" s="1345"/>
    </row>
    <row r="223" spans="1:61" s="865" customFormat="1" ht="47.4" customHeight="1">
      <c r="A223" s="1187" t="s">
        <v>2449</v>
      </c>
      <c r="B223" s="1188" t="s">
        <v>2450</v>
      </c>
      <c r="C223" s="1188" t="s">
        <v>2086</v>
      </c>
      <c r="D223" s="990">
        <v>1</v>
      </c>
      <c r="E223" s="990">
        <v>0.1</v>
      </c>
      <c r="F223" s="990">
        <v>1</v>
      </c>
      <c r="G223" s="990">
        <v>1</v>
      </c>
      <c r="H223" s="906">
        <v>0</v>
      </c>
      <c r="I223" s="990">
        <v>0.1</v>
      </c>
      <c r="J223" s="938">
        <v>1</v>
      </c>
      <c r="K223" s="938">
        <v>1</v>
      </c>
      <c r="L223" s="906">
        <v>1</v>
      </c>
      <c r="M223" s="938">
        <v>0.1</v>
      </c>
      <c r="N223" s="938"/>
      <c r="O223" s="930">
        <f t="shared" si="433"/>
        <v>1</v>
      </c>
      <c r="P223" s="930">
        <f t="shared" si="433"/>
        <v>1</v>
      </c>
      <c r="Q223" s="930">
        <f t="shared" si="433"/>
        <v>1</v>
      </c>
      <c r="R223" s="908">
        <f t="shared" si="434"/>
        <v>1</v>
      </c>
      <c r="S223" s="1198" t="s">
        <v>2796</v>
      </c>
      <c r="T223" s="931">
        <v>45291</v>
      </c>
      <c r="U223" s="942"/>
      <c r="V223" s="942"/>
      <c r="W223" s="909"/>
      <c r="X223" s="933"/>
      <c r="Y223" s="1195">
        <f t="shared" si="435"/>
        <v>3.1</v>
      </c>
      <c r="Z223" s="913">
        <f t="shared" si="436"/>
        <v>3.2</v>
      </c>
      <c r="AA223" s="983">
        <f t="shared" si="437"/>
        <v>1</v>
      </c>
      <c r="AB223" s="1190">
        <v>0.15</v>
      </c>
      <c r="AC223" s="1190">
        <v>0.16</v>
      </c>
      <c r="AD223" s="1190">
        <v>0.15</v>
      </c>
      <c r="AE223" s="908">
        <f>+AD223*1.11111111111111</f>
        <v>0.16666666666666649</v>
      </c>
      <c r="AF223" s="1190">
        <v>0.15</v>
      </c>
      <c r="AG223" s="1196">
        <v>50000000</v>
      </c>
      <c r="AH223" s="1191">
        <v>0</v>
      </c>
      <c r="AI223" s="1191">
        <v>19534088</v>
      </c>
      <c r="AJ223" s="1191">
        <v>29755339</v>
      </c>
      <c r="AK223" s="1191">
        <v>49994788</v>
      </c>
      <c r="AL223" s="982">
        <f t="shared" si="402"/>
        <v>0.99989576000000002</v>
      </c>
      <c r="AM223" s="1191">
        <v>0</v>
      </c>
      <c r="AN223" s="1191">
        <v>17978547</v>
      </c>
      <c r="AO223" s="1191">
        <v>27987507</v>
      </c>
      <c r="AP223" s="1191">
        <v>22451301</v>
      </c>
      <c r="AQ223" s="983">
        <f t="shared" si="403"/>
        <v>0.44902602000000003</v>
      </c>
      <c r="AR223" s="915">
        <f t="shared" si="438"/>
        <v>1767832</v>
      </c>
      <c r="AS223" s="1191">
        <v>0</v>
      </c>
      <c r="AT223" s="1191">
        <v>0</v>
      </c>
      <c r="AU223" s="1191">
        <v>1555541</v>
      </c>
      <c r="AV223" s="1191">
        <v>1317236</v>
      </c>
      <c r="AW223" s="1191">
        <v>1767832</v>
      </c>
      <c r="AX223" s="1191">
        <v>1744393</v>
      </c>
      <c r="AY223" s="984">
        <f t="shared" si="386"/>
        <v>0.98674138719063798</v>
      </c>
      <c r="AZ223" s="1007">
        <v>130000000</v>
      </c>
      <c r="BA223" s="957">
        <f t="shared" si="405"/>
        <v>99284215</v>
      </c>
      <c r="BB223" s="930">
        <f t="shared" si="406"/>
        <v>0.76372473076923075</v>
      </c>
      <c r="BC223" s="986">
        <f t="shared" si="407"/>
        <v>71478984</v>
      </c>
      <c r="BD223" s="930">
        <f t="shared" si="408"/>
        <v>0.54983833846153851</v>
      </c>
      <c r="BE223" s="987"/>
      <c r="BF223" s="987"/>
      <c r="BG223" s="910" t="s">
        <v>1701</v>
      </c>
      <c r="BH223" s="1345"/>
    </row>
    <row r="224" spans="1:61" s="865" customFormat="1" ht="47.4" customHeight="1">
      <c r="A224" s="1187" t="s">
        <v>2451</v>
      </c>
      <c r="B224" s="1188" t="s">
        <v>2452</v>
      </c>
      <c r="C224" s="1188" t="s">
        <v>2086</v>
      </c>
      <c r="D224" s="990">
        <v>1</v>
      </c>
      <c r="E224" s="990">
        <v>1</v>
      </c>
      <c r="F224" s="990">
        <v>1</v>
      </c>
      <c r="G224" s="990">
        <v>1</v>
      </c>
      <c r="H224" s="906">
        <v>1</v>
      </c>
      <c r="I224" s="906">
        <v>1</v>
      </c>
      <c r="J224" s="938">
        <v>1</v>
      </c>
      <c r="K224" s="938">
        <v>1</v>
      </c>
      <c r="L224" s="906"/>
      <c r="M224" s="906"/>
      <c r="N224" s="906"/>
      <c r="O224" s="930">
        <f t="shared" si="433"/>
        <v>1</v>
      </c>
      <c r="P224" s="930">
        <f t="shared" si="433"/>
        <v>1</v>
      </c>
      <c r="Q224" s="930">
        <f t="shared" si="433"/>
        <v>1</v>
      </c>
      <c r="R224" s="908">
        <f t="shared" si="434"/>
        <v>1</v>
      </c>
      <c r="S224" s="1154" t="s">
        <v>2797</v>
      </c>
      <c r="T224" s="931">
        <v>45291</v>
      </c>
      <c r="U224" s="942"/>
      <c r="V224" s="942"/>
      <c r="W224" s="909"/>
      <c r="X224" s="933"/>
      <c r="Y224" s="1189">
        <f t="shared" si="435"/>
        <v>4</v>
      </c>
      <c r="Z224" s="913">
        <f t="shared" si="436"/>
        <v>4</v>
      </c>
      <c r="AA224" s="983">
        <f t="shared" si="437"/>
        <v>1</v>
      </c>
      <c r="AB224" s="1190">
        <v>0.15</v>
      </c>
      <c r="AC224" s="1190">
        <v>0.18</v>
      </c>
      <c r="AD224" s="1190">
        <v>0.15</v>
      </c>
      <c r="AE224" s="908">
        <f>+AD224*1.11111111111111</f>
        <v>0.16666666666666649</v>
      </c>
      <c r="AF224" s="1190">
        <v>0.15</v>
      </c>
      <c r="AG224" s="1191">
        <v>125000000</v>
      </c>
      <c r="AH224" s="1191">
        <v>14500000</v>
      </c>
      <c r="AI224" s="1191">
        <v>32646960</v>
      </c>
      <c r="AJ224" s="1191">
        <v>124756379</v>
      </c>
      <c r="AK224" s="1191">
        <v>124772365</v>
      </c>
      <c r="AL224" s="982">
        <f t="shared" si="402"/>
        <v>0.99817891999999997</v>
      </c>
      <c r="AM224" s="1191">
        <v>14500000</v>
      </c>
      <c r="AN224" s="1191">
        <v>27461821</v>
      </c>
      <c r="AO224" s="1191">
        <v>120732647</v>
      </c>
      <c r="AP224" s="1191">
        <v>17113370</v>
      </c>
      <c r="AQ224" s="983">
        <f t="shared" si="403"/>
        <v>0.13690695999999999</v>
      </c>
      <c r="AR224" s="915">
        <f t="shared" si="438"/>
        <v>4023732</v>
      </c>
      <c r="AS224" s="1191">
        <v>0</v>
      </c>
      <c r="AT224" s="1191">
        <v>0</v>
      </c>
      <c r="AU224" s="1191">
        <v>5185139</v>
      </c>
      <c r="AV224" s="1191">
        <v>4390791</v>
      </c>
      <c r="AW224" s="1191">
        <v>4023732</v>
      </c>
      <c r="AX224" s="1191">
        <v>3836645</v>
      </c>
      <c r="AY224" s="984">
        <f t="shared" si="386"/>
        <v>0.9535041101146895</v>
      </c>
      <c r="AZ224" s="1028">
        <v>580000000</v>
      </c>
      <c r="BA224" s="957">
        <f t="shared" si="405"/>
        <v>296675704</v>
      </c>
      <c r="BB224" s="930">
        <f t="shared" si="406"/>
        <v>0.51150983448275866</v>
      </c>
      <c r="BC224" s="986">
        <f t="shared" si="407"/>
        <v>188035274</v>
      </c>
      <c r="BD224" s="930">
        <f t="shared" si="408"/>
        <v>0.32419874827586209</v>
      </c>
      <c r="BE224" s="987"/>
      <c r="BF224" s="987"/>
      <c r="BG224" s="910" t="s">
        <v>1701</v>
      </c>
      <c r="BH224" s="1345"/>
    </row>
    <row r="225" spans="1:60" s="865" customFormat="1" ht="47.4" customHeight="1">
      <c r="A225" s="1187" t="s">
        <v>2453</v>
      </c>
      <c r="B225" s="1188" t="s">
        <v>2454</v>
      </c>
      <c r="C225" s="1188" t="s">
        <v>2086</v>
      </c>
      <c r="D225" s="990">
        <v>0</v>
      </c>
      <c r="E225" s="990">
        <v>1</v>
      </c>
      <c r="F225" s="990">
        <v>0</v>
      </c>
      <c r="G225" s="990">
        <v>1</v>
      </c>
      <c r="H225" s="906">
        <v>0</v>
      </c>
      <c r="I225" s="906">
        <v>1</v>
      </c>
      <c r="J225" s="906">
        <v>0</v>
      </c>
      <c r="K225" s="938">
        <v>1</v>
      </c>
      <c r="L225" s="906"/>
      <c r="M225" s="906"/>
      <c r="N225" s="906"/>
      <c r="O225" s="930">
        <f t="shared" si="433"/>
        <v>0</v>
      </c>
      <c r="P225" s="930">
        <f t="shared" si="433"/>
        <v>1</v>
      </c>
      <c r="Q225" s="908">
        <f t="shared" si="433"/>
        <v>0</v>
      </c>
      <c r="R225" s="908">
        <f t="shared" si="434"/>
        <v>1</v>
      </c>
      <c r="S225" s="1154" t="s">
        <v>2798</v>
      </c>
      <c r="T225" s="931">
        <v>45291</v>
      </c>
      <c r="U225" s="941"/>
      <c r="V225" s="942"/>
      <c r="W225" s="909"/>
      <c r="X225" s="932"/>
      <c r="Y225" s="1189">
        <f t="shared" si="435"/>
        <v>2</v>
      </c>
      <c r="Z225" s="913">
        <f t="shared" si="436"/>
        <v>2</v>
      </c>
      <c r="AA225" s="983">
        <f t="shared" si="437"/>
        <v>1</v>
      </c>
      <c r="AB225" s="1190">
        <v>0.1</v>
      </c>
      <c r="AC225" s="1190">
        <v>0</v>
      </c>
      <c r="AD225" s="1190">
        <v>0.1</v>
      </c>
      <c r="AE225" s="908">
        <v>0</v>
      </c>
      <c r="AF225" s="1190">
        <v>0.1</v>
      </c>
      <c r="AG225" s="1191">
        <v>40000000</v>
      </c>
      <c r="AH225" s="1191">
        <v>0</v>
      </c>
      <c r="AI225" s="1191">
        <v>1500000</v>
      </c>
      <c r="AJ225" s="1191">
        <v>0</v>
      </c>
      <c r="AK225" s="1191">
        <v>40000000</v>
      </c>
      <c r="AL225" s="982">
        <f t="shared" si="402"/>
        <v>1</v>
      </c>
      <c r="AM225" s="1191">
        <v>0</v>
      </c>
      <c r="AN225" s="1191">
        <v>489273</v>
      </c>
      <c r="AO225" s="1191">
        <v>0</v>
      </c>
      <c r="AP225" s="1191">
        <v>29662195</v>
      </c>
      <c r="AQ225" s="983">
        <f t="shared" si="403"/>
        <v>0.74155487499999995</v>
      </c>
      <c r="AR225" s="915">
        <f t="shared" si="438"/>
        <v>0</v>
      </c>
      <c r="AS225" s="1191">
        <v>0</v>
      </c>
      <c r="AT225" s="1191">
        <v>0</v>
      </c>
      <c r="AU225" s="1191">
        <v>1010727</v>
      </c>
      <c r="AV225" s="1191">
        <v>998728</v>
      </c>
      <c r="AW225" s="1191"/>
      <c r="AX225" s="1191"/>
      <c r="AY225" s="984" t="e">
        <f t="shared" si="386"/>
        <v>#DIV/0!</v>
      </c>
      <c r="AZ225" s="1028">
        <v>55000000</v>
      </c>
      <c r="BA225" s="957">
        <f t="shared" si="405"/>
        <v>41500000</v>
      </c>
      <c r="BB225" s="930">
        <f t="shared" si="406"/>
        <v>0.75454545454545452</v>
      </c>
      <c r="BC225" s="986">
        <f t="shared" si="407"/>
        <v>31150196</v>
      </c>
      <c r="BD225" s="930">
        <f t="shared" si="408"/>
        <v>0.56636719999999996</v>
      </c>
      <c r="BE225" s="987"/>
      <c r="BF225" s="987"/>
      <c r="BG225" s="910" t="s">
        <v>1701</v>
      </c>
      <c r="BH225" s="1345"/>
    </row>
    <row r="226" spans="1:60" s="865" customFormat="1" ht="47.4" customHeight="1">
      <c r="A226" s="1187" t="s">
        <v>2455</v>
      </c>
      <c r="B226" s="1188" t="s">
        <v>2456</v>
      </c>
      <c r="C226" s="1188" t="s">
        <v>2086</v>
      </c>
      <c r="D226" s="990">
        <v>1</v>
      </c>
      <c r="E226" s="990">
        <v>1</v>
      </c>
      <c r="F226" s="990">
        <v>1</v>
      </c>
      <c r="G226" s="990">
        <v>1</v>
      </c>
      <c r="H226" s="906">
        <v>1</v>
      </c>
      <c r="I226" s="906">
        <v>1</v>
      </c>
      <c r="J226" s="938">
        <v>1</v>
      </c>
      <c r="K226" s="938">
        <v>1</v>
      </c>
      <c r="L226" s="906"/>
      <c r="M226" s="906"/>
      <c r="N226" s="906"/>
      <c r="O226" s="930">
        <f t="shared" si="433"/>
        <v>1</v>
      </c>
      <c r="P226" s="930">
        <f t="shared" si="433"/>
        <v>1</v>
      </c>
      <c r="Q226" s="930">
        <f t="shared" si="433"/>
        <v>1</v>
      </c>
      <c r="R226" s="908">
        <f t="shared" si="434"/>
        <v>1</v>
      </c>
      <c r="S226" s="865" t="s">
        <v>2799</v>
      </c>
      <c r="T226" s="931">
        <v>45291</v>
      </c>
      <c r="U226" s="942"/>
      <c r="V226" s="942"/>
      <c r="W226" s="909"/>
      <c r="X226" s="932"/>
      <c r="Y226" s="1189">
        <f t="shared" si="435"/>
        <v>4</v>
      </c>
      <c r="Z226" s="913">
        <f t="shared" si="436"/>
        <v>4</v>
      </c>
      <c r="AA226" s="983">
        <f t="shared" si="437"/>
        <v>1</v>
      </c>
      <c r="AB226" s="1190">
        <v>0.1</v>
      </c>
      <c r="AC226" s="1190">
        <v>0.12</v>
      </c>
      <c r="AD226" s="1190">
        <v>0.1</v>
      </c>
      <c r="AE226" s="908">
        <f>+AD226*1.11111111111111</f>
        <v>0.11111111111111101</v>
      </c>
      <c r="AF226" s="1190">
        <v>0.1</v>
      </c>
      <c r="AG226" s="1191">
        <v>20000000</v>
      </c>
      <c r="AH226" s="1191">
        <v>0</v>
      </c>
      <c r="AI226" s="1191">
        <v>900000</v>
      </c>
      <c r="AJ226" s="1191">
        <v>19989771</v>
      </c>
      <c r="AK226" s="1191">
        <v>20000000</v>
      </c>
      <c r="AL226" s="982">
        <f t="shared" si="402"/>
        <v>1</v>
      </c>
      <c r="AM226" s="1191">
        <v>0</v>
      </c>
      <c r="AN226" s="1191">
        <v>293564</v>
      </c>
      <c r="AO226" s="1191">
        <v>19679299</v>
      </c>
      <c r="AP226" s="1191">
        <v>19553703</v>
      </c>
      <c r="AQ226" s="983">
        <f t="shared" si="403"/>
        <v>0.97768515</v>
      </c>
      <c r="AR226" s="915">
        <f t="shared" si="438"/>
        <v>310472</v>
      </c>
      <c r="AS226" s="1191">
        <v>0</v>
      </c>
      <c r="AT226" s="1191">
        <v>0</v>
      </c>
      <c r="AU226" s="1191">
        <v>606436</v>
      </c>
      <c r="AV226" s="1191">
        <v>599237</v>
      </c>
      <c r="AW226" s="1191">
        <v>310472</v>
      </c>
      <c r="AX226" s="1191">
        <v>295116</v>
      </c>
      <c r="AY226" s="984">
        <f t="shared" si="386"/>
        <v>0.95053982323687802</v>
      </c>
      <c r="AZ226" s="1028">
        <v>69000000</v>
      </c>
      <c r="BA226" s="957">
        <f t="shared" si="405"/>
        <v>40889771</v>
      </c>
      <c r="BB226" s="930">
        <f t="shared" si="406"/>
        <v>0.5926053768115942</v>
      </c>
      <c r="BC226" s="986">
        <f t="shared" si="407"/>
        <v>40420919</v>
      </c>
      <c r="BD226" s="930">
        <f t="shared" si="408"/>
        <v>0.58581042028985508</v>
      </c>
      <c r="BE226" s="987"/>
      <c r="BF226" s="987"/>
      <c r="BG226" s="910" t="s">
        <v>1701</v>
      </c>
      <c r="BH226" s="1192" t="s">
        <v>2443</v>
      </c>
    </row>
    <row r="227" spans="1:60" s="865" customFormat="1" ht="47.4" customHeight="1">
      <c r="A227" s="893" t="s">
        <v>2457</v>
      </c>
      <c r="B227" s="894"/>
      <c r="C227" s="894"/>
      <c r="D227" s="895"/>
      <c r="E227" s="895"/>
      <c r="F227" s="895"/>
      <c r="G227" s="895"/>
      <c r="H227" s="895"/>
      <c r="I227" s="895"/>
      <c r="J227" s="895"/>
      <c r="K227" s="895"/>
      <c r="L227" s="895"/>
      <c r="M227" s="895"/>
      <c r="N227" s="895"/>
      <c r="O227" s="896">
        <f>+SUMPRODUCT(O228:O228,AC228:AC228)</f>
        <v>1</v>
      </c>
      <c r="P227" s="896">
        <f t="shared" ref="P227:R227" si="439">+SUMPRODUCT(P228:P228,AD228:AD228)</f>
        <v>1</v>
      </c>
      <c r="Q227" s="896">
        <f t="shared" si="439"/>
        <v>1</v>
      </c>
      <c r="R227" s="896">
        <f t="shared" si="439"/>
        <v>1</v>
      </c>
      <c r="S227" s="1134"/>
      <c r="T227" s="1134"/>
      <c r="U227" s="894"/>
      <c r="V227" s="894"/>
      <c r="W227" s="894"/>
      <c r="X227" s="1134"/>
      <c r="Y227" s="1059"/>
      <c r="Z227" s="897"/>
      <c r="AA227" s="896">
        <f>+SUMPRODUCT(AA228:AA228,AB228:AB228)</f>
        <v>1</v>
      </c>
      <c r="AB227" s="896">
        <v>0.2</v>
      </c>
      <c r="AC227" s="896">
        <v>0.2</v>
      </c>
      <c r="AD227" s="896">
        <v>0.2</v>
      </c>
      <c r="AE227" s="896">
        <v>0.2</v>
      </c>
      <c r="AF227" s="896">
        <v>0.2</v>
      </c>
      <c r="AG227" s="894">
        <f>SUM(AG228)</f>
        <v>70000000</v>
      </c>
      <c r="AH227" s="894">
        <f>SUM(AH228)</f>
        <v>51000000</v>
      </c>
      <c r="AI227" s="894">
        <f>SUM(AI228)</f>
        <v>43976413</v>
      </c>
      <c r="AJ227" s="894">
        <f>SUM(AJ228)</f>
        <v>49974158</v>
      </c>
      <c r="AK227" s="894">
        <f>SUM(AK228)</f>
        <v>70000000</v>
      </c>
      <c r="AL227" s="900">
        <f t="shared" si="402"/>
        <v>1</v>
      </c>
      <c r="AM227" s="894">
        <f>SUM(AM228)</f>
        <v>18000000</v>
      </c>
      <c r="AN227" s="894">
        <f>SUM(AN228)</f>
        <v>41985317</v>
      </c>
      <c r="AO227" s="894">
        <f>SUM(AO228)</f>
        <v>48499695</v>
      </c>
      <c r="AP227" s="894">
        <f>SUM(AP228)</f>
        <v>68437962</v>
      </c>
      <c r="AQ227" s="901">
        <f t="shared" si="403"/>
        <v>0.97768517142857148</v>
      </c>
      <c r="AR227" s="902">
        <f t="shared" ref="AR227:AX227" si="440">SUM(AR228)</f>
        <v>1474463</v>
      </c>
      <c r="AS227" s="894">
        <f t="shared" si="440"/>
        <v>33000000</v>
      </c>
      <c r="AT227" s="894">
        <f t="shared" si="440"/>
        <v>33000000</v>
      </c>
      <c r="AU227" s="894">
        <f t="shared" si="440"/>
        <v>1991096</v>
      </c>
      <c r="AV227" s="894">
        <f t="shared" si="440"/>
        <v>1656627</v>
      </c>
      <c r="AW227" s="894">
        <f t="shared" si="440"/>
        <v>1474463</v>
      </c>
      <c r="AX227" s="894">
        <f t="shared" si="440"/>
        <v>787947</v>
      </c>
      <c r="AY227" s="903">
        <f t="shared" si="386"/>
        <v>0.53439591227450267</v>
      </c>
      <c r="AZ227" s="894">
        <f t="shared" ref="AZ227" si="441">SUM(AZ228)</f>
        <v>245000000</v>
      </c>
      <c r="BA227" s="894">
        <f t="shared" si="405"/>
        <v>214950571</v>
      </c>
      <c r="BB227" s="896">
        <f t="shared" si="406"/>
        <v>0.87734926938775515</v>
      </c>
      <c r="BC227" s="962">
        <f t="shared" si="407"/>
        <v>212367548</v>
      </c>
      <c r="BD227" s="896">
        <f t="shared" si="408"/>
        <v>0.8668063183673469</v>
      </c>
      <c r="BE227" s="902"/>
      <c r="BF227" s="902"/>
      <c r="BG227" s="902"/>
      <c r="BH227" s="902"/>
    </row>
    <row r="228" spans="1:60" s="865" customFormat="1" ht="47.4" customHeight="1">
      <c r="A228" s="1199" t="s">
        <v>2458</v>
      </c>
      <c r="B228" s="1200" t="s">
        <v>2459</v>
      </c>
      <c r="C228" s="1188" t="s">
        <v>2086</v>
      </c>
      <c r="D228" s="990">
        <v>1</v>
      </c>
      <c r="E228" s="990">
        <v>1</v>
      </c>
      <c r="F228" s="990">
        <v>1</v>
      </c>
      <c r="G228" s="990">
        <v>1</v>
      </c>
      <c r="H228" s="906">
        <v>1</v>
      </c>
      <c r="I228" s="906">
        <v>1</v>
      </c>
      <c r="J228" s="906">
        <v>1</v>
      </c>
      <c r="K228" s="938">
        <v>1</v>
      </c>
      <c r="L228" s="906"/>
      <c r="M228" s="906"/>
      <c r="N228" s="906"/>
      <c r="O228" s="908">
        <f>+IFERROR(IF((H228+L228)/D228&gt;=100%,100%,(H228+L228)/D228),0)</f>
        <v>1</v>
      </c>
      <c r="P228" s="930">
        <f>+IFERROR(IF((I228+M228)/E228&gt;=100%,100%,(I228+M228)/E228),0)</f>
        <v>1</v>
      </c>
      <c r="Q228" s="930">
        <f>+IFERROR(IF((J228+N228)/F228&gt;=100%,100%,(J228+N228)/F228),0)</f>
        <v>1</v>
      </c>
      <c r="R228" s="908">
        <f>+IFERROR(IF(K228/G228&gt;=100%,100%,K228/G228),0)</f>
        <v>1</v>
      </c>
      <c r="S228" s="865" t="s">
        <v>2800</v>
      </c>
      <c r="T228" s="931">
        <v>45291</v>
      </c>
      <c r="U228" s="942" t="s">
        <v>2092</v>
      </c>
      <c r="V228" s="942"/>
      <c r="W228" s="909" t="s">
        <v>2683</v>
      </c>
      <c r="X228" s="933">
        <v>240</v>
      </c>
      <c r="Y228" s="1189">
        <f t="shared" ref="Y228" si="442">SUM(D228:G228)</f>
        <v>4</v>
      </c>
      <c r="Z228" s="913">
        <f t="shared" ref="Z228" si="443">SUM(H228:N228)</f>
        <v>4</v>
      </c>
      <c r="AA228" s="928">
        <f t="shared" ref="AA228" si="444">IF(Z228/Y228&gt;=100%,100%,Z228/Y228)</f>
        <v>1</v>
      </c>
      <c r="AB228" s="1056">
        <v>1</v>
      </c>
      <c r="AC228" s="1056">
        <v>1</v>
      </c>
      <c r="AD228" s="908">
        <v>1</v>
      </c>
      <c r="AE228" s="908">
        <v>1</v>
      </c>
      <c r="AF228" s="908">
        <v>1</v>
      </c>
      <c r="AG228" s="1201">
        <v>70000000</v>
      </c>
      <c r="AH228" s="1201">
        <v>51000000</v>
      </c>
      <c r="AI228" s="1201">
        <v>43976413</v>
      </c>
      <c r="AJ228" s="1201">
        <v>49974158</v>
      </c>
      <c r="AK228" s="1201">
        <v>70000000</v>
      </c>
      <c r="AL228" s="916">
        <f t="shared" si="402"/>
        <v>1</v>
      </c>
      <c r="AM228" s="1201">
        <v>18000000</v>
      </c>
      <c r="AN228" s="1201">
        <v>41985317</v>
      </c>
      <c r="AO228" s="1201">
        <v>48499695</v>
      </c>
      <c r="AP228" s="1201">
        <v>68437962</v>
      </c>
      <c r="AQ228" s="928">
        <f t="shared" si="403"/>
        <v>0.97768517142857148</v>
      </c>
      <c r="AR228" s="915">
        <f>+AJ228-AO228</f>
        <v>1474463</v>
      </c>
      <c r="AS228" s="1201">
        <v>33000000</v>
      </c>
      <c r="AT228" s="1201">
        <v>33000000</v>
      </c>
      <c r="AU228" s="1201">
        <v>1991096</v>
      </c>
      <c r="AV228" s="1201">
        <v>1656627</v>
      </c>
      <c r="AW228" s="1201">
        <v>1474463</v>
      </c>
      <c r="AX228" s="1201">
        <v>787947</v>
      </c>
      <c r="AY228" s="956">
        <f t="shared" si="386"/>
        <v>0.53439591227450267</v>
      </c>
      <c r="AZ228" s="1041">
        <v>245000000</v>
      </c>
      <c r="BA228" s="957">
        <f t="shared" si="405"/>
        <v>214950571</v>
      </c>
      <c r="BB228" s="930">
        <f t="shared" si="406"/>
        <v>0.87734926938775515</v>
      </c>
      <c r="BC228" s="986">
        <f t="shared" si="407"/>
        <v>212367548</v>
      </c>
      <c r="BD228" s="930">
        <f t="shared" si="408"/>
        <v>0.8668063183673469</v>
      </c>
      <c r="BE228" s="926"/>
      <c r="BF228" s="926"/>
      <c r="BG228" s="910" t="s">
        <v>1701</v>
      </c>
      <c r="BH228" s="1202" t="s">
        <v>2443</v>
      </c>
    </row>
    <row r="229" spans="1:60" s="865" customFormat="1" ht="47.4" customHeight="1">
      <c r="A229" s="882" t="s">
        <v>2460</v>
      </c>
      <c r="B229" s="883"/>
      <c r="C229" s="883"/>
      <c r="D229" s="884"/>
      <c r="E229" s="884"/>
      <c r="F229" s="884"/>
      <c r="G229" s="884"/>
      <c r="H229" s="884"/>
      <c r="I229" s="884"/>
      <c r="J229" s="884"/>
      <c r="K229" s="884"/>
      <c r="L229" s="884"/>
      <c r="M229" s="884"/>
      <c r="N229" s="884"/>
      <c r="O229" s="885">
        <f>+(O230*AC230)+(O234*AC234)</f>
        <v>1</v>
      </c>
      <c r="P229" s="885">
        <f t="shared" ref="P229:R229" si="445">+(P230*AD230)+(P234*AD234)</f>
        <v>0.96399999999999997</v>
      </c>
      <c r="Q229" s="885">
        <f t="shared" si="445"/>
        <v>1</v>
      </c>
      <c r="R229" s="885">
        <f t="shared" si="445"/>
        <v>1</v>
      </c>
      <c r="S229" s="1132"/>
      <c r="T229" s="1132"/>
      <c r="U229" s="883"/>
      <c r="V229" s="883"/>
      <c r="W229" s="883"/>
      <c r="X229" s="1132"/>
      <c r="Y229" s="1133"/>
      <c r="Z229" s="886"/>
      <c r="AA229" s="885">
        <f>+(AA230*AB230)+(AA234*AB234)</f>
        <v>0.9910000000000001</v>
      </c>
      <c r="AB229" s="885">
        <v>0.1</v>
      </c>
      <c r="AC229" s="885">
        <v>0.1</v>
      </c>
      <c r="AD229" s="885">
        <v>0.1</v>
      </c>
      <c r="AE229" s="885">
        <v>0.1</v>
      </c>
      <c r="AF229" s="885">
        <v>0.1</v>
      </c>
      <c r="AG229" s="883">
        <f>+AG230+AG234</f>
        <v>900000000</v>
      </c>
      <c r="AH229" s="883">
        <f>+AH230+AH234</f>
        <v>1216381367</v>
      </c>
      <c r="AI229" s="883">
        <f>+AI230+AI234</f>
        <v>1068130934</v>
      </c>
      <c r="AJ229" s="883">
        <f>+AJ230+AJ234</f>
        <v>909529462</v>
      </c>
      <c r="AK229" s="883">
        <f>+AK230+AK234</f>
        <v>899187545</v>
      </c>
      <c r="AL229" s="888">
        <f t="shared" si="402"/>
        <v>0.99909727222222222</v>
      </c>
      <c r="AM229" s="883">
        <f>+AM230+AM234</f>
        <v>62000000</v>
      </c>
      <c r="AN229" s="883">
        <f>+AN230+AN234</f>
        <v>924899955</v>
      </c>
      <c r="AO229" s="883">
        <f>+AO230+AO234</f>
        <v>753471385</v>
      </c>
      <c r="AP229" s="883">
        <f>+AP230+AP234</f>
        <v>834726012</v>
      </c>
      <c r="AQ229" s="890">
        <f t="shared" si="403"/>
        <v>0.9274733466666667</v>
      </c>
      <c r="AR229" s="883">
        <f t="shared" ref="AR229:AX229" si="446">+AR230+AR234</f>
        <v>156058077</v>
      </c>
      <c r="AS229" s="883">
        <f t="shared" si="446"/>
        <v>1154381367</v>
      </c>
      <c r="AT229" s="883">
        <f t="shared" si="446"/>
        <v>1144381367</v>
      </c>
      <c r="AU229" s="883">
        <f t="shared" si="446"/>
        <v>143230979</v>
      </c>
      <c r="AV229" s="883">
        <f t="shared" si="446"/>
        <v>127668256</v>
      </c>
      <c r="AW229" s="883">
        <f t="shared" si="446"/>
        <v>156058077</v>
      </c>
      <c r="AX229" s="883">
        <f t="shared" si="446"/>
        <v>153801281</v>
      </c>
      <c r="AY229" s="1068">
        <f t="shared" si="386"/>
        <v>0.98553874273357855</v>
      </c>
      <c r="AZ229" s="883">
        <f t="shared" ref="AZ229" si="447">+AZ230+AZ234</f>
        <v>4394891449</v>
      </c>
      <c r="BA229" s="883">
        <f t="shared" si="405"/>
        <v>4093229308</v>
      </c>
      <c r="BB229" s="1044">
        <f t="shared" si="406"/>
        <v>0.93136072995189922</v>
      </c>
      <c r="BC229" s="1045">
        <f t="shared" si="407"/>
        <v>4000948256</v>
      </c>
      <c r="BD229" s="1044">
        <f t="shared" si="408"/>
        <v>0.91036338495012503</v>
      </c>
      <c r="BE229" s="883"/>
      <c r="BF229" s="883" t="s">
        <v>1700</v>
      </c>
      <c r="BG229" s="883"/>
      <c r="BH229" s="883"/>
    </row>
    <row r="230" spans="1:60" s="865" customFormat="1" ht="47.25" customHeight="1">
      <c r="A230" s="893" t="s">
        <v>2461</v>
      </c>
      <c r="B230" s="894"/>
      <c r="C230" s="894"/>
      <c r="D230" s="895"/>
      <c r="E230" s="895"/>
      <c r="F230" s="895"/>
      <c r="G230" s="895"/>
      <c r="H230" s="895"/>
      <c r="I230" s="895"/>
      <c r="J230" s="895"/>
      <c r="K230" s="895"/>
      <c r="L230" s="895"/>
      <c r="M230" s="895"/>
      <c r="N230" s="895"/>
      <c r="O230" s="896">
        <f>+SUMPRODUCT(O231:O233,AC231:AC233)</f>
        <v>0</v>
      </c>
      <c r="P230" s="896">
        <f t="shared" ref="P230:R230" si="448">+SUMPRODUCT(P231:P233,AD231:AD233)</f>
        <v>1</v>
      </c>
      <c r="Q230" s="896">
        <f t="shared" si="448"/>
        <v>1</v>
      </c>
      <c r="R230" s="896">
        <f t="shared" si="448"/>
        <v>1</v>
      </c>
      <c r="S230" s="1134"/>
      <c r="T230" s="1134"/>
      <c r="U230" s="894"/>
      <c r="V230" s="894"/>
      <c r="W230" s="894"/>
      <c r="X230" s="1134"/>
      <c r="Y230" s="1059"/>
      <c r="Z230" s="897"/>
      <c r="AA230" s="896">
        <f>+SUMPRODUCT(AA231:AA233,AB231:AB233)</f>
        <v>1</v>
      </c>
      <c r="AB230" s="896">
        <v>0.2</v>
      </c>
      <c r="AC230" s="896">
        <v>0</v>
      </c>
      <c r="AD230" s="896">
        <v>0.2</v>
      </c>
      <c r="AE230" s="896">
        <v>0.2</v>
      </c>
      <c r="AF230" s="896">
        <v>0.15</v>
      </c>
      <c r="AG230" s="894">
        <f>SUM(AG231:AG233)</f>
        <v>112500000</v>
      </c>
      <c r="AH230" s="894">
        <f>SUM(AH231:AH233)</f>
        <v>0</v>
      </c>
      <c r="AI230" s="894">
        <f>SUM(AI231:AI233)</f>
        <v>12626203</v>
      </c>
      <c r="AJ230" s="894">
        <f>SUM(AJ231:AJ233)</f>
        <v>122436472</v>
      </c>
      <c r="AK230" s="894">
        <f>SUM(AK231:AK233)</f>
        <v>112337184</v>
      </c>
      <c r="AL230" s="900">
        <f t="shared" si="402"/>
        <v>0.99855274666666671</v>
      </c>
      <c r="AM230" s="894">
        <f>SUM(AM231:AM233)</f>
        <v>0</v>
      </c>
      <c r="AN230" s="894">
        <f>SUM(AN231:AN233)</f>
        <v>4098282</v>
      </c>
      <c r="AO230" s="894">
        <f>SUM(AO231:AO233)</f>
        <v>22934513</v>
      </c>
      <c r="AP230" s="894">
        <f>SUM(AP231:AP233)</f>
        <v>98965594</v>
      </c>
      <c r="AQ230" s="901">
        <f t="shared" si="403"/>
        <v>0.87969416888888885</v>
      </c>
      <c r="AR230" s="902">
        <f t="shared" ref="AR230:AX230" si="449">SUM(AR231:AR233)</f>
        <v>99501959</v>
      </c>
      <c r="AS230" s="894">
        <f t="shared" si="449"/>
        <v>0</v>
      </c>
      <c r="AT230" s="894">
        <f t="shared" si="449"/>
        <v>0</v>
      </c>
      <c r="AU230" s="894">
        <f t="shared" si="449"/>
        <v>8527921</v>
      </c>
      <c r="AV230" s="894">
        <f t="shared" si="449"/>
        <v>7252920</v>
      </c>
      <c r="AW230" s="894">
        <f t="shared" si="449"/>
        <v>99501959</v>
      </c>
      <c r="AX230" s="894">
        <f t="shared" si="449"/>
        <v>97647924</v>
      </c>
      <c r="AY230" s="903">
        <f t="shared" si="386"/>
        <v>0.98136684926977169</v>
      </c>
      <c r="AZ230" s="894">
        <f t="shared" ref="AZ230" si="450">SUM(AZ231:AZ233)</f>
        <v>407500000</v>
      </c>
      <c r="BA230" s="894">
        <f t="shared" si="405"/>
        <v>247399859</v>
      </c>
      <c r="BB230" s="896">
        <f t="shared" si="406"/>
        <v>0.60711621840490793</v>
      </c>
      <c r="BC230" s="962">
        <f t="shared" si="407"/>
        <v>230899233</v>
      </c>
      <c r="BD230" s="896">
        <f t="shared" si="408"/>
        <v>0.56662388466257674</v>
      </c>
      <c r="BE230" s="902"/>
      <c r="BF230" s="902"/>
      <c r="BG230" s="902"/>
      <c r="BH230" s="902"/>
    </row>
    <row r="231" spans="1:60" s="865" customFormat="1" ht="75" customHeight="1">
      <c r="A231" s="1187" t="s">
        <v>2462</v>
      </c>
      <c r="B231" s="1188" t="s">
        <v>2463</v>
      </c>
      <c r="C231" s="1188" t="s">
        <v>2086</v>
      </c>
      <c r="D231" s="1003">
        <v>0</v>
      </c>
      <c r="E231" s="1203">
        <v>1</v>
      </c>
      <c r="F231" s="1203">
        <v>0</v>
      </c>
      <c r="G231" s="1203">
        <v>0</v>
      </c>
      <c r="H231" s="1203">
        <v>0</v>
      </c>
      <c r="I231" s="907">
        <v>1</v>
      </c>
      <c r="J231" s="906"/>
      <c r="K231" s="906"/>
      <c r="L231" s="907"/>
      <c r="M231" s="907"/>
      <c r="N231" s="907"/>
      <c r="O231" s="930">
        <f t="shared" ref="O231:Q233" si="451">+IFERROR(IF((H231+L231)/D231&gt;=100%,100%,(H231+L231)/D231),0)</f>
        <v>0</v>
      </c>
      <c r="P231" s="930">
        <f t="shared" si="451"/>
        <v>1</v>
      </c>
      <c r="Q231" s="908">
        <f t="shared" si="451"/>
        <v>0</v>
      </c>
      <c r="R231" s="908">
        <f t="shared" ref="R231:R233" si="452">+IFERROR(IF(K231/G231&gt;=100%,100%,K231/G231),0)</f>
        <v>0</v>
      </c>
      <c r="S231" s="1154"/>
      <c r="T231" s="1154"/>
      <c r="U231" s="941"/>
      <c r="V231" s="942"/>
      <c r="W231" s="909"/>
      <c r="X231" s="1154"/>
      <c r="Y231" s="942">
        <f t="shared" ref="Y231:Y233" si="453">SUM(D231:G231)</f>
        <v>1</v>
      </c>
      <c r="Z231" s="913">
        <f t="shared" ref="Z231:Z233" si="454">SUM(H231:N231)</f>
        <v>1</v>
      </c>
      <c r="AA231" s="983">
        <f t="shared" ref="AA231:AA233" si="455">IF(Z231/Y231&gt;=100%,100%,Z231/Y231)</f>
        <v>1</v>
      </c>
      <c r="AB231" s="1190">
        <v>0.4</v>
      </c>
      <c r="AC231" s="1088">
        <v>0</v>
      </c>
      <c r="AD231" s="1190">
        <v>0.4</v>
      </c>
      <c r="AE231" s="908">
        <v>0</v>
      </c>
      <c r="AF231" s="908">
        <v>0</v>
      </c>
      <c r="AG231" s="1196">
        <v>0</v>
      </c>
      <c r="AH231" s="1201">
        <v>0</v>
      </c>
      <c r="AI231" s="1196">
        <v>4156650</v>
      </c>
      <c r="AJ231" s="1196">
        <v>0</v>
      </c>
      <c r="AK231" s="1196"/>
      <c r="AL231" s="982" t="e">
        <f t="shared" si="402"/>
        <v>#DIV/0!</v>
      </c>
      <c r="AM231" s="1201">
        <v>0</v>
      </c>
      <c r="AN231" s="1196">
        <v>1343991</v>
      </c>
      <c r="AO231" s="1196">
        <v>0</v>
      </c>
      <c r="AP231" s="1196"/>
      <c r="AQ231" s="983" t="e">
        <f t="shared" si="403"/>
        <v>#DIV/0!</v>
      </c>
      <c r="AR231" s="915">
        <f t="shared" ref="AR231:AR233" si="456">+AJ231-AO231</f>
        <v>0</v>
      </c>
      <c r="AS231" s="1201">
        <v>0</v>
      </c>
      <c r="AT231" s="1201">
        <v>0</v>
      </c>
      <c r="AU231" s="1201">
        <v>2812659</v>
      </c>
      <c r="AV231" s="1201">
        <v>2381660</v>
      </c>
      <c r="AW231" s="1201"/>
      <c r="AX231" s="1201"/>
      <c r="AY231" s="984" t="e">
        <f t="shared" si="386"/>
        <v>#DIV/0!</v>
      </c>
      <c r="AZ231" s="1028">
        <v>62500000</v>
      </c>
      <c r="BA231" s="957">
        <f t="shared" si="405"/>
        <v>4156650</v>
      </c>
      <c r="BB231" s="930">
        <f t="shared" si="406"/>
        <v>6.6506399999999993E-2</v>
      </c>
      <c r="BC231" s="986">
        <f t="shared" si="407"/>
        <v>3725651</v>
      </c>
      <c r="BD231" s="930">
        <f t="shared" si="408"/>
        <v>5.9610415999999999E-2</v>
      </c>
      <c r="BE231" s="987"/>
      <c r="BF231" s="987"/>
      <c r="BG231" s="910" t="s">
        <v>1701</v>
      </c>
      <c r="BH231" s="1192" t="s">
        <v>2118</v>
      </c>
    </row>
    <row r="232" spans="1:60" s="865" customFormat="1" ht="47.4" customHeight="1">
      <c r="A232" s="1187" t="s">
        <v>2464</v>
      </c>
      <c r="B232" s="1188" t="s">
        <v>2465</v>
      </c>
      <c r="C232" s="905" t="s">
        <v>1054</v>
      </c>
      <c r="D232" s="1003">
        <v>0</v>
      </c>
      <c r="E232" s="1204">
        <v>1</v>
      </c>
      <c r="F232" s="1204">
        <v>1</v>
      </c>
      <c r="G232" s="1204">
        <v>1</v>
      </c>
      <c r="H232" s="1204">
        <v>0</v>
      </c>
      <c r="I232" s="1204">
        <v>0</v>
      </c>
      <c r="J232" s="1204">
        <v>1</v>
      </c>
      <c r="K232" s="1204">
        <v>1</v>
      </c>
      <c r="L232" s="906"/>
      <c r="M232" s="1205">
        <v>1</v>
      </c>
      <c r="N232" s="906"/>
      <c r="O232" s="930">
        <f t="shared" si="451"/>
        <v>0</v>
      </c>
      <c r="P232" s="930">
        <f t="shared" si="451"/>
        <v>1</v>
      </c>
      <c r="Q232" s="930">
        <f t="shared" si="451"/>
        <v>1</v>
      </c>
      <c r="R232" s="908">
        <f t="shared" si="452"/>
        <v>1</v>
      </c>
      <c r="S232" s="1154" t="s">
        <v>2801</v>
      </c>
      <c r="T232" s="931">
        <v>45291</v>
      </c>
      <c r="U232" s="942"/>
      <c r="V232" s="942"/>
      <c r="W232" s="909"/>
      <c r="X232" s="933"/>
      <c r="Y232" s="930">
        <f t="shared" si="453"/>
        <v>3</v>
      </c>
      <c r="Z232" s="934">
        <f t="shared" si="454"/>
        <v>3</v>
      </c>
      <c r="AA232" s="983">
        <f t="shared" si="455"/>
        <v>1</v>
      </c>
      <c r="AB232" s="1190">
        <v>0.3</v>
      </c>
      <c r="AC232" s="1088">
        <v>0</v>
      </c>
      <c r="AD232" s="1190">
        <v>0.3</v>
      </c>
      <c r="AE232" s="908">
        <v>0.5</v>
      </c>
      <c r="AF232" s="908">
        <v>0.5</v>
      </c>
      <c r="AG232" s="1196">
        <v>50000000</v>
      </c>
      <c r="AH232" s="1201">
        <v>0</v>
      </c>
      <c r="AI232" s="1196">
        <v>4156650</v>
      </c>
      <c r="AJ232" s="1196">
        <v>59968774</v>
      </c>
      <c r="AK232" s="1196">
        <v>49892815</v>
      </c>
      <c r="AL232" s="982">
        <f t="shared" si="402"/>
        <v>0.99785630000000003</v>
      </c>
      <c r="AM232" s="1201">
        <v>0</v>
      </c>
      <c r="AN232" s="1196">
        <v>1343991</v>
      </c>
      <c r="AO232" s="1196">
        <v>11408300</v>
      </c>
      <c r="AP232" s="1196">
        <v>44434707</v>
      </c>
      <c r="AQ232" s="983">
        <f t="shared" si="403"/>
        <v>0.88869414000000002</v>
      </c>
      <c r="AR232" s="915">
        <f t="shared" si="456"/>
        <v>48560474</v>
      </c>
      <c r="AS232" s="1201">
        <v>0</v>
      </c>
      <c r="AT232" s="1201">
        <v>0</v>
      </c>
      <c r="AU232" s="1201">
        <v>2812659</v>
      </c>
      <c r="AV232" s="1201">
        <v>2381660</v>
      </c>
      <c r="AW232" s="1201">
        <v>48560474</v>
      </c>
      <c r="AX232" s="1201">
        <v>47656945</v>
      </c>
      <c r="AY232" s="984">
        <f t="shared" si="386"/>
        <v>0.98139373598371382</v>
      </c>
      <c r="AZ232" s="1028">
        <v>170000000</v>
      </c>
      <c r="BA232" s="957">
        <f t="shared" si="405"/>
        <v>114018239</v>
      </c>
      <c r="BB232" s="930">
        <f t="shared" si="406"/>
        <v>0.67069552352941175</v>
      </c>
      <c r="BC232" s="986">
        <f t="shared" si="407"/>
        <v>107225603</v>
      </c>
      <c r="BD232" s="930">
        <f t="shared" si="408"/>
        <v>0.63073884117647061</v>
      </c>
      <c r="BE232" s="987"/>
      <c r="BF232" s="987"/>
      <c r="BG232" s="910" t="s">
        <v>1701</v>
      </c>
      <c r="BH232" s="1192" t="s">
        <v>2118</v>
      </c>
    </row>
    <row r="233" spans="1:60" s="865" customFormat="1" ht="47.4" customHeight="1">
      <c r="A233" s="1187" t="s">
        <v>2466</v>
      </c>
      <c r="B233" s="1188" t="s">
        <v>2467</v>
      </c>
      <c r="C233" s="1188" t="s">
        <v>2086</v>
      </c>
      <c r="D233" s="1003">
        <v>0</v>
      </c>
      <c r="E233" s="1003">
        <v>0.1</v>
      </c>
      <c r="F233" s="1003">
        <v>1</v>
      </c>
      <c r="G233" s="1003">
        <v>1</v>
      </c>
      <c r="H233" s="1003">
        <v>0</v>
      </c>
      <c r="I233" s="1003">
        <v>0.1</v>
      </c>
      <c r="J233" s="906">
        <v>1</v>
      </c>
      <c r="K233" s="906">
        <v>1</v>
      </c>
      <c r="L233" s="906"/>
      <c r="M233" s="906">
        <v>0.1</v>
      </c>
      <c r="N233" s="906"/>
      <c r="O233" s="930">
        <f t="shared" si="451"/>
        <v>0</v>
      </c>
      <c r="P233" s="930">
        <f t="shared" si="451"/>
        <v>1</v>
      </c>
      <c r="Q233" s="930">
        <f t="shared" si="451"/>
        <v>1</v>
      </c>
      <c r="R233" s="908">
        <f t="shared" si="452"/>
        <v>1</v>
      </c>
      <c r="S233" s="1194" t="s">
        <v>2802</v>
      </c>
      <c r="T233" s="931">
        <v>45291</v>
      </c>
      <c r="U233" s="941"/>
      <c r="V233" s="942"/>
      <c r="W233" s="909"/>
      <c r="X233" s="1154"/>
      <c r="Y233" s="942">
        <f t="shared" si="453"/>
        <v>2.1</v>
      </c>
      <c r="Z233" s="913">
        <f t="shared" si="454"/>
        <v>2.2000000000000002</v>
      </c>
      <c r="AA233" s="983">
        <f t="shared" si="455"/>
        <v>1</v>
      </c>
      <c r="AB233" s="1190">
        <v>0.3</v>
      </c>
      <c r="AC233" s="1088">
        <v>0</v>
      </c>
      <c r="AD233" s="1190">
        <v>0.3</v>
      </c>
      <c r="AE233" s="930">
        <v>0.5</v>
      </c>
      <c r="AF233" s="930">
        <v>0.5</v>
      </c>
      <c r="AG233" s="1201">
        <v>62500000</v>
      </c>
      <c r="AH233" s="1201">
        <v>0</v>
      </c>
      <c r="AI233" s="1196">
        <v>4312903</v>
      </c>
      <c r="AJ233" s="1196">
        <v>62467698</v>
      </c>
      <c r="AK233" s="1196">
        <v>62444369</v>
      </c>
      <c r="AL233" s="982">
        <f t="shared" si="402"/>
        <v>0.99910990399999999</v>
      </c>
      <c r="AM233" s="1201">
        <v>0</v>
      </c>
      <c r="AN233" s="1196">
        <v>1410300</v>
      </c>
      <c r="AO233" s="1196">
        <v>11526213</v>
      </c>
      <c r="AP233" s="1196">
        <v>54530887</v>
      </c>
      <c r="AQ233" s="983">
        <f t="shared" si="403"/>
        <v>0.872494192</v>
      </c>
      <c r="AR233" s="915">
        <f t="shared" si="456"/>
        <v>50941485</v>
      </c>
      <c r="AS233" s="1201">
        <v>0</v>
      </c>
      <c r="AT233" s="1201">
        <v>0</v>
      </c>
      <c r="AU233" s="1201">
        <v>2902603</v>
      </c>
      <c r="AV233" s="1201">
        <v>2489600</v>
      </c>
      <c r="AW233" s="1201">
        <v>50941485</v>
      </c>
      <c r="AX233" s="1201">
        <v>49990979</v>
      </c>
      <c r="AY233" s="984">
        <f t="shared" si="386"/>
        <v>0.98134121924400119</v>
      </c>
      <c r="AZ233" s="1028">
        <v>175000000</v>
      </c>
      <c r="BA233" s="957">
        <f t="shared" si="405"/>
        <v>129224970</v>
      </c>
      <c r="BB233" s="930">
        <f t="shared" si="406"/>
        <v>0.73842839999999998</v>
      </c>
      <c r="BC233" s="986">
        <f t="shared" si="407"/>
        <v>119947979</v>
      </c>
      <c r="BD233" s="930">
        <f t="shared" si="408"/>
        <v>0.6854170228571429</v>
      </c>
      <c r="BE233" s="987"/>
      <c r="BF233" s="987"/>
      <c r="BG233" s="910" t="s">
        <v>1701</v>
      </c>
      <c r="BH233" s="1192" t="s">
        <v>2118</v>
      </c>
    </row>
    <row r="234" spans="1:60" s="865" customFormat="1" ht="47.4" customHeight="1">
      <c r="A234" s="893" t="s">
        <v>2468</v>
      </c>
      <c r="B234" s="894"/>
      <c r="C234" s="894"/>
      <c r="D234" s="895"/>
      <c r="E234" s="895"/>
      <c r="F234" s="895"/>
      <c r="G234" s="895"/>
      <c r="H234" s="895"/>
      <c r="I234" s="895"/>
      <c r="J234" s="895"/>
      <c r="K234" s="895"/>
      <c r="L234" s="895"/>
      <c r="M234" s="895"/>
      <c r="N234" s="895"/>
      <c r="O234" s="896">
        <f>+SUMPRODUCT(O235:O238,AC235:AC238)</f>
        <v>1</v>
      </c>
      <c r="P234" s="896">
        <f t="shared" ref="P234:R234" si="457">+SUMPRODUCT(P235:P238,AD235:AD238)</f>
        <v>0.95499999999999996</v>
      </c>
      <c r="Q234" s="896">
        <f t="shared" si="457"/>
        <v>1</v>
      </c>
      <c r="R234" s="896">
        <f t="shared" si="457"/>
        <v>1</v>
      </c>
      <c r="S234" s="1134"/>
      <c r="T234" s="1134"/>
      <c r="U234" s="894"/>
      <c r="V234" s="894"/>
      <c r="W234" s="894"/>
      <c r="X234" s="1134"/>
      <c r="Y234" s="1059"/>
      <c r="Z234" s="897"/>
      <c r="AA234" s="896">
        <f>+SUMPRODUCT(AA235:AA238,AB235:AB238)</f>
        <v>0.98875000000000002</v>
      </c>
      <c r="AB234" s="896">
        <v>0.8</v>
      </c>
      <c r="AC234" s="896">
        <v>1</v>
      </c>
      <c r="AD234" s="896">
        <v>0.8</v>
      </c>
      <c r="AE234" s="896">
        <v>0.8</v>
      </c>
      <c r="AF234" s="896">
        <v>0.85</v>
      </c>
      <c r="AG234" s="894">
        <f>SUM(AG235:AG238)</f>
        <v>787500000</v>
      </c>
      <c r="AH234" s="894">
        <f>SUM(AH235:AH238)</f>
        <v>1216381367</v>
      </c>
      <c r="AI234" s="894">
        <f>SUM(AI235:AI238)</f>
        <v>1055504731</v>
      </c>
      <c r="AJ234" s="894">
        <f>SUM(AJ235:AJ238)</f>
        <v>787092990</v>
      </c>
      <c r="AK234" s="894">
        <f>SUM(AK235:AK238)</f>
        <v>786850361</v>
      </c>
      <c r="AL234" s="900">
        <f t="shared" si="402"/>
        <v>0.99917506158730163</v>
      </c>
      <c r="AM234" s="894">
        <f>SUM(AM235:AM238)</f>
        <v>62000000</v>
      </c>
      <c r="AN234" s="894">
        <f>SUM(AN235:AN238)</f>
        <v>920801673</v>
      </c>
      <c r="AO234" s="894">
        <f>SUM(AO235:AO238)</f>
        <v>730536872</v>
      </c>
      <c r="AP234" s="894">
        <f>SUM(AP235:AP238)</f>
        <v>735760418</v>
      </c>
      <c r="AQ234" s="901">
        <f t="shared" si="403"/>
        <v>0.93429894349206344</v>
      </c>
      <c r="AR234" s="902">
        <f t="shared" ref="AR234:AX234" si="458">SUM(AR235:AR238)</f>
        <v>56556118</v>
      </c>
      <c r="AS234" s="894">
        <f t="shared" si="458"/>
        <v>1154381367</v>
      </c>
      <c r="AT234" s="894">
        <f t="shared" si="458"/>
        <v>1144381367</v>
      </c>
      <c r="AU234" s="894">
        <f t="shared" si="458"/>
        <v>134703058</v>
      </c>
      <c r="AV234" s="894">
        <f t="shared" si="458"/>
        <v>120415336</v>
      </c>
      <c r="AW234" s="894">
        <f t="shared" si="458"/>
        <v>56556118</v>
      </c>
      <c r="AX234" s="894">
        <f t="shared" si="458"/>
        <v>56153357</v>
      </c>
      <c r="AY234" s="903">
        <f t="shared" si="386"/>
        <v>0.99287856001714969</v>
      </c>
      <c r="AZ234" s="894">
        <f t="shared" ref="AZ234" si="459">SUM(AZ235:AZ238)</f>
        <v>3987391449</v>
      </c>
      <c r="BA234" s="894">
        <f t="shared" si="405"/>
        <v>3845829449</v>
      </c>
      <c r="BB234" s="896">
        <f t="shared" si="406"/>
        <v>0.96449759151800796</v>
      </c>
      <c r="BC234" s="962">
        <f t="shared" si="407"/>
        <v>3770049023</v>
      </c>
      <c r="BD234" s="896">
        <f t="shared" si="408"/>
        <v>0.94549257859934788</v>
      </c>
      <c r="BE234" s="902"/>
      <c r="BF234" s="902"/>
      <c r="BG234" s="902"/>
      <c r="BH234" s="902"/>
    </row>
    <row r="235" spans="1:60" s="865" customFormat="1" ht="47.4" customHeight="1">
      <c r="A235" s="1176" t="s">
        <v>2469</v>
      </c>
      <c r="B235" s="937" t="s">
        <v>2470</v>
      </c>
      <c r="C235" s="905" t="s">
        <v>1054</v>
      </c>
      <c r="D235" s="1175">
        <v>0.5</v>
      </c>
      <c r="E235" s="1175">
        <v>0.4</v>
      </c>
      <c r="F235" s="1175">
        <v>0.05</v>
      </c>
      <c r="G235" s="1175">
        <v>0.05</v>
      </c>
      <c r="H235" s="1175">
        <v>0.5</v>
      </c>
      <c r="I235" s="908">
        <v>0.4</v>
      </c>
      <c r="J235" s="908">
        <v>0.05</v>
      </c>
      <c r="K235" s="908">
        <v>0.05</v>
      </c>
      <c r="L235" s="906"/>
      <c r="M235" s="906"/>
      <c r="N235" s="906"/>
      <c r="O235" s="930">
        <f t="shared" ref="O235:Q238" si="460">+IFERROR(IF((H235+L235)/D235&gt;=100%,100%,(H235+L235)/D235),0)</f>
        <v>1</v>
      </c>
      <c r="P235" s="930">
        <f t="shared" si="460"/>
        <v>1</v>
      </c>
      <c r="Q235" s="930">
        <f t="shared" si="460"/>
        <v>1</v>
      </c>
      <c r="R235" s="908">
        <f t="shared" ref="R235:R238" si="461">+IFERROR(IF(K235/G235&gt;=100%,100%,K235/G235),0)</f>
        <v>1</v>
      </c>
      <c r="S235" s="865" t="s">
        <v>2803</v>
      </c>
      <c r="T235" s="931">
        <v>45291</v>
      </c>
      <c r="U235" s="942"/>
      <c r="V235" s="942"/>
      <c r="W235" s="909"/>
      <c r="X235" s="933"/>
      <c r="Y235" s="1183">
        <f t="shared" ref="Y235:Y238" si="462">SUM(D235:G235)</f>
        <v>1</v>
      </c>
      <c r="Z235" s="934">
        <f t="shared" ref="Z235:Z238" si="463">SUM(H235:N235)</f>
        <v>1</v>
      </c>
      <c r="AA235" s="983">
        <f t="shared" ref="AA235:AA238" si="464">IF(Z235/Y235&gt;=100%,100%,Z235/Y235)</f>
        <v>1</v>
      </c>
      <c r="AB235" s="1049">
        <v>0.35</v>
      </c>
      <c r="AC235" s="1049">
        <v>0.35</v>
      </c>
      <c r="AD235" s="1049">
        <v>0.35</v>
      </c>
      <c r="AE235" s="908">
        <v>0.35</v>
      </c>
      <c r="AF235" s="908">
        <v>0.4</v>
      </c>
      <c r="AG235" s="1179">
        <v>125000000</v>
      </c>
      <c r="AH235" s="1179">
        <v>649891449</v>
      </c>
      <c r="AI235" s="1179">
        <v>548728092</v>
      </c>
      <c r="AJ235" s="1179">
        <v>124935395</v>
      </c>
      <c r="AK235" s="1179">
        <v>125000000</v>
      </c>
      <c r="AL235" s="982">
        <f t="shared" si="402"/>
        <v>1</v>
      </c>
      <c r="AM235" s="1179">
        <v>0</v>
      </c>
      <c r="AN235" s="1179">
        <v>502151646</v>
      </c>
      <c r="AO235" s="1179">
        <v>120303258</v>
      </c>
      <c r="AP235" s="1179">
        <v>116785171</v>
      </c>
      <c r="AQ235" s="983">
        <f t="shared" si="403"/>
        <v>0.93428136799999995</v>
      </c>
      <c r="AR235" s="915">
        <f t="shared" ref="AR235:AR238" si="465">+AJ235-AO235</f>
        <v>4632137</v>
      </c>
      <c r="AS235" s="1179">
        <v>649891449</v>
      </c>
      <c r="AT235" s="1179">
        <v>649891449</v>
      </c>
      <c r="AU235" s="1179">
        <v>46576446</v>
      </c>
      <c r="AV235" s="1179">
        <v>38209185</v>
      </c>
      <c r="AW235" s="1179">
        <v>4632137</v>
      </c>
      <c r="AX235" s="1179">
        <v>4568207</v>
      </c>
      <c r="AY235" s="984">
        <f t="shared" si="386"/>
        <v>0.98619859473068261</v>
      </c>
      <c r="AZ235" s="1028">
        <v>1499891449</v>
      </c>
      <c r="BA235" s="957">
        <f t="shared" si="405"/>
        <v>1448554936</v>
      </c>
      <c r="BB235" s="983">
        <f t="shared" si="406"/>
        <v>0.96577318109638743</v>
      </c>
      <c r="BC235" s="986">
        <f t="shared" si="407"/>
        <v>1431908916</v>
      </c>
      <c r="BD235" s="930">
        <f t="shared" si="408"/>
        <v>0.95467503128621412</v>
      </c>
      <c r="BE235" s="987"/>
      <c r="BF235" s="987"/>
      <c r="BG235" s="910" t="s">
        <v>1701</v>
      </c>
      <c r="BH235" s="1346" t="s">
        <v>2118</v>
      </c>
    </row>
    <row r="236" spans="1:60" s="865" customFormat="1" ht="47.4" customHeight="1">
      <c r="A236" s="1176" t="s">
        <v>2471</v>
      </c>
      <c r="B236" s="937" t="s">
        <v>2472</v>
      </c>
      <c r="C236" s="905" t="s">
        <v>1054</v>
      </c>
      <c r="D236" s="1175">
        <v>0.1</v>
      </c>
      <c r="E236" s="1175">
        <v>0.2</v>
      </c>
      <c r="F236" s="1175">
        <v>0.3</v>
      </c>
      <c r="G236" s="1175">
        <v>0.3</v>
      </c>
      <c r="H236" s="1175">
        <v>0.1</v>
      </c>
      <c r="I236" s="908">
        <v>0.2</v>
      </c>
      <c r="J236" s="908">
        <v>0.3</v>
      </c>
      <c r="K236" s="908">
        <v>0.3</v>
      </c>
      <c r="L236" s="906"/>
      <c r="M236" s="906"/>
      <c r="N236" s="906"/>
      <c r="O236" s="930">
        <f t="shared" si="460"/>
        <v>1</v>
      </c>
      <c r="P236" s="930">
        <f t="shared" si="460"/>
        <v>1</v>
      </c>
      <c r="Q236" s="930">
        <f t="shared" si="460"/>
        <v>1</v>
      </c>
      <c r="R236" s="908">
        <f t="shared" si="461"/>
        <v>1</v>
      </c>
      <c r="S236" s="1154" t="s">
        <v>2804</v>
      </c>
      <c r="T236" s="931">
        <v>45291</v>
      </c>
      <c r="U236" s="942" t="s">
        <v>2092</v>
      </c>
      <c r="V236" s="942"/>
      <c r="W236" s="909" t="s">
        <v>2683</v>
      </c>
      <c r="X236" s="933">
        <v>227</v>
      </c>
      <c r="Y236" s="1183">
        <f t="shared" si="462"/>
        <v>0.90000000000000013</v>
      </c>
      <c r="Z236" s="934">
        <f t="shared" si="463"/>
        <v>0.90000000000000013</v>
      </c>
      <c r="AA236" s="983">
        <f t="shared" si="464"/>
        <v>1</v>
      </c>
      <c r="AB236" s="1049">
        <v>0.35</v>
      </c>
      <c r="AC236" s="1049">
        <v>0.35</v>
      </c>
      <c r="AD236" s="1049">
        <v>0.35</v>
      </c>
      <c r="AE236" s="908">
        <v>0.35</v>
      </c>
      <c r="AF236" s="908">
        <v>0.4</v>
      </c>
      <c r="AG236" s="1179">
        <v>300000000</v>
      </c>
      <c r="AH236" s="1179">
        <v>164237276</v>
      </c>
      <c r="AI236" s="1179">
        <v>153603288</v>
      </c>
      <c r="AJ236" s="1179">
        <v>299844949</v>
      </c>
      <c r="AK236" s="1179">
        <v>299996161</v>
      </c>
      <c r="AL236" s="982">
        <f t="shared" si="402"/>
        <v>0.99998720333333335</v>
      </c>
      <c r="AM236" s="1179">
        <v>0</v>
      </c>
      <c r="AN236" s="1179">
        <v>136048810</v>
      </c>
      <c r="AO236" s="1179">
        <v>288727816</v>
      </c>
      <c r="AP236" s="1179">
        <v>284825363</v>
      </c>
      <c r="AQ236" s="983">
        <f t="shared" si="403"/>
        <v>0.94941787666666666</v>
      </c>
      <c r="AR236" s="915">
        <f t="shared" si="465"/>
        <v>11117133</v>
      </c>
      <c r="AS236" s="1179">
        <v>164237276</v>
      </c>
      <c r="AT236" s="1179">
        <v>164237276</v>
      </c>
      <c r="AU236" s="1179">
        <v>17554478</v>
      </c>
      <c r="AV236" s="1179">
        <v>15441979</v>
      </c>
      <c r="AW236" s="1179">
        <v>11117133</v>
      </c>
      <c r="AX236" s="1179">
        <v>10963700</v>
      </c>
      <c r="AY236" s="984">
        <f t="shared" si="386"/>
        <v>0.98619850999353875</v>
      </c>
      <c r="AZ236" s="1028">
        <v>980000000</v>
      </c>
      <c r="BA236" s="957">
        <f t="shared" si="405"/>
        <v>917681674</v>
      </c>
      <c r="BB236" s="930">
        <f t="shared" si="406"/>
        <v>0.93640987142857146</v>
      </c>
      <c r="BC236" s="986">
        <f t="shared" si="407"/>
        <v>900244944</v>
      </c>
      <c r="BD236" s="930">
        <f t="shared" si="408"/>
        <v>0.91861728979591839</v>
      </c>
      <c r="BE236" s="987"/>
      <c r="BF236" s="987"/>
      <c r="BG236" s="910" t="s">
        <v>1701</v>
      </c>
      <c r="BH236" s="1345"/>
    </row>
    <row r="237" spans="1:60" s="865" customFormat="1" ht="47.4" customHeight="1">
      <c r="A237" s="1176" t="s">
        <v>2473</v>
      </c>
      <c r="B237" s="937" t="s">
        <v>2474</v>
      </c>
      <c r="C237" s="905" t="s">
        <v>1054</v>
      </c>
      <c r="D237" s="1175">
        <v>1</v>
      </c>
      <c r="E237" s="1175">
        <v>1</v>
      </c>
      <c r="F237" s="1175">
        <v>1</v>
      </c>
      <c r="G237" s="1175">
        <v>1</v>
      </c>
      <c r="H237" s="1175">
        <v>1</v>
      </c>
      <c r="I237" s="908">
        <v>0.7</v>
      </c>
      <c r="J237" s="908">
        <v>1</v>
      </c>
      <c r="K237" s="908">
        <v>1</v>
      </c>
      <c r="L237" s="906"/>
      <c r="M237" s="906"/>
      <c r="N237" s="906"/>
      <c r="O237" s="930">
        <f t="shared" si="460"/>
        <v>1</v>
      </c>
      <c r="P237" s="930">
        <f t="shared" si="460"/>
        <v>0.7</v>
      </c>
      <c r="Q237" s="930">
        <f t="shared" si="460"/>
        <v>1</v>
      </c>
      <c r="R237" s="908">
        <f t="shared" si="461"/>
        <v>1</v>
      </c>
      <c r="S237" s="1154" t="s">
        <v>2805</v>
      </c>
      <c r="T237" s="931">
        <v>45291</v>
      </c>
      <c r="U237" s="942" t="s">
        <v>2092</v>
      </c>
      <c r="V237" s="942"/>
      <c r="W237" s="909" t="s">
        <v>2683</v>
      </c>
      <c r="X237" s="933">
        <v>227</v>
      </c>
      <c r="Y237" s="1183">
        <f t="shared" si="462"/>
        <v>4</v>
      </c>
      <c r="Z237" s="934">
        <f t="shared" si="463"/>
        <v>3.7</v>
      </c>
      <c r="AA237" s="983">
        <f t="shared" si="464"/>
        <v>0.92500000000000004</v>
      </c>
      <c r="AB237" s="1049">
        <v>0.15</v>
      </c>
      <c r="AC237" s="1049">
        <v>0.15</v>
      </c>
      <c r="AD237" s="1049">
        <v>0.15</v>
      </c>
      <c r="AE237" s="908">
        <v>0.15</v>
      </c>
      <c r="AF237" s="908">
        <v>0.2</v>
      </c>
      <c r="AG237" s="1206">
        <v>362500000</v>
      </c>
      <c r="AH237" s="1179">
        <v>250000000</v>
      </c>
      <c r="AI237" s="1179">
        <v>176232968</v>
      </c>
      <c r="AJ237" s="1179">
        <v>199893402</v>
      </c>
      <c r="AK237" s="1179">
        <v>361854200</v>
      </c>
      <c r="AL237" s="982">
        <f t="shared" si="402"/>
        <v>0.99821848275862068</v>
      </c>
      <c r="AM237" s="1179">
        <v>0</v>
      </c>
      <c r="AN237" s="1179">
        <v>153874652</v>
      </c>
      <c r="AO237" s="1179">
        <v>164876727</v>
      </c>
      <c r="AP237" s="1179">
        <v>334149884</v>
      </c>
      <c r="AQ237" s="983">
        <f t="shared" si="403"/>
        <v>0.92179278344827587</v>
      </c>
      <c r="AR237" s="915">
        <f t="shared" si="465"/>
        <v>35016675</v>
      </c>
      <c r="AS237" s="1179">
        <v>250000000</v>
      </c>
      <c r="AT237" s="1179">
        <v>250000000</v>
      </c>
      <c r="AU237" s="1179">
        <v>22358316</v>
      </c>
      <c r="AV237" s="1179">
        <v>19994602</v>
      </c>
      <c r="AW237" s="1179">
        <v>35016675</v>
      </c>
      <c r="AX237" s="1179">
        <v>34911190</v>
      </c>
      <c r="AY237" s="984">
        <f t="shared" si="386"/>
        <v>0.99698757806102378</v>
      </c>
      <c r="AZ237" s="1007">
        <v>1012500000</v>
      </c>
      <c r="BA237" s="957">
        <f t="shared" si="405"/>
        <v>987980570</v>
      </c>
      <c r="BB237" s="930">
        <f t="shared" si="406"/>
        <v>0.97578327901234563</v>
      </c>
      <c r="BC237" s="986">
        <f t="shared" si="407"/>
        <v>957807055</v>
      </c>
      <c r="BD237" s="930">
        <f t="shared" si="408"/>
        <v>0.94598227654320988</v>
      </c>
      <c r="BE237" s="987"/>
      <c r="BF237" s="987"/>
      <c r="BG237" s="910" t="s">
        <v>1701</v>
      </c>
      <c r="BH237" s="1345"/>
    </row>
    <row r="238" spans="1:60" s="865" customFormat="1" ht="49.5" customHeight="1">
      <c r="A238" s="1176" t="s">
        <v>2475</v>
      </c>
      <c r="B238" s="937" t="s">
        <v>2476</v>
      </c>
      <c r="C238" s="937" t="s">
        <v>2086</v>
      </c>
      <c r="D238" s="1177">
        <v>1</v>
      </c>
      <c r="E238" s="1207">
        <v>0.1</v>
      </c>
      <c r="F238" s="1177">
        <v>1</v>
      </c>
      <c r="G238" s="1177">
        <v>0</v>
      </c>
      <c r="H238" s="1184">
        <v>2</v>
      </c>
      <c r="I238" s="1207">
        <v>0.1</v>
      </c>
      <c r="J238" s="1071">
        <v>3</v>
      </c>
      <c r="K238" s="906"/>
      <c r="L238" s="907"/>
      <c r="M238" s="907"/>
      <c r="N238" s="907"/>
      <c r="O238" s="930">
        <f t="shared" si="460"/>
        <v>1</v>
      </c>
      <c r="P238" s="930">
        <f t="shared" si="460"/>
        <v>1</v>
      </c>
      <c r="Q238" s="930">
        <f t="shared" si="460"/>
        <v>1</v>
      </c>
      <c r="R238" s="908">
        <f t="shared" si="461"/>
        <v>0</v>
      </c>
      <c r="S238" s="1154"/>
      <c r="T238" s="1154"/>
      <c r="U238" s="942"/>
      <c r="V238" s="942"/>
      <c r="W238" s="909"/>
      <c r="X238" s="932"/>
      <c r="Y238" s="1208">
        <f t="shared" si="462"/>
        <v>2.1</v>
      </c>
      <c r="Z238" s="913">
        <f t="shared" si="463"/>
        <v>5.0999999999999996</v>
      </c>
      <c r="AA238" s="983">
        <f t="shared" si="464"/>
        <v>1</v>
      </c>
      <c r="AB238" s="1049">
        <v>0.15</v>
      </c>
      <c r="AC238" s="1049">
        <v>0.15</v>
      </c>
      <c r="AD238" s="1049">
        <v>0.15</v>
      </c>
      <c r="AE238" s="930">
        <v>0.15</v>
      </c>
      <c r="AF238" s="908">
        <v>0</v>
      </c>
      <c r="AG238" s="1201">
        <v>0</v>
      </c>
      <c r="AH238" s="1179">
        <v>152252642</v>
      </c>
      <c r="AI238" s="1179">
        <v>176940383</v>
      </c>
      <c r="AJ238" s="1179">
        <v>162419244</v>
      </c>
      <c r="AK238" s="1179">
        <v>0</v>
      </c>
      <c r="AL238" s="982" t="e">
        <f t="shared" si="402"/>
        <v>#DIV/0!</v>
      </c>
      <c r="AM238" s="1179">
        <v>62000000</v>
      </c>
      <c r="AN238" s="1179">
        <v>128726565</v>
      </c>
      <c r="AO238" s="1179">
        <v>156629071</v>
      </c>
      <c r="AP238" s="1179"/>
      <c r="AQ238" s="983" t="e">
        <f t="shared" si="403"/>
        <v>#DIV/0!</v>
      </c>
      <c r="AR238" s="915">
        <f t="shared" si="465"/>
        <v>5790173</v>
      </c>
      <c r="AS238" s="1179">
        <v>90252642</v>
      </c>
      <c r="AT238" s="1179">
        <v>80252642</v>
      </c>
      <c r="AU238" s="1179">
        <v>48213818</v>
      </c>
      <c r="AV238" s="1179">
        <v>46769570</v>
      </c>
      <c r="AW238" s="1179">
        <v>5790173</v>
      </c>
      <c r="AX238" s="1179">
        <v>5710260</v>
      </c>
      <c r="AY238" s="984">
        <f t="shared" si="386"/>
        <v>0.98619851254876145</v>
      </c>
      <c r="AZ238" s="1007">
        <v>495000000</v>
      </c>
      <c r="BA238" s="957">
        <f t="shared" si="405"/>
        <v>491612269</v>
      </c>
      <c r="BB238" s="930">
        <f>+BA238/AZ238</f>
        <v>0.99315609898989898</v>
      </c>
      <c r="BC238" s="986">
        <f t="shared" si="407"/>
        <v>480088108</v>
      </c>
      <c r="BD238" s="930">
        <f t="shared" si="408"/>
        <v>0.96987496565656561</v>
      </c>
      <c r="BE238" s="987"/>
      <c r="BF238" s="987"/>
      <c r="BG238" s="910" t="s">
        <v>1701</v>
      </c>
      <c r="BH238" s="1180" t="s">
        <v>2118</v>
      </c>
    </row>
    <row r="239" spans="1:60" s="865" customFormat="1" ht="47.4" customHeight="1">
      <c r="A239" s="882" t="s">
        <v>2477</v>
      </c>
      <c r="B239" s="883"/>
      <c r="C239" s="883"/>
      <c r="D239" s="884"/>
      <c r="E239" s="884"/>
      <c r="F239" s="884"/>
      <c r="G239" s="884"/>
      <c r="H239" s="884"/>
      <c r="I239" s="884"/>
      <c r="J239" s="884"/>
      <c r="K239" s="884"/>
      <c r="L239" s="884"/>
      <c r="M239" s="884"/>
      <c r="N239" s="884"/>
      <c r="O239" s="885">
        <f>+(O240*AC240)</f>
        <v>1</v>
      </c>
      <c r="P239" s="885">
        <f t="shared" ref="P239:R239" si="466">+(P240*AD240)</f>
        <v>1</v>
      </c>
      <c r="Q239" s="885">
        <f t="shared" si="466"/>
        <v>1</v>
      </c>
      <c r="R239" s="885">
        <f t="shared" si="466"/>
        <v>1</v>
      </c>
      <c r="S239" s="1132"/>
      <c r="T239" s="1132"/>
      <c r="U239" s="883"/>
      <c r="V239" s="883"/>
      <c r="W239" s="883"/>
      <c r="X239" s="1132"/>
      <c r="Y239" s="1133"/>
      <c r="Z239" s="886"/>
      <c r="AA239" s="885">
        <f>+(AA240*AB240)</f>
        <v>1</v>
      </c>
      <c r="AB239" s="885">
        <v>0.1</v>
      </c>
      <c r="AC239" s="885">
        <v>0.1</v>
      </c>
      <c r="AD239" s="885">
        <v>0.1</v>
      </c>
      <c r="AE239" s="885">
        <v>0.1</v>
      </c>
      <c r="AF239" s="885">
        <v>0.1</v>
      </c>
      <c r="AG239" s="883">
        <f>+AG240</f>
        <v>400000000</v>
      </c>
      <c r="AH239" s="883">
        <f>+AH240</f>
        <v>313482364.75</v>
      </c>
      <c r="AI239" s="883">
        <f>+AI240</f>
        <v>412454675.72000003</v>
      </c>
      <c r="AJ239" s="883">
        <f>+AJ240</f>
        <v>399742322</v>
      </c>
      <c r="AK239" s="883">
        <f>+AK240</f>
        <v>400000000</v>
      </c>
      <c r="AL239" s="888">
        <f t="shared" si="402"/>
        <v>1</v>
      </c>
      <c r="AM239" s="883">
        <f>+AM240</f>
        <v>269291455</v>
      </c>
      <c r="AN239" s="883">
        <f>+AN240</f>
        <v>378268839.72000003</v>
      </c>
      <c r="AO239" s="883">
        <f>+AO240</f>
        <v>392140930</v>
      </c>
      <c r="AP239" s="883">
        <f>+AP240</f>
        <v>386874644</v>
      </c>
      <c r="AQ239" s="1185">
        <f t="shared" si="403"/>
        <v>0.96718660999999995</v>
      </c>
      <c r="AR239" s="883">
        <f t="shared" ref="AR239:AX239" si="467">+AR240</f>
        <v>7601392</v>
      </c>
      <c r="AS239" s="889">
        <f t="shared" si="467"/>
        <v>44190909.75</v>
      </c>
      <c r="AT239" s="883">
        <f t="shared" si="467"/>
        <v>38890909.25</v>
      </c>
      <c r="AU239" s="883">
        <f t="shared" si="467"/>
        <v>34185836</v>
      </c>
      <c r="AV239" s="883">
        <f t="shared" si="467"/>
        <v>32023971</v>
      </c>
      <c r="AW239" s="883">
        <f t="shared" si="467"/>
        <v>7601392</v>
      </c>
      <c r="AX239" s="883">
        <f t="shared" si="467"/>
        <v>7412093.6899999995</v>
      </c>
      <c r="AY239" s="1068">
        <f t="shared" si="386"/>
        <v>0.97509688883299261</v>
      </c>
      <c r="AZ239" s="883">
        <f t="shared" ref="AZ239" si="468">+AZ240</f>
        <v>1620000000</v>
      </c>
      <c r="BA239" s="883">
        <f t="shared" si="405"/>
        <v>1525679362.47</v>
      </c>
      <c r="BB239" s="885">
        <f t="shared" si="406"/>
        <v>0.94177738424074076</v>
      </c>
      <c r="BC239" s="967">
        <f t="shared" si="407"/>
        <v>1504902842.6600001</v>
      </c>
      <c r="BD239" s="885">
        <f t="shared" si="408"/>
        <v>0.92895237201234571</v>
      </c>
      <c r="BE239" s="883"/>
      <c r="BF239" s="883" t="s">
        <v>1700</v>
      </c>
      <c r="BG239" s="883"/>
      <c r="BH239" s="883"/>
    </row>
    <row r="240" spans="1:60" s="865" customFormat="1" ht="47.4" customHeight="1">
      <c r="A240" s="893" t="s">
        <v>2478</v>
      </c>
      <c r="B240" s="894"/>
      <c r="C240" s="894"/>
      <c r="D240" s="895"/>
      <c r="E240" s="895"/>
      <c r="F240" s="895"/>
      <c r="G240" s="895"/>
      <c r="H240" s="895"/>
      <c r="I240" s="895"/>
      <c r="J240" s="895"/>
      <c r="K240" s="895"/>
      <c r="L240" s="895"/>
      <c r="M240" s="895"/>
      <c r="N240" s="895"/>
      <c r="O240" s="896">
        <f>+SUMPRODUCT(O241:O244,AC241:AC244)</f>
        <v>1</v>
      </c>
      <c r="P240" s="896">
        <f t="shared" ref="P240:R240" si="469">+SUMPRODUCT(P241:P244,AD241:AD244)</f>
        <v>1</v>
      </c>
      <c r="Q240" s="896">
        <f t="shared" si="469"/>
        <v>1</v>
      </c>
      <c r="R240" s="896">
        <f t="shared" si="469"/>
        <v>1</v>
      </c>
      <c r="S240" s="1134"/>
      <c r="T240" s="1134"/>
      <c r="U240" s="894"/>
      <c r="V240" s="894"/>
      <c r="W240" s="894"/>
      <c r="X240" s="1134"/>
      <c r="Y240" s="1059"/>
      <c r="Z240" s="897"/>
      <c r="AA240" s="896">
        <f>+SUMPRODUCT(AA241:AA244,AB241:AB244)</f>
        <v>1</v>
      </c>
      <c r="AB240" s="896">
        <v>1</v>
      </c>
      <c r="AC240" s="896">
        <v>1</v>
      </c>
      <c r="AD240" s="896">
        <v>1</v>
      </c>
      <c r="AE240" s="896">
        <v>1</v>
      </c>
      <c r="AF240" s="896">
        <v>1</v>
      </c>
      <c r="AG240" s="894">
        <f>SUM(AG241:AG244)</f>
        <v>400000000</v>
      </c>
      <c r="AH240" s="894">
        <f>SUM(AH241:AH244)</f>
        <v>313482364.75</v>
      </c>
      <c r="AI240" s="894">
        <f>SUM(AI241:AI244)</f>
        <v>412454675.72000003</v>
      </c>
      <c r="AJ240" s="894">
        <f>SUM(AJ241:AJ244)</f>
        <v>399742322</v>
      </c>
      <c r="AK240" s="894">
        <f>SUM(AK241:AK244)</f>
        <v>400000000</v>
      </c>
      <c r="AL240" s="900">
        <f t="shared" si="402"/>
        <v>1</v>
      </c>
      <c r="AM240" s="894">
        <f>SUM(AM241:AM244)</f>
        <v>269291455</v>
      </c>
      <c r="AN240" s="894">
        <f>SUM(AN241:AN244)</f>
        <v>378268839.72000003</v>
      </c>
      <c r="AO240" s="894">
        <f>SUM(AO241:AO244)</f>
        <v>392140930</v>
      </c>
      <c r="AP240" s="894">
        <f>SUM(AP241:AP244)</f>
        <v>386874644</v>
      </c>
      <c r="AQ240" s="901">
        <f t="shared" si="403"/>
        <v>0.96718660999999995</v>
      </c>
      <c r="AR240" s="902">
        <f t="shared" ref="AR240:AX240" si="470">SUM(AR241:AR244)</f>
        <v>7601392</v>
      </c>
      <c r="AS240" s="899">
        <f t="shared" si="470"/>
        <v>44190909.75</v>
      </c>
      <c r="AT240" s="894">
        <f t="shared" si="470"/>
        <v>38890909.25</v>
      </c>
      <c r="AU240" s="894">
        <f t="shared" si="470"/>
        <v>34185836</v>
      </c>
      <c r="AV240" s="894">
        <f t="shared" si="470"/>
        <v>32023971</v>
      </c>
      <c r="AW240" s="894">
        <f t="shared" si="470"/>
        <v>7601392</v>
      </c>
      <c r="AX240" s="894">
        <f t="shared" si="470"/>
        <v>7412093.6899999995</v>
      </c>
      <c r="AY240" s="903">
        <f t="shared" si="386"/>
        <v>0.97509688883299261</v>
      </c>
      <c r="AZ240" s="894">
        <f t="shared" ref="AZ240" si="471">SUM(AZ241:AZ244)</f>
        <v>1620000000</v>
      </c>
      <c r="BA240" s="894">
        <f t="shared" si="405"/>
        <v>1525679362.47</v>
      </c>
      <c r="BB240" s="896">
        <f t="shared" si="406"/>
        <v>0.94177738424074076</v>
      </c>
      <c r="BC240" s="962">
        <f t="shared" si="407"/>
        <v>1504902842.6600001</v>
      </c>
      <c r="BD240" s="896">
        <f t="shared" si="408"/>
        <v>0.92895237201234571</v>
      </c>
      <c r="BE240" s="902"/>
      <c r="BF240" s="902"/>
      <c r="BG240" s="902"/>
      <c r="BH240" s="902"/>
    </row>
    <row r="241" spans="1:61" s="865" customFormat="1" ht="47.4" customHeight="1">
      <c r="A241" s="1187" t="s">
        <v>2479</v>
      </c>
      <c r="B241" s="1188" t="s">
        <v>2480</v>
      </c>
      <c r="C241" s="937" t="s">
        <v>2086</v>
      </c>
      <c r="D241" s="990">
        <v>4</v>
      </c>
      <c r="E241" s="990">
        <v>5</v>
      </c>
      <c r="F241" s="990">
        <v>5</v>
      </c>
      <c r="G241" s="990">
        <v>6</v>
      </c>
      <c r="H241" s="906">
        <v>4</v>
      </c>
      <c r="I241" s="906">
        <v>5</v>
      </c>
      <c r="J241" s="906">
        <v>5</v>
      </c>
      <c r="K241" s="906">
        <v>6</v>
      </c>
      <c r="L241" s="906"/>
      <c r="M241" s="906"/>
      <c r="N241" s="906"/>
      <c r="O241" s="908">
        <f t="shared" ref="O241:Q244" si="472">+IFERROR(IF((H241+L241)/D241&gt;=100%,100%,(H241+L241)/D241),0)</f>
        <v>1</v>
      </c>
      <c r="P241" s="930">
        <f t="shared" si="472"/>
        <v>1</v>
      </c>
      <c r="Q241" s="930">
        <f t="shared" si="472"/>
        <v>1</v>
      </c>
      <c r="R241" s="908">
        <f t="shared" ref="R241:R244" si="473">+IFERROR(IF(K241/G241&gt;=100%,100%,K241/G241),0)</f>
        <v>1</v>
      </c>
      <c r="S241" s="865" t="s">
        <v>2806</v>
      </c>
      <c r="T241" s="931">
        <v>45291</v>
      </c>
      <c r="U241" s="942" t="s">
        <v>2092</v>
      </c>
      <c r="V241" s="942"/>
      <c r="W241" s="909" t="s">
        <v>2807</v>
      </c>
      <c r="X241" s="933" t="s">
        <v>2481</v>
      </c>
      <c r="Y241" s="906">
        <f t="shared" ref="Y241:Y244" si="474">SUM(D241:G241)</f>
        <v>20</v>
      </c>
      <c r="Z241" s="913">
        <f t="shared" ref="Z241:Z244" si="475">SUM(H241:N241)</f>
        <v>20</v>
      </c>
      <c r="AA241" s="928">
        <f t="shared" ref="AA241:AA244" si="476">IF(Z241/Y241&gt;=100%,100%,Z241/Y241)</f>
        <v>1</v>
      </c>
      <c r="AB241" s="1056">
        <v>0.25</v>
      </c>
      <c r="AC241" s="1056">
        <v>0.25</v>
      </c>
      <c r="AD241" s="1056">
        <v>0.25</v>
      </c>
      <c r="AE241" s="1056">
        <v>0.25</v>
      </c>
      <c r="AF241" s="1056">
        <v>0.25</v>
      </c>
      <c r="AG241" s="1206">
        <v>300000000</v>
      </c>
      <c r="AH241" s="1179">
        <v>87791455.5</v>
      </c>
      <c r="AI241" s="1206">
        <v>147519988.86000001</v>
      </c>
      <c r="AJ241" s="1206">
        <v>139900233</v>
      </c>
      <c r="AK241" s="1206">
        <v>300000000</v>
      </c>
      <c r="AL241" s="916">
        <f t="shared" si="402"/>
        <v>1</v>
      </c>
      <c r="AM241" s="1179">
        <v>82091455</v>
      </c>
      <c r="AN241" s="1206">
        <v>141357288.86000001</v>
      </c>
      <c r="AO241" s="1206">
        <v>137645230</v>
      </c>
      <c r="AP241" s="1206">
        <v>289106127</v>
      </c>
      <c r="AQ241" s="928">
        <f t="shared" si="403"/>
        <v>0.96368708999999997</v>
      </c>
      <c r="AR241" s="915">
        <f t="shared" ref="AR241:AR244" si="477">+AJ241-AO241</f>
        <v>2255003</v>
      </c>
      <c r="AS241" s="1209">
        <v>5700000.5</v>
      </c>
      <c r="AT241" s="1179">
        <v>5400000</v>
      </c>
      <c r="AU241" s="1179">
        <v>6162700</v>
      </c>
      <c r="AV241" s="1179">
        <v>5287778</v>
      </c>
      <c r="AW241" s="1179">
        <v>2255003</v>
      </c>
      <c r="AX241" s="1179">
        <v>2255003</v>
      </c>
      <c r="AY241" s="956">
        <f t="shared" si="386"/>
        <v>1</v>
      </c>
      <c r="AZ241" s="1041">
        <v>690000000</v>
      </c>
      <c r="BA241" s="957">
        <f t="shared" si="405"/>
        <v>675211677.36000001</v>
      </c>
      <c r="BB241" s="930">
        <f t="shared" si="406"/>
        <v>0.97856764834782606</v>
      </c>
      <c r="BC241" s="986">
        <f t="shared" si="407"/>
        <v>663142881.86000001</v>
      </c>
      <c r="BD241" s="930">
        <f t="shared" si="408"/>
        <v>0.96107664037681162</v>
      </c>
      <c r="BE241" s="987"/>
      <c r="BF241" s="926"/>
      <c r="BG241" s="910" t="s">
        <v>1701</v>
      </c>
      <c r="BH241" s="1350" t="s">
        <v>2435</v>
      </c>
    </row>
    <row r="242" spans="1:61" s="865" customFormat="1" ht="47.4" customHeight="1">
      <c r="A242" s="1187" t="s">
        <v>2482</v>
      </c>
      <c r="B242" s="1188" t="s">
        <v>2483</v>
      </c>
      <c r="C242" s="937" t="s">
        <v>2086</v>
      </c>
      <c r="D242" s="990">
        <v>2</v>
      </c>
      <c r="E242" s="990">
        <v>4</v>
      </c>
      <c r="F242" s="990">
        <v>6</v>
      </c>
      <c r="G242" s="990">
        <v>6</v>
      </c>
      <c r="H242" s="990">
        <v>2</v>
      </c>
      <c r="I242" s="906">
        <v>5</v>
      </c>
      <c r="J242" s="906">
        <v>61</v>
      </c>
      <c r="K242" s="906">
        <v>26</v>
      </c>
      <c r="L242" s="906"/>
      <c r="M242" s="906"/>
      <c r="N242" s="906"/>
      <c r="O242" s="908">
        <f t="shared" si="472"/>
        <v>1</v>
      </c>
      <c r="P242" s="930">
        <f t="shared" si="472"/>
        <v>1</v>
      </c>
      <c r="Q242" s="930">
        <f t="shared" si="472"/>
        <v>1</v>
      </c>
      <c r="R242" s="908">
        <f t="shared" si="473"/>
        <v>1</v>
      </c>
      <c r="S242" s="865" t="s">
        <v>2808</v>
      </c>
      <c r="T242" s="931">
        <v>45291</v>
      </c>
      <c r="U242" s="942"/>
      <c r="V242" s="942"/>
      <c r="W242" s="909"/>
      <c r="X242" s="932"/>
      <c r="Y242" s="1189">
        <f t="shared" si="474"/>
        <v>18</v>
      </c>
      <c r="Z242" s="913">
        <f t="shared" si="475"/>
        <v>94</v>
      </c>
      <c r="AA242" s="928">
        <f t="shared" si="476"/>
        <v>1</v>
      </c>
      <c r="AB242" s="1056">
        <v>0.25</v>
      </c>
      <c r="AC242" s="1056">
        <v>0.25</v>
      </c>
      <c r="AD242" s="1056">
        <v>0.25</v>
      </c>
      <c r="AE242" s="1056">
        <v>0.25</v>
      </c>
      <c r="AF242" s="1056">
        <v>0.25</v>
      </c>
      <c r="AG242" s="1206">
        <v>100000000</v>
      </c>
      <c r="AH242" s="1179">
        <v>93190909.25</v>
      </c>
      <c r="AI242" s="1206">
        <v>58402045</v>
      </c>
      <c r="AJ242" s="1206">
        <v>139900233</v>
      </c>
      <c r="AK242" s="1206">
        <v>100000000</v>
      </c>
      <c r="AL242" s="916">
        <f t="shared" si="402"/>
        <v>1</v>
      </c>
      <c r="AM242" s="1179">
        <v>64700000</v>
      </c>
      <c r="AN242" s="1206">
        <v>55481190</v>
      </c>
      <c r="AO242" s="1206">
        <v>137520698</v>
      </c>
      <c r="AP242" s="1206">
        <v>97768517</v>
      </c>
      <c r="AQ242" s="928">
        <f t="shared" si="403"/>
        <v>0.97768516999999999</v>
      </c>
      <c r="AR242" s="915">
        <f t="shared" si="477"/>
        <v>2379535</v>
      </c>
      <c r="AS242" s="1209">
        <v>28490909.25</v>
      </c>
      <c r="AT242" s="1179">
        <v>23490909.25</v>
      </c>
      <c r="AU242" s="1179">
        <v>21802252</v>
      </c>
      <c r="AV242" s="1179">
        <v>21073149</v>
      </c>
      <c r="AW242" s="1179">
        <v>2379535</v>
      </c>
      <c r="AX242" s="1179">
        <v>2267996</v>
      </c>
      <c r="AY242" s="956">
        <f t="shared" si="386"/>
        <v>0.95312571573857918</v>
      </c>
      <c r="AZ242" s="1041">
        <v>400000000</v>
      </c>
      <c r="BA242" s="957">
        <f t="shared" si="405"/>
        <v>391493187.25</v>
      </c>
      <c r="BB242" s="930">
        <f t="shared" si="406"/>
        <v>0.97873296812499999</v>
      </c>
      <c r="BC242" s="986">
        <f t="shared" si="407"/>
        <v>402302459.25</v>
      </c>
      <c r="BD242" s="930">
        <f t="shared" si="408"/>
        <v>1.0057561481249999</v>
      </c>
      <c r="BE242" s="987"/>
      <c r="BF242" s="926"/>
      <c r="BG242" s="910" t="s">
        <v>1701</v>
      </c>
      <c r="BH242" s="1345"/>
    </row>
    <row r="243" spans="1:61" s="865" customFormat="1" ht="135.75" customHeight="1">
      <c r="A243" s="1187" t="s">
        <v>2484</v>
      </c>
      <c r="B243" s="1188" t="s">
        <v>2485</v>
      </c>
      <c r="C243" s="937" t="s">
        <v>2086</v>
      </c>
      <c r="D243" s="1189">
        <v>1000</v>
      </c>
      <c r="E243" s="1189">
        <v>1000</v>
      </c>
      <c r="F243" s="1189">
        <v>1000</v>
      </c>
      <c r="G243" s="1189">
        <v>2000</v>
      </c>
      <c r="H243" s="1189">
        <v>1000</v>
      </c>
      <c r="I243" s="907">
        <v>71517</v>
      </c>
      <c r="J243" s="906">
        <v>39446</v>
      </c>
      <c r="K243" s="906">
        <v>27380</v>
      </c>
      <c r="L243" s="906"/>
      <c r="M243" s="906"/>
      <c r="N243" s="906"/>
      <c r="O243" s="908">
        <f t="shared" si="472"/>
        <v>1</v>
      </c>
      <c r="P243" s="930">
        <f t="shared" si="472"/>
        <v>1</v>
      </c>
      <c r="Q243" s="930">
        <f t="shared" si="472"/>
        <v>1</v>
      </c>
      <c r="R243" s="908">
        <f t="shared" si="473"/>
        <v>1</v>
      </c>
      <c r="S243" s="1154" t="s">
        <v>2809</v>
      </c>
      <c r="T243" s="931">
        <v>45291</v>
      </c>
      <c r="U243" s="869" t="s">
        <v>2120</v>
      </c>
      <c r="V243" s="942" t="s">
        <v>2170</v>
      </c>
      <c r="W243" s="909"/>
      <c r="X243" s="932"/>
      <c r="Y243" s="1189">
        <f t="shared" si="474"/>
        <v>5000</v>
      </c>
      <c r="Z243" s="913">
        <f t="shared" si="475"/>
        <v>139343</v>
      </c>
      <c r="AA243" s="928">
        <f t="shared" si="476"/>
        <v>1</v>
      </c>
      <c r="AB243" s="1056">
        <v>0.25</v>
      </c>
      <c r="AC243" s="1056">
        <v>0.25</v>
      </c>
      <c r="AD243" s="1056">
        <v>0.25</v>
      </c>
      <c r="AE243" s="1056">
        <v>0.25</v>
      </c>
      <c r="AF243" s="1056">
        <v>0.25</v>
      </c>
      <c r="AG243" s="1206">
        <v>0</v>
      </c>
      <c r="AH243" s="1179">
        <v>62300000</v>
      </c>
      <c r="AI243" s="1206">
        <v>147530596.86000001</v>
      </c>
      <c r="AJ243" s="1206">
        <v>59970928</v>
      </c>
      <c r="AK243" s="1206">
        <v>0</v>
      </c>
      <c r="AL243" s="916" t="e">
        <f t="shared" si="402"/>
        <v>#DIV/0!</v>
      </c>
      <c r="AM243" s="1179">
        <v>55700000</v>
      </c>
      <c r="AN243" s="1206">
        <v>125728344.86</v>
      </c>
      <c r="AO243" s="1206">
        <v>57886466</v>
      </c>
      <c r="AP243" s="1206"/>
      <c r="AQ243" s="928" t="e">
        <f t="shared" si="403"/>
        <v>#DIV/0!</v>
      </c>
      <c r="AR243" s="915">
        <f t="shared" si="477"/>
        <v>2084462</v>
      </c>
      <c r="AS243" s="1179">
        <v>6600000</v>
      </c>
      <c r="AT243" s="1179">
        <v>6600000</v>
      </c>
      <c r="AU243" s="1179">
        <v>3300029</v>
      </c>
      <c r="AV243" s="1179">
        <v>2831522</v>
      </c>
      <c r="AW243" s="1179">
        <v>2084462</v>
      </c>
      <c r="AX243" s="1179">
        <v>2012049</v>
      </c>
      <c r="AY243" s="956">
        <f t="shared" si="386"/>
        <v>0.96526058042794738</v>
      </c>
      <c r="AZ243" s="1041">
        <v>310000000</v>
      </c>
      <c r="BA243" s="957">
        <f t="shared" si="405"/>
        <v>269801524.86000001</v>
      </c>
      <c r="BB243" s="930">
        <f t="shared" si="406"/>
        <v>0.87032749954838717</v>
      </c>
      <c r="BC243" s="986">
        <f t="shared" si="407"/>
        <v>250758381.86000001</v>
      </c>
      <c r="BD243" s="930">
        <f t="shared" si="408"/>
        <v>0.80889800600000006</v>
      </c>
      <c r="BE243" s="987"/>
      <c r="BF243" s="926"/>
      <c r="BG243" s="910" t="s">
        <v>1701</v>
      </c>
      <c r="BH243" s="1345"/>
    </row>
    <row r="244" spans="1:61" s="865" customFormat="1" ht="82.8">
      <c r="A244" s="1187" t="s">
        <v>2486</v>
      </c>
      <c r="B244" s="1188" t="s">
        <v>2487</v>
      </c>
      <c r="C244" s="905" t="s">
        <v>1054</v>
      </c>
      <c r="D244" s="1211">
        <v>0.1</v>
      </c>
      <c r="E244" s="1211">
        <v>0.1</v>
      </c>
      <c r="F244" s="1211">
        <v>0.1</v>
      </c>
      <c r="G244" s="1211">
        <v>0.1</v>
      </c>
      <c r="H244" s="1211">
        <v>0.1</v>
      </c>
      <c r="I244" s="908">
        <v>0.1</v>
      </c>
      <c r="J244" s="908">
        <v>0.12</v>
      </c>
      <c r="K244" s="914">
        <v>0.1</v>
      </c>
      <c r="L244" s="906"/>
      <c r="M244" s="906"/>
      <c r="N244" s="906"/>
      <c r="O244" s="908">
        <f t="shared" si="472"/>
        <v>1</v>
      </c>
      <c r="P244" s="930">
        <f t="shared" si="472"/>
        <v>1</v>
      </c>
      <c r="Q244" s="930">
        <f t="shared" si="472"/>
        <v>1</v>
      </c>
      <c r="R244" s="908">
        <f t="shared" si="473"/>
        <v>1</v>
      </c>
      <c r="S244" s="865" t="s">
        <v>2810</v>
      </c>
      <c r="T244" s="931">
        <v>45291</v>
      </c>
      <c r="U244" s="869" t="s">
        <v>2120</v>
      </c>
      <c r="V244" s="942" t="s">
        <v>2170</v>
      </c>
      <c r="W244" s="909"/>
      <c r="X244" s="932"/>
      <c r="Y244" s="1211">
        <f t="shared" si="474"/>
        <v>0.4</v>
      </c>
      <c r="Z244" s="1212">
        <f t="shared" si="475"/>
        <v>0.42000000000000004</v>
      </c>
      <c r="AA244" s="928">
        <f t="shared" si="476"/>
        <v>1</v>
      </c>
      <c r="AB244" s="1056">
        <v>0.25</v>
      </c>
      <c r="AC244" s="1056">
        <v>0.25</v>
      </c>
      <c r="AD244" s="1056">
        <v>0.25</v>
      </c>
      <c r="AE244" s="1056">
        <v>0.25</v>
      </c>
      <c r="AF244" s="1056">
        <v>0.25</v>
      </c>
      <c r="AG244" s="1206">
        <v>0</v>
      </c>
      <c r="AH244" s="1179">
        <v>70200000</v>
      </c>
      <c r="AI244" s="1206">
        <v>59002045</v>
      </c>
      <c r="AJ244" s="1206">
        <v>59970928</v>
      </c>
      <c r="AK244" s="1206">
        <v>0</v>
      </c>
      <c r="AL244" s="916" t="e">
        <f t="shared" si="402"/>
        <v>#DIV/0!</v>
      </c>
      <c r="AM244" s="1179">
        <v>66800000</v>
      </c>
      <c r="AN244" s="1206">
        <v>55702016</v>
      </c>
      <c r="AO244" s="1206">
        <v>59088536</v>
      </c>
      <c r="AP244" s="1206"/>
      <c r="AQ244" s="928" t="e">
        <f t="shared" si="403"/>
        <v>#DIV/0!</v>
      </c>
      <c r="AR244" s="915">
        <f t="shared" si="477"/>
        <v>882392</v>
      </c>
      <c r="AS244" s="1179">
        <v>3400000</v>
      </c>
      <c r="AT244" s="1179">
        <v>3400000</v>
      </c>
      <c r="AU244" s="1179">
        <v>2920855</v>
      </c>
      <c r="AV244" s="1179">
        <v>2831522</v>
      </c>
      <c r="AW244" s="1179">
        <v>882392</v>
      </c>
      <c r="AX244" s="1179">
        <v>877045.69</v>
      </c>
      <c r="AY244" s="956">
        <f t="shared" si="386"/>
        <v>0.99394111687322639</v>
      </c>
      <c r="AZ244" s="1041">
        <v>220000000</v>
      </c>
      <c r="BA244" s="957">
        <f t="shared" si="405"/>
        <v>189172973</v>
      </c>
      <c r="BB244" s="930">
        <f t="shared" si="406"/>
        <v>0.85987714999999998</v>
      </c>
      <c r="BC244" s="986">
        <f t="shared" si="407"/>
        <v>188699119.69</v>
      </c>
      <c r="BD244" s="930">
        <f t="shared" si="408"/>
        <v>0.85772327131818182</v>
      </c>
      <c r="BE244" s="987"/>
      <c r="BF244" s="926"/>
      <c r="BG244" s="910" t="s">
        <v>1701</v>
      </c>
      <c r="BH244" s="1210" t="s">
        <v>2118</v>
      </c>
    </row>
    <row r="245" spans="1:61" s="865" customFormat="1" ht="47.4" customHeight="1">
      <c r="A245" s="882" t="s">
        <v>2488</v>
      </c>
      <c r="B245" s="1064"/>
      <c r="C245" s="1064"/>
      <c r="D245" s="1065"/>
      <c r="E245" s="1065"/>
      <c r="F245" s="1065"/>
      <c r="G245" s="1065"/>
      <c r="H245" s="1065"/>
      <c r="I245" s="1065"/>
      <c r="J245" s="1065"/>
      <c r="K245" s="1065"/>
      <c r="L245" s="1065"/>
      <c r="M245" s="1065"/>
      <c r="N245" s="1065"/>
      <c r="O245" s="885">
        <f>+(O246*AC246)</f>
        <v>1</v>
      </c>
      <c r="P245" s="885">
        <f t="shared" ref="P245:Y245" si="478">+(P246*AD246)</f>
        <v>1</v>
      </c>
      <c r="Q245" s="885">
        <f t="shared" si="478"/>
        <v>1</v>
      </c>
      <c r="R245" s="885">
        <f t="shared" si="478"/>
        <v>1</v>
      </c>
      <c r="S245" s="885"/>
      <c r="T245" s="885"/>
      <c r="U245" s="885"/>
      <c r="V245" s="885"/>
      <c r="W245" s="885"/>
      <c r="X245" s="885"/>
      <c r="Y245" s="885">
        <f t="shared" si="478"/>
        <v>0</v>
      </c>
      <c r="Z245" s="885"/>
      <c r="AA245" s="885">
        <f>+(AA246*AB246)</f>
        <v>1</v>
      </c>
      <c r="AB245" s="885">
        <v>0.1</v>
      </c>
      <c r="AC245" s="885">
        <v>0.1</v>
      </c>
      <c r="AD245" s="885">
        <v>0.1</v>
      </c>
      <c r="AE245" s="885">
        <v>0.1</v>
      </c>
      <c r="AF245" s="885">
        <v>0.1</v>
      </c>
      <c r="AG245" s="883">
        <f>+AG246</f>
        <v>212500000</v>
      </c>
      <c r="AH245" s="883">
        <f>+AH246</f>
        <v>92700000</v>
      </c>
      <c r="AI245" s="883">
        <f>+AI246</f>
        <v>246500889</v>
      </c>
      <c r="AJ245" s="883">
        <f>+AJ246</f>
        <v>211140172</v>
      </c>
      <c r="AK245" s="883">
        <f>+AK246</f>
        <v>212496557</v>
      </c>
      <c r="AL245" s="888">
        <f t="shared" si="402"/>
        <v>0.9999837976470588</v>
      </c>
      <c r="AM245" s="883">
        <f>+AM246</f>
        <v>71400000</v>
      </c>
      <c r="AN245" s="883">
        <f>+AN246</f>
        <v>213327183</v>
      </c>
      <c r="AO245" s="883">
        <f>+AO246</f>
        <v>207806687</v>
      </c>
      <c r="AP245" s="883">
        <f>+AP246</f>
        <v>195506344</v>
      </c>
      <c r="AQ245" s="890">
        <f t="shared" si="403"/>
        <v>0.92002985411764704</v>
      </c>
      <c r="AR245" s="883">
        <f t="shared" ref="AR245:AX245" si="479">+AR246</f>
        <v>3333485</v>
      </c>
      <c r="AS245" s="883">
        <f t="shared" si="479"/>
        <v>21300000</v>
      </c>
      <c r="AT245" s="883">
        <f t="shared" si="479"/>
        <v>21300000</v>
      </c>
      <c r="AU245" s="883">
        <f t="shared" si="479"/>
        <v>33173706</v>
      </c>
      <c r="AV245" s="883">
        <f t="shared" si="479"/>
        <v>21595621</v>
      </c>
      <c r="AW245" s="883">
        <f t="shared" si="479"/>
        <v>3333485</v>
      </c>
      <c r="AX245" s="883">
        <f t="shared" si="479"/>
        <v>3168606</v>
      </c>
      <c r="AY245" s="1068">
        <f t="shared" si="386"/>
        <v>0.95053855049595248</v>
      </c>
      <c r="AZ245" s="883">
        <f t="shared" ref="AZ245" si="480">+AZ246</f>
        <v>967500000</v>
      </c>
      <c r="BA245" s="883">
        <f t="shared" si="405"/>
        <v>762837618</v>
      </c>
      <c r="BB245" s="1066">
        <f t="shared" si="406"/>
        <v>0.78846265426356588</v>
      </c>
      <c r="BC245" s="1186">
        <f t="shared" si="407"/>
        <v>734104441</v>
      </c>
      <c r="BD245" s="1066">
        <f t="shared" si="408"/>
        <v>0.75876428010335917</v>
      </c>
      <c r="BE245" s="883"/>
      <c r="BF245" s="883" t="s">
        <v>1700</v>
      </c>
      <c r="BG245" s="883"/>
      <c r="BH245" s="883"/>
    </row>
    <row r="246" spans="1:61" s="865" customFormat="1" ht="47.4" customHeight="1">
      <c r="A246" s="893" t="s">
        <v>2489</v>
      </c>
      <c r="B246" s="894"/>
      <c r="C246" s="894"/>
      <c r="D246" s="895"/>
      <c r="E246" s="895"/>
      <c r="F246" s="895"/>
      <c r="G246" s="895"/>
      <c r="H246" s="895"/>
      <c r="I246" s="895"/>
      <c r="J246" s="895"/>
      <c r="K246" s="895"/>
      <c r="L246" s="895"/>
      <c r="M246" s="895"/>
      <c r="N246" s="895"/>
      <c r="O246" s="896">
        <f>+SUMPRODUCT(O247:O249,AC247:AC249)</f>
        <v>1</v>
      </c>
      <c r="P246" s="896">
        <f t="shared" ref="P246:R246" si="481">+SUMPRODUCT(P247:P249,AD247:AD249)</f>
        <v>1</v>
      </c>
      <c r="Q246" s="896">
        <f t="shared" si="481"/>
        <v>1</v>
      </c>
      <c r="R246" s="896">
        <f t="shared" si="481"/>
        <v>1</v>
      </c>
      <c r="S246" s="1134"/>
      <c r="T246" s="1134"/>
      <c r="U246" s="894"/>
      <c r="V246" s="894"/>
      <c r="W246" s="894"/>
      <c r="X246" s="1134"/>
      <c r="Y246" s="1059"/>
      <c r="Z246" s="897"/>
      <c r="AA246" s="974">
        <f>+SUMPRODUCT(AA247:AA249,AB247:AB249)</f>
        <v>1</v>
      </c>
      <c r="AB246" s="974">
        <v>1</v>
      </c>
      <c r="AC246" s="974">
        <v>1</v>
      </c>
      <c r="AD246" s="974">
        <v>1</v>
      </c>
      <c r="AE246" s="896">
        <v>1</v>
      </c>
      <c r="AF246" s="896">
        <v>1</v>
      </c>
      <c r="AG246" s="973">
        <f>SUM(AG247:AG249)</f>
        <v>212500000</v>
      </c>
      <c r="AH246" s="973">
        <f>SUM(AH247:AH249)</f>
        <v>92700000</v>
      </c>
      <c r="AI246" s="973">
        <f>SUM(AI247:AI249)</f>
        <v>246500889</v>
      </c>
      <c r="AJ246" s="973">
        <f>SUM(AJ247:AJ249)</f>
        <v>211140172</v>
      </c>
      <c r="AK246" s="973">
        <f>SUM(AK247:AK249)</f>
        <v>212496557</v>
      </c>
      <c r="AL246" s="997">
        <f t="shared" si="402"/>
        <v>0.9999837976470588</v>
      </c>
      <c r="AM246" s="973">
        <f>SUM(AM247:AM249)</f>
        <v>71400000</v>
      </c>
      <c r="AN246" s="973">
        <f>SUM(AN247:AN249)</f>
        <v>213327183</v>
      </c>
      <c r="AO246" s="973">
        <f>SUM(AO247:AO249)</f>
        <v>207806687</v>
      </c>
      <c r="AP246" s="973">
        <f>SUM(AP247:AP249)</f>
        <v>195506344</v>
      </c>
      <c r="AQ246" s="1002">
        <f t="shared" si="403"/>
        <v>0.92002985411764704</v>
      </c>
      <c r="AR246" s="999">
        <f t="shared" ref="AR246:AX246" si="482">SUM(AR247:AR249)</f>
        <v>3333485</v>
      </c>
      <c r="AS246" s="973">
        <f t="shared" si="482"/>
        <v>21300000</v>
      </c>
      <c r="AT246" s="973">
        <f t="shared" si="482"/>
        <v>21300000</v>
      </c>
      <c r="AU246" s="973">
        <f t="shared" si="482"/>
        <v>33173706</v>
      </c>
      <c r="AV246" s="973">
        <f t="shared" si="482"/>
        <v>21595621</v>
      </c>
      <c r="AW246" s="973">
        <f t="shared" si="482"/>
        <v>3333485</v>
      </c>
      <c r="AX246" s="973">
        <f t="shared" si="482"/>
        <v>3168606</v>
      </c>
      <c r="AY246" s="1000">
        <f t="shared" si="386"/>
        <v>0.95053855049595248</v>
      </c>
      <c r="AZ246" s="973">
        <f t="shared" ref="AZ246" si="483">SUM(AZ247:AZ249)</f>
        <v>967500000</v>
      </c>
      <c r="BA246" s="973">
        <f t="shared" si="405"/>
        <v>762837618</v>
      </c>
      <c r="BB246" s="974">
        <f t="shared" si="406"/>
        <v>0.78846265426356588</v>
      </c>
      <c r="BC246" s="975">
        <f t="shared" si="407"/>
        <v>734104441</v>
      </c>
      <c r="BD246" s="974">
        <f t="shared" si="408"/>
        <v>0.75876428010335917</v>
      </c>
      <c r="BE246" s="999"/>
      <c r="BF246" s="999"/>
      <c r="BG246" s="999"/>
      <c r="BH246" s="902"/>
    </row>
    <row r="247" spans="1:61" s="865" customFormat="1" ht="62.25" customHeight="1">
      <c r="A247" s="1176" t="s">
        <v>2490</v>
      </c>
      <c r="B247" s="937" t="s">
        <v>2491</v>
      </c>
      <c r="C247" s="937" t="s">
        <v>2086</v>
      </c>
      <c r="D247" s="1213">
        <v>0.1</v>
      </c>
      <c r="E247" s="1177">
        <v>1</v>
      </c>
      <c r="F247" s="1177">
        <v>1</v>
      </c>
      <c r="G247" s="1177">
        <v>0</v>
      </c>
      <c r="H247" s="1177">
        <v>0</v>
      </c>
      <c r="I247" s="906">
        <v>1</v>
      </c>
      <c r="J247" s="906">
        <v>1</v>
      </c>
      <c r="K247" s="906">
        <v>1</v>
      </c>
      <c r="L247" s="943">
        <v>0.1</v>
      </c>
      <c r="M247" s="906"/>
      <c r="N247" s="906"/>
      <c r="O247" s="908">
        <f t="shared" ref="O247:Q249" si="484">+IFERROR(IF((H247+L247)/D247&gt;=100%,100%,(H247+L247)/D247),0)</f>
        <v>1</v>
      </c>
      <c r="P247" s="930">
        <f t="shared" si="484"/>
        <v>1</v>
      </c>
      <c r="Q247" s="930">
        <f t="shared" si="484"/>
        <v>1</v>
      </c>
      <c r="R247" s="908">
        <f t="shared" ref="R247:R249" si="485">+IFERROR(IF(K247/G247&gt;=100%,100%,K247/G247),0)</f>
        <v>0</v>
      </c>
      <c r="U247" s="911"/>
      <c r="V247" s="869"/>
      <c r="W247" s="910"/>
      <c r="Y247" s="942">
        <f t="shared" ref="Y247:Y249" si="486">SUM(D247:G247)</f>
        <v>2.1</v>
      </c>
      <c r="Z247" s="913">
        <f t="shared" ref="Z247:Z249" si="487">SUM(H247:N247)</f>
        <v>3.1</v>
      </c>
      <c r="AA247" s="983">
        <f t="shared" ref="AA247:AA249" si="488">IF(Z247/Y247&gt;=100%,100%,Z247/Y247)</f>
        <v>1</v>
      </c>
      <c r="AB247" s="1178">
        <v>0.4</v>
      </c>
      <c r="AC247" s="1178">
        <v>0</v>
      </c>
      <c r="AD247" s="1178">
        <v>0.4</v>
      </c>
      <c r="AE247" s="1182">
        <v>0.55000000000000004</v>
      </c>
      <c r="AF247" s="1182">
        <v>0</v>
      </c>
      <c r="AG247" s="1214">
        <v>0</v>
      </c>
      <c r="AH247" s="1179">
        <v>0</v>
      </c>
      <c r="AI247" s="1214">
        <v>99068176</v>
      </c>
      <c r="AJ247" s="1214">
        <v>99948316</v>
      </c>
      <c r="AK247" s="1214">
        <v>0</v>
      </c>
      <c r="AL247" s="982" t="e">
        <f t="shared" si="402"/>
        <v>#DIV/0!</v>
      </c>
      <c r="AM247" s="1179">
        <v>0</v>
      </c>
      <c r="AN247" s="1214">
        <v>83226826</v>
      </c>
      <c r="AO247" s="1214">
        <v>98379617</v>
      </c>
      <c r="AP247" s="1214"/>
      <c r="AQ247" s="983" t="e">
        <f t="shared" si="403"/>
        <v>#DIV/0!</v>
      </c>
      <c r="AR247" s="915">
        <f t="shared" ref="AR247:AR249" si="489">+AJ247-AO247</f>
        <v>1568699</v>
      </c>
      <c r="AS247" s="1179">
        <v>0</v>
      </c>
      <c r="AT247" s="1179">
        <v>0</v>
      </c>
      <c r="AU247" s="1179">
        <v>15841350</v>
      </c>
      <c r="AV247" s="1179">
        <v>15364741</v>
      </c>
      <c r="AW247" s="1179">
        <v>1568699</v>
      </c>
      <c r="AX247" s="1179">
        <v>1491109</v>
      </c>
      <c r="AY247" s="984">
        <f t="shared" si="386"/>
        <v>0.9505386310566909</v>
      </c>
      <c r="AZ247" s="985">
        <v>350000000</v>
      </c>
      <c r="BA247" s="957">
        <f t="shared" si="405"/>
        <v>199016492</v>
      </c>
      <c r="BB247" s="930">
        <f t="shared" si="406"/>
        <v>0.56861854857142857</v>
      </c>
      <c r="BC247" s="986">
        <f t="shared" si="407"/>
        <v>198462293</v>
      </c>
      <c r="BD247" s="930">
        <f t="shared" si="408"/>
        <v>0.56703512285714286</v>
      </c>
      <c r="BE247" s="987"/>
      <c r="BF247" s="987"/>
      <c r="BG247" s="909" t="s">
        <v>1701</v>
      </c>
      <c r="BH247" s="1215" t="s">
        <v>2118</v>
      </c>
    </row>
    <row r="248" spans="1:61" s="865" customFormat="1" ht="47.4" customHeight="1">
      <c r="A248" s="1176" t="s">
        <v>2492</v>
      </c>
      <c r="B248" s="937" t="s">
        <v>2493</v>
      </c>
      <c r="C248" s="905" t="s">
        <v>1054</v>
      </c>
      <c r="D248" s="1175">
        <v>1</v>
      </c>
      <c r="E248" s="1175">
        <v>1</v>
      </c>
      <c r="F248" s="1175">
        <v>1</v>
      </c>
      <c r="G248" s="1175">
        <v>1</v>
      </c>
      <c r="H248" s="1175">
        <v>1</v>
      </c>
      <c r="I248" s="908">
        <v>1</v>
      </c>
      <c r="J248" s="908">
        <v>1</v>
      </c>
      <c r="K248" s="908">
        <v>1</v>
      </c>
      <c r="L248" s="906"/>
      <c r="M248" s="906"/>
      <c r="N248" s="906"/>
      <c r="O248" s="908">
        <f t="shared" si="484"/>
        <v>1</v>
      </c>
      <c r="P248" s="930">
        <f t="shared" si="484"/>
        <v>1</v>
      </c>
      <c r="Q248" s="930">
        <f t="shared" si="484"/>
        <v>1</v>
      </c>
      <c r="R248" s="908">
        <f t="shared" si="485"/>
        <v>1</v>
      </c>
      <c r="S248" s="865" t="s">
        <v>2811</v>
      </c>
      <c r="T248" s="931">
        <v>45291</v>
      </c>
      <c r="U248" s="942"/>
      <c r="V248" s="942"/>
      <c r="W248" s="909"/>
      <c r="X248" s="932"/>
      <c r="Y248" s="1183">
        <f t="shared" si="486"/>
        <v>4</v>
      </c>
      <c r="Z248" s="934">
        <f t="shared" si="487"/>
        <v>4</v>
      </c>
      <c r="AA248" s="983">
        <f t="shared" si="488"/>
        <v>1</v>
      </c>
      <c r="AB248" s="1178">
        <v>0.3</v>
      </c>
      <c r="AC248" s="1178">
        <v>1</v>
      </c>
      <c r="AD248" s="1178">
        <v>0.3</v>
      </c>
      <c r="AE248" s="1182">
        <v>0.45</v>
      </c>
      <c r="AF248" s="1182">
        <v>1</v>
      </c>
      <c r="AG248" s="1206">
        <v>212500000</v>
      </c>
      <c r="AH248" s="1179">
        <v>92700000</v>
      </c>
      <c r="AI248" s="1214">
        <v>69223482</v>
      </c>
      <c r="AJ248" s="1214">
        <v>111191856</v>
      </c>
      <c r="AK248" s="1214">
        <v>212496557</v>
      </c>
      <c r="AL248" s="982">
        <f t="shared" si="402"/>
        <v>0.9999837976470588</v>
      </c>
      <c r="AM248" s="1179">
        <v>71400000</v>
      </c>
      <c r="AN248" s="1214">
        <v>56655687</v>
      </c>
      <c r="AO248" s="1214">
        <v>109427070</v>
      </c>
      <c r="AP248" s="1214">
        <v>195506344</v>
      </c>
      <c r="AQ248" s="983">
        <f t="shared" si="403"/>
        <v>0.92002985411764704</v>
      </c>
      <c r="AR248" s="915">
        <f t="shared" si="489"/>
        <v>1764786</v>
      </c>
      <c r="AS248" s="1179">
        <v>21300000</v>
      </c>
      <c r="AT248" s="1179">
        <v>21300000</v>
      </c>
      <c r="AU248" s="1179">
        <v>12567795</v>
      </c>
      <c r="AV248" s="1179">
        <v>2203244</v>
      </c>
      <c r="AW248" s="1179">
        <v>1764786</v>
      </c>
      <c r="AX248" s="1179">
        <v>1677497</v>
      </c>
      <c r="AY248" s="984">
        <f t="shared" si="386"/>
        <v>0.95053847888639187</v>
      </c>
      <c r="AZ248" s="985">
        <v>537500000</v>
      </c>
      <c r="BA248" s="957">
        <f t="shared" si="405"/>
        <v>485611895</v>
      </c>
      <c r="BB248" s="930">
        <f t="shared" si="406"/>
        <v>0.90346399069767447</v>
      </c>
      <c r="BC248" s="986">
        <f t="shared" si="407"/>
        <v>458169842</v>
      </c>
      <c r="BD248" s="930">
        <f t="shared" si="408"/>
        <v>0.85240900837209299</v>
      </c>
      <c r="BE248" s="987"/>
      <c r="BF248" s="987"/>
      <c r="BG248" s="909" t="s">
        <v>1701</v>
      </c>
      <c r="BH248" s="1216" t="s">
        <v>2118</v>
      </c>
    </row>
    <row r="249" spans="1:61" s="865" customFormat="1" ht="50.25" customHeight="1">
      <c r="A249" s="1176" t="s">
        <v>2494</v>
      </c>
      <c r="B249" s="937" t="s">
        <v>2495</v>
      </c>
      <c r="C249" s="937" t="s">
        <v>2086</v>
      </c>
      <c r="D249" s="1177">
        <v>0</v>
      </c>
      <c r="E249" s="1177">
        <v>1</v>
      </c>
      <c r="F249" s="1177">
        <v>0</v>
      </c>
      <c r="G249" s="1177">
        <v>0</v>
      </c>
      <c r="H249" s="1177">
        <v>0</v>
      </c>
      <c r="I249" s="906">
        <v>0</v>
      </c>
      <c r="J249" s="906">
        <v>0</v>
      </c>
      <c r="K249" s="906"/>
      <c r="L249" s="906"/>
      <c r="M249" s="906">
        <v>1</v>
      </c>
      <c r="N249" s="906"/>
      <c r="O249" s="908">
        <f t="shared" si="484"/>
        <v>0</v>
      </c>
      <c r="P249" s="930">
        <f t="shared" si="484"/>
        <v>1</v>
      </c>
      <c r="Q249" s="908">
        <f t="shared" si="484"/>
        <v>0</v>
      </c>
      <c r="R249" s="908">
        <f t="shared" si="485"/>
        <v>0</v>
      </c>
      <c r="U249" s="911"/>
      <c r="V249" s="869"/>
      <c r="W249" s="910"/>
      <c r="Y249" s="869">
        <f t="shared" si="486"/>
        <v>1</v>
      </c>
      <c r="Z249" s="913">
        <f t="shared" si="487"/>
        <v>1</v>
      </c>
      <c r="AA249" s="928">
        <f t="shared" si="488"/>
        <v>1</v>
      </c>
      <c r="AB249" s="1178">
        <v>0.3</v>
      </c>
      <c r="AC249" s="1178">
        <v>0</v>
      </c>
      <c r="AD249" s="1178">
        <v>0.3</v>
      </c>
      <c r="AE249" s="1178">
        <v>0</v>
      </c>
      <c r="AF249" s="908">
        <v>0</v>
      </c>
      <c r="AG249" s="1179">
        <v>0</v>
      </c>
      <c r="AH249" s="1179">
        <v>0</v>
      </c>
      <c r="AI249" s="1217">
        <v>78209231</v>
      </c>
      <c r="AJ249" s="1217">
        <v>0</v>
      </c>
      <c r="AK249" s="1217">
        <v>0</v>
      </c>
      <c r="AL249" s="916" t="e">
        <f t="shared" si="402"/>
        <v>#DIV/0!</v>
      </c>
      <c r="AM249" s="1179">
        <v>0</v>
      </c>
      <c r="AN249" s="1217">
        <v>73444670</v>
      </c>
      <c r="AO249" s="1217">
        <v>0</v>
      </c>
      <c r="AP249" s="1217"/>
      <c r="AQ249" s="928" t="e">
        <f t="shared" si="403"/>
        <v>#DIV/0!</v>
      </c>
      <c r="AR249" s="915">
        <f t="shared" si="489"/>
        <v>0</v>
      </c>
      <c r="AS249" s="1179">
        <v>0</v>
      </c>
      <c r="AT249" s="1179">
        <v>0</v>
      </c>
      <c r="AU249" s="1179">
        <v>4764561</v>
      </c>
      <c r="AV249" s="1179">
        <v>4027636</v>
      </c>
      <c r="AW249" s="1179"/>
      <c r="AX249" s="1179"/>
      <c r="AY249" s="956" t="e">
        <f t="shared" si="386"/>
        <v>#DIV/0!</v>
      </c>
      <c r="AZ249" s="921">
        <v>80000000</v>
      </c>
      <c r="BA249" s="957">
        <f t="shared" si="405"/>
        <v>78209231</v>
      </c>
      <c r="BB249" s="908">
        <f t="shared" si="406"/>
        <v>0.97761538749999999</v>
      </c>
      <c r="BC249" s="958">
        <f t="shared" si="407"/>
        <v>77472306</v>
      </c>
      <c r="BD249" s="908">
        <f t="shared" si="408"/>
        <v>0.968403825</v>
      </c>
      <c r="BE249" s="926"/>
      <c r="BF249" s="926"/>
      <c r="BG249" s="910" t="s">
        <v>1701</v>
      </c>
      <c r="BH249" s="1216" t="s">
        <v>2118</v>
      </c>
    </row>
    <row r="250" spans="1:61" s="892" customFormat="1" ht="47.4" customHeight="1">
      <c r="A250" s="882" t="s">
        <v>2496</v>
      </c>
      <c r="B250" s="883"/>
      <c r="C250" s="883"/>
      <c r="D250" s="884"/>
      <c r="E250" s="884"/>
      <c r="F250" s="1065"/>
      <c r="G250" s="1065"/>
      <c r="H250" s="884"/>
      <c r="I250" s="884"/>
      <c r="J250" s="1065"/>
      <c r="K250" s="1065"/>
      <c r="L250" s="884"/>
      <c r="M250" s="884"/>
      <c r="N250" s="884"/>
      <c r="O250" s="885">
        <f>+(O251*AC251)+(O257*AC257)</f>
        <v>0.94860000000000011</v>
      </c>
      <c r="P250" s="885">
        <f t="shared" ref="P250:R250" si="490">+(P251*AD251)+(P257*AD257)</f>
        <v>0.99999999999999989</v>
      </c>
      <c r="Q250" s="885">
        <f t="shared" si="490"/>
        <v>0.99999999999999989</v>
      </c>
      <c r="R250" s="885">
        <f t="shared" si="490"/>
        <v>1</v>
      </c>
      <c r="S250" s="1132"/>
      <c r="T250" s="1132"/>
      <c r="U250" s="883"/>
      <c r="V250" s="883"/>
      <c r="W250" s="883"/>
      <c r="X250" s="1132"/>
      <c r="Y250" s="1133"/>
      <c r="Z250" s="886"/>
      <c r="AA250" s="885">
        <f>+(AA251*AB251)+(AA257*AB257)</f>
        <v>0.69277500000000003</v>
      </c>
      <c r="AB250" s="885">
        <v>0.1</v>
      </c>
      <c r="AC250" s="885">
        <v>0.1</v>
      </c>
      <c r="AD250" s="885">
        <v>0.1</v>
      </c>
      <c r="AE250" s="885">
        <v>0.1</v>
      </c>
      <c r="AF250" s="885">
        <v>0.1</v>
      </c>
      <c r="AG250" s="883">
        <f>+AG251+AG257</f>
        <v>896500000</v>
      </c>
      <c r="AH250" s="883">
        <f>+AH251+AH257</f>
        <v>163061300</v>
      </c>
      <c r="AI250" s="883">
        <f>+AI251+AI257</f>
        <v>636452502</v>
      </c>
      <c r="AJ250" s="883">
        <f>+AJ251+AJ257</f>
        <v>735078520</v>
      </c>
      <c r="AK250" s="883">
        <f>+AK251+AK257</f>
        <v>894971043.63999999</v>
      </c>
      <c r="AL250" s="888">
        <f t="shared" si="402"/>
        <v>0.99829452720580036</v>
      </c>
      <c r="AM250" s="883">
        <f>+AM251+AM257</f>
        <v>44000000</v>
      </c>
      <c r="AN250" s="883">
        <f>+AN251+AN257</f>
        <v>489310270</v>
      </c>
      <c r="AO250" s="883">
        <f>+AO251+AO257</f>
        <v>679719104</v>
      </c>
      <c r="AP250" s="883">
        <f>+AP251+AP257</f>
        <v>764251164.63999999</v>
      </c>
      <c r="AQ250" s="890">
        <f t="shared" si="403"/>
        <v>0.85248317305075294</v>
      </c>
      <c r="AR250" s="883">
        <f t="shared" ref="AR250:AX250" si="491">+AR251+AR257</f>
        <v>55359416</v>
      </c>
      <c r="AS250" s="883">
        <f t="shared" si="491"/>
        <v>119061300</v>
      </c>
      <c r="AT250" s="883">
        <f t="shared" si="491"/>
        <v>119061300</v>
      </c>
      <c r="AU250" s="883">
        <f t="shared" si="491"/>
        <v>147142232</v>
      </c>
      <c r="AV250" s="883">
        <f t="shared" si="491"/>
        <v>130808605</v>
      </c>
      <c r="AW250" s="883">
        <f t="shared" si="491"/>
        <v>55359416</v>
      </c>
      <c r="AX250" s="883">
        <f t="shared" si="491"/>
        <v>54608808</v>
      </c>
      <c r="AY250" s="891">
        <f t="shared" si="386"/>
        <v>0.98644118644604195</v>
      </c>
      <c r="AZ250" s="883">
        <f t="shared" ref="AZ250" si="492">+AZ251+AZ257</f>
        <v>2824500000</v>
      </c>
      <c r="BA250" s="883">
        <f t="shared" si="405"/>
        <v>2429563365.6399999</v>
      </c>
      <c r="BB250" s="885">
        <f t="shared" si="406"/>
        <v>0.86017467362010969</v>
      </c>
      <c r="BC250" s="967">
        <f t="shared" si="407"/>
        <v>2281759251.6399999</v>
      </c>
      <c r="BD250" s="885">
        <f t="shared" si="408"/>
        <v>0.80784537144273316</v>
      </c>
      <c r="BE250" s="883"/>
      <c r="BF250" s="883" t="s">
        <v>1700</v>
      </c>
      <c r="BG250" s="883"/>
      <c r="BH250" s="883"/>
      <c r="BI250" s="892" t="s">
        <v>2081</v>
      </c>
    </row>
    <row r="251" spans="1:61" s="865" customFormat="1" ht="47.4" customHeight="1">
      <c r="A251" s="893" t="s">
        <v>2497</v>
      </c>
      <c r="B251" s="894"/>
      <c r="C251" s="894"/>
      <c r="D251" s="895"/>
      <c r="E251" s="895"/>
      <c r="F251" s="895"/>
      <c r="G251" s="895"/>
      <c r="H251" s="895"/>
      <c r="I251" s="895"/>
      <c r="J251" s="895"/>
      <c r="K251" s="895"/>
      <c r="L251" s="895"/>
      <c r="M251" s="895"/>
      <c r="N251" s="895"/>
      <c r="O251" s="896">
        <f>+SUMPRODUCT(O252:O256,AC252:AC256)</f>
        <v>0.92500000000000004</v>
      </c>
      <c r="P251" s="896">
        <f t="shared" ref="P251:R251" si="493">+SUMPRODUCT(P252:P256,AD252:AD256)</f>
        <v>0.99999999999999989</v>
      </c>
      <c r="Q251" s="896">
        <f t="shared" si="493"/>
        <v>0.99999999999999989</v>
      </c>
      <c r="R251" s="896">
        <f t="shared" si="493"/>
        <v>1</v>
      </c>
      <c r="S251" s="896"/>
      <c r="T251" s="896"/>
      <c r="U251" s="896"/>
      <c r="V251" s="896"/>
      <c r="W251" s="896"/>
      <c r="X251" s="896"/>
      <c r="Y251" s="896"/>
      <c r="Z251" s="896"/>
      <c r="AA251" s="896">
        <f>+SUMPRODUCT(AA252:AA253,AB252:AB253)</f>
        <v>0.49062499999999998</v>
      </c>
      <c r="AB251" s="896">
        <v>0.6</v>
      </c>
      <c r="AC251" s="896">
        <v>0.6</v>
      </c>
      <c r="AD251" s="896">
        <v>0.6</v>
      </c>
      <c r="AE251" s="896">
        <v>0.6</v>
      </c>
      <c r="AF251" s="896">
        <v>0.6</v>
      </c>
      <c r="AG251" s="894">
        <f>SUM(AG252:AG256)</f>
        <v>574000000</v>
      </c>
      <c r="AH251" s="894">
        <f>SUM(AH252:AH256)</f>
        <v>105061300</v>
      </c>
      <c r="AI251" s="894">
        <f>SUM(AI252:AI256)</f>
        <v>414875620</v>
      </c>
      <c r="AJ251" s="894">
        <f>SUM(AJ252:AJ256)</f>
        <v>502698578</v>
      </c>
      <c r="AK251" s="894">
        <f>SUM(AK252:AK256)</f>
        <v>572475684.63999999</v>
      </c>
      <c r="AL251" s="900">
        <f t="shared" si="402"/>
        <v>0.99734439832752608</v>
      </c>
      <c r="AM251" s="894">
        <f>SUM(AM252:AM256)</f>
        <v>0</v>
      </c>
      <c r="AN251" s="894">
        <f>SUM(AN252:AN256)</f>
        <v>340159917</v>
      </c>
      <c r="AO251" s="894">
        <f>SUM(AO252:AO256)</f>
        <v>451596433</v>
      </c>
      <c r="AP251" s="894">
        <f>SUM(AP252:AP256)</f>
        <v>452485869.63999999</v>
      </c>
      <c r="AQ251" s="901">
        <f t="shared" si="403"/>
        <v>0.78830290878048781</v>
      </c>
      <c r="AR251" s="902">
        <f t="shared" ref="AR251:AX251" si="494">SUM(AR252:AR256)</f>
        <v>51102145</v>
      </c>
      <c r="AS251" s="894">
        <f t="shared" si="494"/>
        <v>105061300</v>
      </c>
      <c r="AT251" s="894">
        <f t="shared" si="494"/>
        <v>105061300</v>
      </c>
      <c r="AU251" s="894">
        <f t="shared" si="494"/>
        <v>74715703</v>
      </c>
      <c r="AV251" s="894">
        <f t="shared" si="494"/>
        <v>70079100</v>
      </c>
      <c r="AW251" s="894">
        <f t="shared" si="494"/>
        <v>51102145</v>
      </c>
      <c r="AX251" s="894">
        <f t="shared" si="494"/>
        <v>50544030</v>
      </c>
      <c r="AY251" s="903">
        <f t="shared" si="386"/>
        <v>0.98907844279335044</v>
      </c>
      <c r="AZ251" s="894">
        <f t="shared" ref="AZ251" si="495">SUM(AZ252:AZ256)</f>
        <v>1852000000</v>
      </c>
      <c r="BA251" s="894">
        <f t="shared" si="405"/>
        <v>1595111182.6399999</v>
      </c>
      <c r="BB251" s="896">
        <f t="shared" si="406"/>
        <v>0.86129113533477319</v>
      </c>
      <c r="BC251" s="962">
        <f t="shared" si="407"/>
        <v>1469926649.6399999</v>
      </c>
      <c r="BD251" s="896">
        <f t="shared" si="408"/>
        <v>0.79369689505399565</v>
      </c>
      <c r="BE251" s="902"/>
      <c r="BF251" s="902"/>
      <c r="BG251" s="902"/>
      <c r="BH251" s="902"/>
      <c r="BI251" s="865" t="s">
        <v>2081</v>
      </c>
    </row>
    <row r="252" spans="1:61" s="865" customFormat="1" ht="47.4" customHeight="1">
      <c r="A252" s="1187" t="s">
        <v>2498</v>
      </c>
      <c r="B252" s="1188" t="s">
        <v>2499</v>
      </c>
      <c r="C252" s="905" t="s">
        <v>1054</v>
      </c>
      <c r="D252" s="1175">
        <v>1</v>
      </c>
      <c r="E252" s="1175">
        <v>1</v>
      </c>
      <c r="F252" s="1175">
        <v>1</v>
      </c>
      <c r="G252" s="1175">
        <v>1</v>
      </c>
      <c r="H252" s="908">
        <v>0.7</v>
      </c>
      <c r="I252" s="908">
        <v>1</v>
      </c>
      <c r="J252" s="908">
        <v>1</v>
      </c>
      <c r="K252" s="908">
        <v>1</v>
      </c>
      <c r="L252" s="908">
        <v>0.15</v>
      </c>
      <c r="M252" s="908"/>
      <c r="N252" s="908"/>
      <c r="O252" s="930">
        <f t="shared" ref="O252:Q256" si="496">+IFERROR(IF((H252+L252)/D252&gt;=100%,100%,(H252+L252)/D252),0)</f>
        <v>0.85</v>
      </c>
      <c r="P252" s="930">
        <f t="shared" si="496"/>
        <v>1</v>
      </c>
      <c r="Q252" s="930">
        <f t="shared" si="496"/>
        <v>1</v>
      </c>
      <c r="R252" s="908">
        <f t="shared" ref="R252:R256" si="497">+IFERROR(IF(K252/G252&gt;=100%,100%,K252/G252),0)</f>
        <v>1</v>
      </c>
      <c r="S252" s="1154" t="s">
        <v>2812</v>
      </c>
      <c r="T252" s="931">
        <v>45291</v>
      </c>
      <c r="U252" s="942" t="s">
        <v>2092</v>
      </c>
      <c r="V252" s="942"/>
      <c r="W252" s="909" t="s">
        <v>2683</v>
      </c>
      <c r="X252" s="933">
        <v>245</v>
      </c>
      <c r="Y252" s="1211">
        <f t="shared" ref="Y252:Y256" si="498">SUM(D252:G252)</f>
        <v>4</v>
      </c>
      <c r="Z252" s="934">
        <f t="shared" ref="Z252:Z256" si="499">SUM(H252:N252)</f>
        <v>3.85</v>
      </c>
      <c r="AA252" s="983">
        <f t="shared" ref="AA252:AA256" si="500">IF(Z252/Y252&gt;=100%,100%,Z252/Y252)</f>
        <v>0.96250000000000002</v>
      </c>
      <c r="AB252" s="1190">
        <v>0.25</v>
      </c>
      <c r="AC252" s="1190">
        <v>0.5</v>
      </c>
      <c r="AD252" s="1190">
        <v>0.25</v>
      </c>
      <c r="AE252" s="908">
        <v>0.25</v>
      </c>
      <c r="AF252" s="908">
        <v>0.39</v>
      </c>
      <c r="AG252" s="1196">
        <v>434000000</v>
      </c>
      <c r="AH252" s="1201">
        <v>105061300</v>
      </c>
      <c r="AI252" s="1196">
        <v>98248570</v>
      </c>
      <c r="AJ252" s="1196">
        <v>152980472</v>
      </c>
      <c r="AK252" s="1196">
        <v>433337438.63999999</v>
      </c>
      <c r="AL252" s="982">
        <f t="shared" si="402"/>
        <v>0.99847336092165895</v>
      </c>
      <c r="AM252" s="1201">
        <v>0</v>
      </c>
      <c r="AN252" s="1196">
        <v>62456946</v>
      </c>
      <c r="AO252" s="1196">
        <v>111305141</v>
      </c>
      <c r="AP252" s="1196">
        <v>361808138.63999999</v>
      </c>
      <c r="AQ252" s="983">
        <f t="shared" si="403"/>
        <v>0.83365930562211976</v>
      </c>
      <c r="AR252" s="915">
        <f t="shared" ref="AR252:AR256" si="501">+AJ252-AO252</f>
        <v>41675331</v>
      </c>
      <c r="AS252" s="1201">
        <v>105061300</v>
      </c>
      <c r="AT252" s="1201">
        <v>105061300</v>
      </c>
      <c r="AU252" s="1201">
        <v>35791624</v>
      </c>
      <c r="AV252" s="1201">
        <v>34895802</v>
      </c>
      <c r="AW252" s="1201">
        <v>41675331</v>
      </c>
      <c r="AX252" s="1201">
        <v>41438741</v>
      </c>
      <c r="AY252" s="984">
        <f t="shared" si="386"/>
        <v>0.99432302049382648</v>
      </c>
      <c r="AZ252" s="1028">
        <v>868000000</v>
      </c>
      <c r="BA252" s="957">
        <f t="shared" si="405"/>
        <v>789627780.63999999</v>
      </c>
      <c r="BB252" s="930">
        <f t="shared" si="406"/>
        <v>0.90970942470046079</v>
      </c>
      <c r="BC252" s="986">
        <f t="shared" si="407"/>
        <v>716966068.63999999</v>
      </c>
      <c r="BD252" s="930">
        <f t="shared" si="408"/>
        <v>0.82599777493087556</v>
      </c>
      <c r="BE252" s="926"/>
      <c r="BF252" s="926"/>
      <c r="BG252" s="910" t="s">
        <v>1701</v>
      </c>
      <c r="BH252" s="1192" t="s">
        <v>2118</v>
      </c>
      <c r="BI252" s="865" t="s">
        <v>2081</v>
      </c>
    </row>
    <row r="253" spans="1:61" s="865" customFormat="1" ht="47.4" customHeight="1">
      <c r="A253" s="1187" t="s">
        <v>2500</v>
      </c>
      <c r="B253" s="1188" t="s">
        <v>2501</v>
      </c>
      <c r="C253" s="905" t="s">
        <v>1054</v>
      </c>
      <c r="D253" s="1175">
        <v>1</v>
      </c>
      <c r="E253" s="1175">
        <v>1</v>
      </c>
      <c r="F253" s="1175">
        <v>1</v>
      </c>
      <c r="G253" s="1175">
        <v>1</v>
      </c>
      <c r="H253" s="1175">
        <v>1</v>
      </c>
      <c r="I253" s="908">
        <v>1</v>
      </c>
      <c r="J253" s="908">
        <v>1</v>
      </c>
      <c r="K253" s="908">
        <v>1</v>
      </c>
      <c r="L253" s="906"/>
      <c r="M253" s="906"/>
      <c r="N253" s="906"/>
      <c r="O253" s="930">
        <f t="shared" si="496"/>
        <v>1</v>
      </c>
      <c r="P253" s="930">
        <f t="shared" si="496"/>
        <v>1</v>
      </c>
      <c r="Q253" s="930">
        <f t="shared" si="496"/>
        <v>1</v>
      </c>
      <c r="R253" s="908">
        <f t="shared" si="497"/>
        <v>1</v>
      </c>
      <c r="S253" s="1154" t="s">
        <v>2502</v>
      </c>
      <c r="T253" s="931">
        <v>45291</v>
      </c>
      <c r="U253" s="942"/>
      <c r="V253" s="942"/>
      <c r="W253" s="909"/>
      <c r="X253" s="932"/>
      <c r="Y253" s="1211">
        <f t="shared" si="498"/>
        <v>4</v>
      </c>
      <c r="Z253" s="934">
        <f t="shared" si="499"/>
        <v>4</v>
      </c>
      <c r="AA253" s="983">
        <f t="shared" si="500"/>
        <v>1</v>
      </c>
      <c r="AB253" s="1190">
        <v>0.25</v>
      </c>
      <c r="AC253" s="1190">
        <v>0.5</v>
      </c>
      <c r="AD253" s="1190">
        <v>0.25</v>
      </c>
      <c r="AE253" s="908">
        <v>0.25</v>
      </c>
      <c r="AF253" s="908">
        <v>0.38</v>
      </c>
      <c r="AG253" s="1196">
        <v>90000000</v>
      </c>
      <c r="AH253" s="1201">
        <v>0</v>
      </c>
      <c r="AI253" s="1196">
        <v>32857008</v>
      </c>
      <c r="AJ253" s="1196">
        <v>99948316</v>
      </c>
      <c r="AK253" s="1196">
        <v>89138246</v>
      </c>
      <c r="AL253" s="982">
        <f t="shared" si="402"/>
        <v>0.99042495555555554</v>
      </c>
      <c r="AM253" s="1201">
        <v>0</v>
      </c>
      <c r="AN253" s="1196">
        <v>11887325</v>
      </c>
      <c r="AO253" s="1196">
        <v>98457207</v>
      </c>
      <c r="AP253" s="1196">
        <v>45087394</v>
      </c>
      <c r="AQ253" s="983">
        <f t="shared" si="403"/>
        <v>0.5009710444444444</v>
      </c>
      <c r="AR253" s="915">
        <f t="shared" si="501"/>
        <v>1491109</v>
      </c>
      <c r="AS253" s="1201">
        <v>0</v>
      </c>
      <c r="AT253" s="1201">
        <v>0</v>
      </c>
      <c r="AU253" s="1201">
        <v>20969683</v>
      </c>
      <c r="AV253" s="1201">
        <v>20006213</v>
      </c>
      <c r="AW253" s="1201">
        <v>1491109</v>
      </c>
      <c r="AX253" s="1201">
        <v>1491109</v>
      </c>
      <c r="AY253" s="984">
        <f t="shared" si="386"/>
        <v>1</v>
      </c>
      <c r="AZ253" s="1028">
        <v>294000000</v>
      </c>
      <c r="BA253" s="957">
        <f t="shared" si="405"/>
        <v>221943570</v>
      </c>
      <c r="BB253" s="930">
        <f t="shared" si="406"/>
        <v>0.75491010204081632</v>
      </c>
      <c r="BC253" s="986">
        <f t="shared" si="407"/>
        <v>176929248</v>
      </c>
      <c r="BD253" s="930">
        <f t="shared" si="408"/>
        <v>0.60180016326530616</v>
      </c>
      <c r="BE253" s="926"/>
      <c r="BF253" s="926"/>
      <c r="BG253" s="910" t="s">
        <v>1701</v>
      </c>
      <c r="BH253" s="1192" t="s">
        <v>2118</v>
      </c>
      <c r="BI253" s="865" t="s">
        <v>2081</v>
      </c>
    </row>
    <row r="254" spans="1:61" s="865" customFormat="1" ht="56.25" customHeight="1">
      <c r="A254" s="1187" t="s">
        <v>2503</v>
      </c>
      <c r="B254" s="1188" t="s">
        <v>2504</v>
      </c>
      <c r="C254" s="937" t="s">
        <v>2086</v>
      </c>
      <c r="D254" s="1003">
        <v>0</v>
      </c>
      <c r="E254" s="1189">
        <v>0.1</v>
      </c>
      <c r="F254" s="1189">
        <v>1</v>
      </c>
      <c r="G254" s="1189">
        <v>0</v>
      </c>
      <c r="H254" s="907">
        <v>0</v>
      </c>
      <c r="I254" s="1189">
        <v>0.1</v>
      </c>
      <c r="J254" s="906">
        <v>1</v>
      </c>
      <c r="K254" s="906"/>
      <c r="L254" s="907"/>
      <c r="M254" s="907">
        <v>0.1</v>
      </c>
      <c r="N254" s="907"/>
      <c r="O254" s="930">
        <f t="shared" si="496"/>
        <v>0</v>
      </c>
      <c r="P254" s="930">
        <f t="shared" si="496"/>
        <v>1</v>
      </c>
      <c r="Q254" s="930">
        <f t="shared" si="496"/>
        <v>1</v>
      </c>
      <c r="R254" s="908">
        <f t="shared" si="497"/>
        <v>0</v>
      </c>
      <c r="S254" s="1154"/>
      <c r="T254" s="1154"/>
      <c r="U254" s="942"/>
      <c r="V254" s="942"/>
      <c r="W254" s="909"/>
      <c r="X254" s="932"/>
      <c r="Y254" s="1195">
        <f t="shared" si="498"/>
        <v>1.1000000000000001</v>
      </c>
      <c r="Z254" s="913">
        <f t="shared" si="499"/>
        <v>1.2000000000000002</v>
      </c>
      <c r="AA254" s="983">
        <f t="shared" si="500"/>
        <v>1</v>
      </c>
      <c r="AB254" s="1190">
        <v>0.2</v>
      </c>
      <c r="AC254" s="1190">
        <v>0</v>
      </c>
      <c r="AD254" s="1190">
        <v>0.2</v>
      </c>
      <c r="AE254" s="908">
        <v>0.2</v>
      </c>
      <c r="AF254" s="908">
        <v>0</v>
      </c>
      <c r="AG254" s="1218">
        <v>0</v>
      </c>
      <c r="AH254" s="1201">
        <v>0</v>
      </c>
      <c r="AI254" s="1196">
        <v>98116308</v>
      </c>
      <c r="AJ254" s="1196">
        <v>99897816</v>
      </c>
      <c r="AK254" s="1196">
        <v>0</v>
      </c>
      <c r="AL254" s="982" t="e">
        <f t="shared" si="402"/>
        <v>#DIV/0!</v>
      </c>
      <c r="AM254" s="1201">
        <v>0</v>
      </c>
      <c r="AN254" s="1196">
        <v>91887325</v>
      </c>
      <c r="AO254" s="1196">
        <v>98024897</v>
      </c>
      <c r="AP254" s="1196"/>
      <c r="AQ254" s="983" t="e">
        <f t="shared" si="403"/>
        <v>#DIV/0!</v>
      </c>
      <c r="AR254" s="915">
        <f t="shared" si="501"/>
        <v>1872919</v>
      </c>
      <c r="AS254" s="1201">
        <v>0</v>
      </c>
      <c r="AT254" s="1201">
        <v>0</v>
      </c>
      <c r="AU254" s="1201">
        <v>6228983</v>
      </c>
      <c r="AV254" s="1201">
        <v>5265507</v>
      </c>
      <c r="AW254" s="1201">
        <v>1872919</v>
      </c>
      <c r="AX254" s="1201">
        <v>1769912</v>
      </c>
      <c r="AY254" s="984">
        <f t="shared" si="386"/>
        <v>0.94500189276738611</v>
      </c>
      <c r="AZ254" s="1028">
        <v>250000000</v>
      </c>
      <c r="BA254" s="957">
        <f t="shared" si="405"/>
        <v>198014124</v>
      </c>
      <c r="BB254" s="930">
        <f t="shared" si="406"/>
        <v>0.79205649600000005</v>
      </c>
      <c r="BC254" s="986">
        <f t="shared" si="407"/>
        <v>196947641</v>
      </c>
      <c r="BD254" s="930">
        <f t="shared" si="408"/>
        <v>0.78779056400000003</v>
      </c>
      <c r="BE254" s="926"/>
      <c r="BF254" s="926"/>
      <c r="BG254" s="910" t="s">
        <v>1701</v>
      </c>
      <c r="BH254" s="1344" t="s">
        <v>2118</v>
      </c>
      <c r="BI254" s="865" t="s">
        <v>2081</v>
      </c>
    </row>
    <row r="255" spans="1:61" s="865" customFormat="1" ht="65.25" customHeight="1">
      <c r="A255" s="1187" t="s">
        <v>2505</v>
      </c>
      <c r="B255" s="1188" t="s">
        <v>2504</v>
      </c>
      <c r="C255" s="937" t="s">
        <v>2086</v>
      </c>
      <c r="D255" s="1003">
        <v>0</v>
      </c>
      <c r="E255" s="1189">
        <v>0.1</v>
      </c>
      <c r="F255" s="1189">
        <v>1</v>
      </c>
      <c r="G255" s="1189">
        <v>0</v>
      </c>
      <c r="H255" s="907">
        <v>0</v>
      </c>
      <c r="I255" s="1189">
        <v>0.1</v>
      </c>
      <c r="J255" s="938">
        <v>1</v>
      </c>
      <c r="K255" s="938"/>
      <c r="L255" s="907"/>
      <c r="M255" s="907">
        <v>0.1</v>
      </c>
      <c r="N255" s="907"/>
      <c r="O255" s="930">
        <f t="shared" si="496"/>
        <v>0</v>
      </c>
      <c r="P255" s="930">
        <f t="shared" si="496"/>
        <v>1</v>
      </c>
      <c r="Q255" s="930">
        <f t="shared" si="496"/>
        <v>1</v>
      </c>
      <c r="R255" s="908">
        <f t="shared" si="497"/>
        <v>0</v>
      </c>
      <c r="S255" s="1154"/>
      <c r="T255" s="1154"/>
      <c r="U255" s="942"/>
      <c r="V255" s="942"/>
      <c r="W255" s="909"/>
      <c r="X255" s="932"/>
      <c r="Y255" s="1195">
        <f t="shared" si="498"/>
        <v>1.1000000000000001</v>
      </c>
      <c r="Z255" s="913">
        <f t="shared" si="499"/>
        <v>1.2000000000000002</v>
      </c>
      <c r="AA255" s="983">
        <f t="shared" si="500"/>
        <v>1</v>
      </c>
      <c r="AB255" s="1190">
        <v>0.2</v>
      </c>
      <c r="AC255" s="1190">
        <v>0</v>
      </c>
      <c r="AD255" s="1190">
        <v>0.2</v>
      </c>
      <c r="AE255" s="908">
        <v>0.2</v>
      </c>
      <c r="AF255" s="908">
        <v>0</v>
      </c>
      <c r="AG255" s="1218">
        <v>0</v>
      </c>
      <c r="AH255" s="1201">
        <v>0</v>
      </c>
      <c r="AI255" s="1196">
        <v>98116308</v>
      </c>
      <c r="AJ255" s="1196">
        <v>99897816</v>
      </c>
      <c r="AK255" s="1196">
        <v>0</v>
      </c>
      <c r="AL255" s="982" t="e">
        <f t="shared" si="402"/>
        <v>#DIV/0!</v>
      </c>
      <c r="AM255" s="1201">
        <v>0</v>
      </c>
      <c r="AN255" s="1196">
        <v>91887325</v>
      </c>
      <c r="AO255" s="1196">
        <v>95887886</v>
      </c>
      <c r="AP255" s="1196"/>
      <c r="AQ255" s="983" t="e">
        <f t="shared" si="403"/>
        <v>#DIV/0!</v>
      </c>
      <c r="AR255" s="915">
        <f t="shared" si="501"/>
        <v>4009930</v>
      </c>
      <c r="AS255" s="1201">
        <v>0</v>
      </c>
      <c r="AT255" s="1201">
        <v>0</v>
      </c>
      <c r="AU255" s="1201">
        <v>6228983</v>
      </c>
      <c r="AV255" s="1201">
        <v>5265513</v>
      </c>
      <c r="AW255" s="1201">
        <v>4009930</v>
      </c>
      <c r="AX255" s="1201">
        <v>3855779</v>
      </c>
      <c r="AY255" s="984">
        <f t="shared" si="386"/>
        <v>0.96155768305182387</v>
      </c>
      <c r="AZ255" s="1028">
        <v>250000000</v>
      </c>
      <c r="BA255" s="957">
        <f t="shared" si="405"/>
        <v>198014124</v>
      </c>
      <c r="BB255" s="930">
        <f t="shared" si="406"/>
        <v>0.79205649600000005</v>
      </c>
      <c r="BC255" s="986">
        <f t="shared" si="407"/>
        <v>196896503</v>
      </c>
      <c r="BD255" s="930">
        <f t="shared" si="408"/>
        <v>0.787586012</v>
      </c>
      <c r="BE255" s="926"/>
      <c r="BF255" s="926"/>
      <c r="BG255" s="910" t="s">
        <v>1701</v>
      </c>
      <c r="BH255" s="1345"/>
      <c r="BI255" s="865" t="s">
        <v>2081</v>
      </c>
    </row>
    <row r="256" spans="1:61" s="865" customFormat="1" ht="47.4" customHeight="1">
      <c r="A256" s="1187" t="s">
        <v>2506</v>
      </c>
      <c r="B256" s="1188" t="s">
        <v>2507</v>
      </c>
      <c r="C256" s="1188" t="s">
        <v>2086</v>
      </c>
      <c r="D256" s="990">
        <v>0</v>
      </c>
      <c r="E256" s="990">
        <v>1</v>
      </c>
      <c r="F256" s="990">
        <v>1</v>
      </c>
      <c r="G256" s="990">
        <v>1</v>
      </c>
      <c r="H256" s="906">
        <v>0</v>
      </c>
      <c r="I256" s="906">
        <v>0</v>
      </c>
      <c r="J256" s="938">
        <v>1</v>
      </c>
      <c r="K256" s="938">
        <v>1</v>
      </c>
      <c r="L256" s="906"/>
      <c r="M256" s="906">
        <v>1</v>
      </c>
      <c r="N256" s="906"/>
      <c r="O256" s="930">
        <f t="shared" si="496"/>
        <v>0</v>
      </c>
      <c r="P256" s="930">
        <f t="shared" si="496"/>
        <v>1</v>
      </c>
      <c r="Q256" s="930">
        <f t="shared" si="496"/>
        <v>1</v>
      </c>
      <c r="R256" s="908">
        <f t="shared" si="497"/>
        <v>1</v>
      </c>
      <c r="S256" s="1154" t="s">
        <v>2813</v>
      </c>
      <c r="T256" s="931">
        <v>45291</v>
      </c>
      <c r="U256" s="942"/>
      <c r="V256" s="942"/>
      <c r="W256" s="909"/>
      <c r="X256" s="933"/>
      <c r="Y256" s="1189">
        <f t="shared" si="498"/>
        <v>3</v>
      </c>
      <c r="Z256" s="913">
        <f t="shared" si="499"/>
        <v>3</v>
      </c>
      <c r="AA256" s="983">
        <f t="shared" si="500"/>
        <v>1</v>
      </c>
      <c r="AB256" s="1190">
        <v>0.1</v>
      </c>
      <c r="AC256" s="1190">
        <v>0</v>
      </c>
      <c r="AD256" s="930">
        <v>0.1</v>
      </c>
      <c r="AE256" s="908">
        <v>0.1</v>
      </c>
      <c r="AF256" s="908">
        <v>0.23</v>
      </c>
      <c r="AG256" s="1219">
        <v>50000000</v>
      </c>
      <c r="AH256" s="1201">
        <v>0</v>
      </c>
      <c r="AI256" s="1196">
        <v>87537426</v>
      </c>
      <c r="AJ256" s="1196">
        <v>49974158</v>
      </c>
      <c r="AK256" s="1196">
        <v>50000000</v>
      </c>
      <c r="AL256" s="982">
        <f t="shared" si="402"/>
        <v>1</v>
      </c>
      <c r="AM256" s="1201">
        <v>0</v>
      </c>
      <c r="AN256" s="1196">
        <v>82040996</v>
      </c>
      <c r="AO256" s="1196">
        <v>47921302</v>
      </c>
      <c r="AP256" s="1196">
        <v>45590337</v>
      </c>
      <c r="AQ256" s="983">
        <f t="shared" si="403"/>
        <v>0.91180673999999995</v>
      </c>
      <c r="AR256" s="915">
        <f t="shared" si="501"/>
        <v>2052856</v>
      </c>
      <c r="AS256" s="1201">
        <v>0</v>
      </c>
      <c r="AT256" s="1201">
        <v>0</v>
      </c>
      <c r="AU256" s="1201">
        <v>5496430</v>
      </c>
      <c r="AV256" s="1201">
        <v>4646065</v>
      </c>
      <c r="AW256" s="1201">
        <v>2052856</v>
      </c>
      <c r="AX256" s="1201">
        <v>1988489</v>
      </c>
      <c r="AY256" s="984">
        <f t="shared" si="386"/>
        <v>0.96864514607941321</v>
      </c>
      <c r="AZ256" s="1028">
        <v>190000000</v>
      </c>
      <c r="BA256" s="957">
        <f t="shared" si="405"/>
        <v>187511584</v>
      </c>
      <c r="BB256" s="930">
        <f t="shared" si="406"/>
        <v>0.98690307368421049</v>
      </c>
      <c r="BC256" s="986">
        <f t="shared" si="407"/>
        <v>182187189</v>
      </c>
      <c r="BD256" s="930">
        <f t="shared" si="408"/>
        <v>0.95887994210526317</v>
      </c>
      <c r="BE256" s="926"/>
      <c r="BF256" s="926"/>
      <c r="BG256" s="910" t="s">
        <v>1701</v>
      </c>
      <c r="BH256" s="1192" t="s">
        <v>2118</v>
      </c>
      <c r="BI256" s="865" t="s">
        <v>2081</v>
      </c>
    </row>
    <row r="257" spans="1:61" s="865" customFormat="1" ht="47.4" customHeight="1">
      <c r="A257" s="893" t="s">
        <v>2508</v>
      </c>
      <c r="B257" s="894"/>
      <c r="C257" s="894"/>
      <c r="D257" s="895"/>
      <c r="E257" s="895"/>
      <c r="F257" s="895"/>
      <c r="G257" s="895"/>
      <c r="H257" s="895"/>
      <c r="I257" s="895"/>
      <c r="J257" s="895"/>
      <c r="K257" s="895"/>
      <c r="L257" s="895"/>
      <c r="M257" s="895"/>
      <c r="N257" s="895"/>
      <c r="O257" s="896">
        <f>+SUMPRODUCT(O258:O259,AC258:AC259)</f>
        <v>0.98399999999999999</v>
      </c>
      <c r="P257" s="896">
        <f t="shared" ref="P257:Q257" si="502">+SUMPRODUCT(P258:P259,AD258:AD259)</f>
        <v>1</v>
      </c>
      <c r="Q257" s="896">
        <f t="shared" si="502"/>
        <v>1</v>
      </c>
      <c r="R257" s="896">
        <f>+SUMPRODUCT(R258:R259,AF258:AF259)</f>
        <v>1</v>
      </c>
      <c r="S257" s="1134"/>
      <c r="T257" s="1134"/>
      <c r="U257" s="894"/>
      <c r="V257" s="894"/>
      <c r="W257" s="894"/>
      <c r="X257" s="1134"/>
      <c r="Y257" s="1059"/>
      <c r="Z257" s="897"/>
      <c r="AA257" s="896">
        <f>+SUMPRODUCT(AA258:AA259,AB258:AB259)</f>
        <v>0.996</v>
      </c>
      <c r="AB257" s="896">
        <v>0.4</v>
      </c>
      <c r="AC257" s="896">
        <v>0.4</v>
      </c>
      <c r="AD257" s="896">
        <v>0.4</v>
      </c>
      <c r="AE257" s="896">
        <v>0.4</v>
      </c>
      <c r="AF257" s="896">
        <v>0.4</v>
      </c>
      <c r="AG257" s="894">
        <f>SUM(AG258:AG259)</f>
        <v>322500000</v>
      </c>
      <c r="AH257" s="894">
        <f>SUM(AH258:AH259)</f>
        <v>58000000</v>
      </c>
      <c r="AI257" s="894">
        <f>SUM(AI258:AI259)</f>
        <v>221576882</v>
      </c>
      <c r="AJ257" s="894">
        <f>SUM(AJ258:AJ259)</f>
        <v>232379942</v>
      </c>
      <c r="AK257" s="894">
        <f>SUM(AK258:AK259)</f>
        <v>322495359</v>
      </c>
      <c r="AL257" s="900">
        <f t="shared" si="402"/>
        <v>0.99998560930232561</v>
      </c>
      <c r="AM257" s="894">
        <f>SUM(AM258:AM259)</f>
        <v>44000000</v>
      </c>
      <c r="AN257" s="894">
        <f>SUM(AN258:AN259)</f>
        <v>149150353</v>
      </c>
      <c r="AO257" s="894">
        <f>SUM(AO258:AO259)</f>
        <v>228122671</v>
      </c>
      <c r="AP257" s="894">
        <f>SUM(AP258:AP259)</f>
        <v>311765295</v>
      </c>
      <c r="AQ257" s="901">
        <f t="shared" si="403"/>
        <v>0.96671409302325584</v>
      </c>
      <c r="AR257" s="902">
        <f t="shared" ref="AR257:AX257" si="503">SUM(AR258:AR259)</f>
        <v>4257271</v>
      </c>
      <c r="AS257" s="894">
        <f t="shared" si="503"/>
        <v>14000000</v>
      </c>
      <c r="AT257" s="894">
        <f t="shared" si="503"/>
        <v>14000000</v>
      </c>
      <c r="AU257" s="894">
        <f t="shared" si="503"/>
        <v>72426529</v>
      </c>
      <c r="AV257" s="894">
        <f t="shared" si="503"/>
        <v>60729505</v>
      </c>
      <c r="AW257" s="894">
        <f t="shared" si="503"/>
        <v>4257271</v>
      </c>
      <c r="AX257" s="894">
        <f t="shared" si="503"/>
        <v>4064778</v>
      </c>
      <c r="AY257" s="903">
        <f t="shared" si="386"/>
        <v>0.95478488449525534</v>
      </c>
      <c r="AZ257" s="894">
        <f t="shared" ref="AZ257" si="504">SUM(AZ258:AZ259)</f>
        <v>972500000</v>
      </c>
      <c r="BA257" s="894">
        <f t="shared" si="405"/>
        <v>834452183</v>
      </c>
      <c r="BB257" s="896">
        <f t="shared" si="406"/>
        <v>0.85804851722365039</v>
      </c>
      <c r="BC257" s="962">
        <f t="shared" si="407"/>
        <v>811832602</v>
      </c>
      <c r="BD257" s="896">
        <f t="shared" si="408"/>
        <v>0.83478930796915163</v>
      </c>
      <c r="BE257" s="902"/>
      <c r="BF257" s="902"/>
      <c r="BG257" s="902"/>
      <c r="BH257" s="902"/>
    </row>
    <row r="258" spans="1:61" s="865" customFormat="1" ht="47.4" customHeight="1">
      <c r="A258" s="1199" t="s">
        <v>2509</v>
      </c>
      <c r="B258" s="1220" t="s">
        <v>2510</v>
      </c>
      <c r="C258" s="905" t="s">
        <v>1054</v>
      </c>
      <c r="D258" s="1175">
        <v>0.2</v>
      </c>
      <c r="E258" s="1175">
        <v>0.5</v>
      </c>
      <c r="F258" s="1175">
        <v>0.7</v>
      </c>
      <c r="G258" s="1175">
        <v>1</v>
      </c>
      <c r="H258" s="1175">
        <v>0.2</v>
      </c>
      <c r="I258" s="908">
        <v>0.5</v>
      </c>
      <c r="J258" s="908">
        <v>0.5</v>
      </c>
      <c r="K258" s="908">
        <v>1</v>
      </c>
      <c r="L258" s="906"/>
      <c r="M258" s="906"/>
      <c r="N258" s="906">
        <v>20</v>
      </c>
      <c r="O258" s="930">
        <f t="shared" ref="O258:Q259" si="505">+IFERROR(IF((H258+L258)/D258&gt;=100%,100%,(H258+L258)/D258),0)</f>
        <v>1</v>
      </c>
      <c r="P258" s="930">
        <f t="shared" si="505"/>
        <v>1</v>
      </c>
      <c r="Q258" s="930">
        <f t="shared" si="505"/>
        <v>1</v>
      </c>
      <c r="R258" s="908">
        <f t="shared" ref="R258:R259" si="506">+IFERROR(IF(K258/G258&gt;=100%,100%,K258/G258),0)</f>
        <v>1</v>
      </c>
      <c r="S258" s="1154" t="s">
        <v>2814</v>
      </c>
      <c r="T258" s="931">
        <v>45291</v>
      </c>
      <c r="U258" s="941"/>
      <c r="V258" s="942"/>
      <c r="W258" s="909"/>
      <c r="X258" s="1154"/>
      <c r="Y258" s="1211">
        <f t="shared" ref="Y258:Y259" si="507">SUM(D258:G258)</f>
        <v>2.4</v>
      </c>
      <c r="Z258" s="934">
        <f t="shared" ref="Z258:Z259" si="508">SUM(H258:N258)</f>
        <v>22.2</v>
      </c>
      <c r="AA258" s="983">
        <f t="shared" ref="AA258:AA259" si="509">IF(Z258/Y258&gt;=100%,100%,Z258/Y258)</f>
        <v>1</v>
      </c>
      <c r="AB258" s="1049">
        <v>0.6</v>
      </c>
      <c r="AC258" s="1049">
        <v>0.6</v>
      </c>
      <c r="AD258" s="1049">
        <v>0.6</v>
      </c>
      <c r="AE258" s="1056">
        <v>0.6</v>
      </c>
      <c r="AF258" s="1056">
        <v>0.6</v>
      </c>
      <c r="AG258" s="1218">
        <v>220000000</v>
      </c>
      <c r="AH258" s="1201">
        <v>12000000</v>
      </c>
      <c r="AI258" s="1218">
        <v>127819314</v>
      </c>
      <c r="AJ258" s="1218">
        <v>129932703</v>
      </c>
      <c r="AK258" s="1218">
        <v>219995359</v>
      </c>
      <c r="AL258" s="982">
        <f t="shared" si="402"/>
        <v>0.99997890454545457</v>
      </c>
      <c r="AM258" s="1201">
        <v>12000000</v>
      </c>
      <c r="AN258" s="1218">
        <v>61201252</v>
      </c>
      <c r="AO258" s="1218">
        <v>127377913</v>
      </c>
      <c r="AP258" s="1218">
        <v>211552565</v>
      </c>
      <c r="AQ258" s="983">
        <f t="shared" si="403"/>
        <v>0.96160256818181822</v>
      </c>
      <c r="AR258" s="915">
        <f t="shared" ref="AR258:AR259" si="510">+AJ258-AO258</f>
        <v>2554790</v>
      </c>
      <c r="AS258" s="1201">
        <v>0</v>
      </c>
      <c r="AT258" s="1201">
        <v>0</v>
      </c>
      <c r="AU258" s="1201">
        <v>66618062</v>
      </c>
      <c r="AV258" s="1201">
        <v>55504320</v>
      </c>
      <c r="AW258" s="1201">
        <v>2554790</v>
      </c>
      <c r="AX258" s="1201">
        <v>2441503</v>
      </c>
      <c r="AY258" s="984">
        <f t="shared" si="386"/>
        <v>0.95565702073360237</v>
      </c>
      <c r="AZ258" s="1028">
        <v>560000000</v>
      </c>
      <c r="BA258" s="957">
        <f t="shared" si="405"/>
        <v>489747376</v>
      </c>
      <c r="BB258" s="930">
        <f t="shared" si="406"/>
        <v>0.87454888571428568</v>
      </c>
      <c r="BC258" s="986">
        <f t="shared" si="407"/>
        <v>470077553</v>
      </c>
      <c r="BD258" s="930">
        <f t="shared" si="408"/>
        <v>0.83942420178571431</v>
      </c>
      <c r="BE258" s="987"/>
      <c r="BF258" s="987"/>
      <c r="BG258" s="910" t="s">
        <v>1701</v>
      </c>
      <c r="BH258" s="1202" t="s">
        <v>2118</v>
      </c>
    </row>
    <row r="259" spans="1:61" s="865" customFormat="1" ht="47.4" customHeight="1">
      <c r="A259" s="1199" t="s">
        <v>2511</v>
      </c>
      <c r="B259" s="1220" t="s">
        <v>1060</v>
      </c>
      <c r="C259" s="905" t="s">
        <v>1054</v>
      </c>
      <c r="D259" s="1175">
        <v>1</v>
      </c>
      <c r="E259" s="1175">
        <v>1</v>
      </c>
      <c r="F259" s="1175">
        <v>1</v>
      </c>
      <c r="G259" s="1175">
        <v>1</v>
      </c>
      <c r="H259" s="1175">
        <v>0.8</v>
      </c>
      <c r="I259" s="908">
        <v>1</v>
      </c>
      <c r="J259" s="908">
        <v>1</v>
      </c>
      <c r="K259" s="908">
        <v>1</v>
      </c>
      <c r="L259" s="908">
        <v>0.16</v>
      </c>
      <c r="M259" s="908"/>
      <c r="N259" s="908"/>
      <c r="O259" s="930">
        <f t="shared" si="505"/>
        <v>0.96000000000000008</v>
      </c>
      <c r="P259" s="930">
        <f t="shared" si="505"/>
        <v>1</v>
      </c>
      <c r="Q259" s="930">
        <f t="shared" si="505"/>
        <v>1</v>
      </c>
      <c r="R259" s="908">
        <f t="shared" si="506"/>
        <v>1</v>
      </c>
      <c r="S259" s="1154" t="s">
        <v>2815</v>
      </c>
      <c r="T259" s="931">
        <v>45291</v>
      </c>
      <c r="U259" s="942"/>
      <c r="V259" s="942"/>
      <c r="W259" s="909"/>
      <c r="X259" s="932"/>
      <c r="Y259" s="1211">
        <f t="shared" si="507"/>
        <v>4</v>
      </c>
      <c r="Z259" s="934">
        <f t="shared" si="508"/>
        <v>3.96</v>
      </c>
      <c r="AA259" s="983">
        <f t="shared" si="509"/>
        <v>0.99</v>
      </c>
      <c r="AB259" s="1049">
        <v>0.4</v>
      </c>
      <c r="AC259" s="1049">
        <v>0.4</v>
      </c>
      <c r="AD259" s="1049">
        <v>0.4</v>
      </c>
      <c r="AE259" s="1056">
        <v>0.4</v>
      </c>
      <c r="AF259" s="1056">
        <v>0.4</v>
      </c>
      <c r="AG259" s="1218">
        <v>102500000</v>
      </c>
      <c r="AH259" s="1201">
        <v>46000000</v>
      </c>
      <c r="AI259" s="1218">
        <v>93757568</v>
      </c>
      <c r="AJ259" s="1218">
        <v>102447239</v>
      </c>
      <c r="AK259" s="1218">
        <v>102500000</v>
      </c>
      <c r="AL259" s="982">
        <f t="shared" si="402"/>
        <v>1</v>
      </c>
      <c r="AM259" s="1201">
        <v>32000000</v>
      </c>
      <c r="AN259" s="1218">
        <v>87949101</v>
      </c>
      <c r="AO259" s="1218">
        <v>100744758</v>
      </c>
      <c r="AP259" s="1218">
        <v>100212730</v>
      </c>
      <c r="AQ259" s="983">
        <f t="shared" si="403"/>
        <v>0.97768517073170735</v>
      </c>
      <c r="AR259" s="915">
        <f t="shared" si="510"/>
        <v>1702481</v>
      </c>
      <c r="AS259" s="1201">
        <v>14000000</v>
      </c>
      <c r="AT259" s="1201">
        <v>14000000</v>
      </c>
      <c r="AU259" s="1201">
        <v>5808467</v>
      </c>
      <c r="AV259" s="1201">
        <v>5225185</v>
      </c>
      <c r="AW259" s="1201">
        <v>1702481</v>
      </c>
      <c r="AX259" s="1201">
        <v>1623275</v>
      </c>
      <c r="AY259" s="984">
        <f t="shared" si="386"/>
        <v>0.95347613277328791</v>
      </c>
      <c r="AZ259" s="1028">
        <v>412500000</v>
      </c>
      <c r="BA259" s="957">
        <f t="shared" si="405"/>
        <v>344704807</v>
      </c>
      <c r="BB259" s="930">
        <f t="shared" si="406"/>
        <v>0.83564801696969693</v>
      </c>
      <c r="BC259" s="986">
        <f t="shared" si="407"/>
        <v>341755049</v>
      </c>
      <c r="BD259" s="930">
        <f t="shared" si="408"/>
        <v>0.82849708848484849</v>
      </c>
      <c r="BE259" s="987"/>
      <c r="BF259" s="987"/>
      <c r="BG259" s="910" t="s">
        <v>1060</v>
      </c>
      <c r="BH259" s="1202" t="s">
        <v>2118</v>
      </c>
    </row>
    <row r="260" spans="1:61" s="892" customFormat="1" ht="47.4" customHeight="1">
      <c r="A260" s="882" t="s">
        <v>2512</v>
      </c>
      <c r="B260" s="883"/>
      <c r="C260" s="883"/>
      <c r="D260" s="884"/>
      <c r="E260" s="884"/>
      <c r="F260" s="1065"/>
      <c r="G260" s="1065"/>
      <c r="H260" s="884"/>
      <c r="I260" s="884"/>
      <c r="J260" s="1065"/>
      <c r="K260" s="1065"/>
      <c r="L260" s="885"/>
      <c r="M260" s="885"/>
      <c r="N260" s="885"/>
      <c r="O260" s="885">
        <f>+(O261*AC261)+(O266*AC266)+(O268*AC268)</f>
        <v>1</v>
      </c>
      <c r="P260" s="885">
        <f t="shared" ref="P260:R260" si="511">+(P261*AD261)+(P266*AD266)+(P268*AD268)</f>
        <v>0.8</v>
      </c>
      <c r="Q260" s="885">
        <f t="shared" si="511"/>
        <v>0.6</v>
      </c>
      <c r="R260" s="885">
        <f t="shared" si="511"/>
        <v>1</v>
      </c>
      <c r="S260" s="1132"/>
      <c r="T260" s="1132"/>
      <c r="U260" s="883"/>
      <c r="V260" s="883"/>
      <c r="W260" s="883"/>
      <c r="X260" s="1132"/>
      <c r="Y260" s="1133"/>
      <c r="Z260" s="886"/>
      <c r="AA260" s="885">
        <f>+(AA261*AB261)+(AA266*AB266)+(AA268*AB268)</f>
        <v>1</v>
      </c>
      <c r="AB260" s="885">
        <v>0.09</v>
      </c>
      <c r="AC260" s="885">
        <v>0.09</v>
      </c>
      <c r="AD260" s="885">
        <v>0.09</v>
      </c>
      <c r="AE260" s="885">
        <v>0.09</v>
      </c>
      <c r="AF260" s="885">
        <v>0.09</v>
      </c>
      <c r="AG260" s="883">
        <f>+AG261+AG266+AG268</f>
        <v>390000000</v>
      </c>
      <c r="AH260" s="883">
        <f>+AH261+AH266+AH268</f>
        <v>211626200</v>
      </c>
      <c r="AI260" s="883">
        <f>+AI261+AI266+AI268</f>
        <v>253384705</v>
      </c>
      <c r="AJ260" s="883">
        <f>+AJ261+AJ266+AJ268</f>
        <v>406467635</v>
      </c>
      <c r="AK260" s="883">
        <f>+AK261+AK266+AK268</f>
        <v>389944742</v>
      </c>
      <c r="AL260" s="888">
        <f t="shared" si="402"/>
        <v>0.99985831282051285</v>
      </c>
      <c r="AM260" s="883">
        <f>+AM261+AM266+AM268</f>
        <v>94226200</v>
      </c>
      <c r="AN260" s="883">
        <f>+AN261+AN266+AN268</f>
        <v>163299560</v>
      </c>
      <c r="AO260" s="883">
        <f>+AO261+AO266+AO268</f>
        <v>362624429.89999998</v>
      </c>
      <c r="AP260" s="883">
        <f>+AP261+AP266+AP268</f>
        <v>338207564.23000002</v>
      </c>
      <c r="AQ260" s="890">
        <f t="shared" si="403"/>
        <v>0.86719888264102574</v>
      </c>
      <c r="AR260" s="883">
        <f t="shared" ref="AR260:AX260" si="512">+AR261+AR266+AR268</f>
        <v>43843205.099999994</v>
      </c>
      <c r="AS260" s="883">
        <f t="shared" si="512"/>
        <v>117400000</v>
      </c>
      <c r="AT260" s="883">
        <f t="shared" si="512"/>
        <v>115536666</v>
      </c>
      <c r="AU260" s="883">
        <f t="shared" si="512"/>
        <v>90085145</v>
      </c>
      <c r="AV260" s="883">
        <f t="shared" si="512"/>
        <v>87045441</v>
      </c>
      <c r="AW260" s="883">
        <f t="shared" si="512"/>
        <v>43843205.100000001</v>
      </c>
      <c r="AX260" s="883">
        <f t="shared" si="512"/>
        <v>42105147.100000001</v>
      </c>
      <c r="AY260" s="891">
        <f t="shared" si="386"/>
        <v>0.96035741465443181</v>
      </c>
      <c r="AZ260" s="883">
        <f t="shared" ref="AZ260" si="513">+AZ261+AZ266+AZ268</f>
        <v>1460000000</v>
      </c>
      <c r="BA260" s="883">
        <f t="shared" si="405"/>
        <v>1261423282</v>
      </c>
      <c r="BB260" s="885">
        <f t="shared" si="406"/>
        <v>0.86398854931506852</v>
      </c>
      <c r="BC260" s="967">
        <f t="shared" si="407"/>
        <v>1203045008.23</v>
      </c>
      <c r="BD260" s="885">
        <f t="shared" si="408"/>
        <v>0.82400343029452061</v>
      </c>
      <c r="BE260" s="883"/>
      <c r="BF260" s="883" t="s">
        <v>1700</v>
      </c>
      <c r="BG260" s="883"/>
      <c r="BH260" s="883"/>
      <c r="BI260" s="892" t="s">
        <v>2081</v>
      </c>
    </row>
    <row r="261" spans="1:61" s="865" customFormat="1" ht="47.4" customHeight="1">
      <c r="A261" s="893" t="s">
        <v>2513</v>
      </c>
      <c r="B261" s="894"/>
      <c r="C261" s="894"/>
      <c r="D261" s="895"/>
      <c r="E261" s="895"/>
      <c r="F261" s="895"/>
      <c r="G261" s="895"/>
      <c r="H261" s="895"/>
      <c r="I261" s="895"/>
      <c r="J261" s="895"/>
      <c r="K261" s="895"/>
      <c r="L261" s="895"/>
      <c r="M261" s="895"/>
      <c r="N261" s="895"/>
      <c r="O261" s="896">
        <f>+SUMPRODUCT(O262:O265,AC262:AC265)</f>
        <v>1</v>
      </c>
      <c r="P261" s="896">
        <f t="shared" ref="P261:R261" si="514">+SUMPRODUCT(P262:P265,AD262:AD265)</f>
        <v>1</v>
      </c>
      <c r="Q261" s="896">
        <f t="shared" si="514"/>
        <v>1</v>
      </c>
      <c r="R261" s="896">
        <f t="shared" si="514"/>
        <v>1</v>
      </c>
      <c r="S261" s="1134"/>
      <c r="T261" s="1134"/>
      <c r="U261" s="894"/>
      <c r="V261" s="894"/>
      <c r="W261" s="894"/>
      <c r="X261" s="1134"/>
      <c r="Y261" s="1059"/>
      <c r="Z261" s="897"/>
      <c r="AA261" s="896">
        <f>+SUMPRODUCT(AA262:AA265,AB262:AB265)</f>
        <v>1</v>
      </c>
      <c r="AB261" s="896">
        <v>0.6</v>
      </c>
      <c r="AC261" s="896">
        <v>0.7</v>
      </c>
      <c r="AD261" s="896">
        <v>0.6</v>
      </c>
      <c r="AE261" s="896">
        <v>0.6</v>
      </c>
      <c r="AF261" s="896">
        <v>0.6</v>
      </c>
      <c r="AG261" s="894">
        <f>SUM(AG262:AG265)</f>
        <v>200000000</v>
      </c>
      <c r="AH261" s="894">
        <f>SUM(AH262:AH265)</f>
        <v>201626200</v>
      </c>
      <c r="AI261" s="894">
        <f>SUM(AI262:AI265)</f>
        <v>163189902</v>
      </c>
      <c r="AJ261" s="894">
        <f>SUM(AJ262:AJ265)</f>
        <v>197655050</v>
      </c>
      <c r="AK261" s="894">
        <f>SUM(AK262:AK265)</f>
        <v>199988098</v>
      </c>
      <c r="AL261" s="900">
        <f t="shared" si="402"/>
        <v>0.99994048999999996</v>
      </c>
      <c r="AM261" s="894">
        <f>SUM(AM262:AM265)</f>
        <v>84226200</v>
      </c>
      <c r="AN261" s="894">
        <f>SUM(AN262:AN265)</f>
        <v>133732128</v>
      </c>
      <c r="AO261" s="894">
        <f>SUM(AO262:AO265)</f>
        <v>176365430</v>
      </c>
      <c r="AP261" s="894">
        <f>SUM(AP262:AP265)</f>
        <v>160396609.22999999</v>
      </c>
      <c r="AQ261" s="901">
        <f t="shared" si="403"/>
        <v>0.80198304614999993</v>
      </c>
      <c r="AR261" s="902">
        <f t="shared" ref="AR261:AX261" si="515">SUM(AR262:AR265)</f>
        <v>21289620</v>
      </c>
      <c r="AS261" s="894">
        <f t="shared" si="515"/>
        <v>117400000</v>
      </c>
      <c r="AT261" s="894">
        <f t="shared" si="515"/>
        <v>115536666</v>
      </c>
      <c r="AU261" s="894">
        <f t="shared" si="515"/>
        <v>29457774</v>
      </c>
      <c r="AV261" s="894">
        <f t="shared" si="515"/>
        <v>28061863</v>
      </c>
      <c r="AW261" s="894">
        <f t="shared" si="515"/>
        <v>21289620</v>
      </c>
      <c r="AX261" s="894">
        <f t="shared" si="515"/>
        <v>19742164</v>
      </c>
      <c r="AY261" s="903">
        <f t="shared" si="386"/>
        <v>0.92731406197010557</v>
      </c>
      <c r="AZ261" s="894">
        <f t="shared" ref="AZ261" si="516">SUM(AZ262:AZ265)</f>
        <v>830000000</v>
      </c>
      <c r="BA261" s="894">
        <f t="shared" si="405"/>
        <v>762459250</v>
      </c>
      <c r="BB261" s="896">
        <f t="shared" si="406"/>
        <v>0.91862560240963853</v>
      </c>
      <c r="BC261" s="962">
        <f t="shared" si="407"/>
        <v>718061060.23000002</v>
      </c>
      <c r="BD261" s="896">
        <f t="shared" si="408"/>
        <v>0.86513380750602409</v>
      </c>
      <c r="BE261" s="902"/>
      <c r="BF261" s="902"/>
      <c r="BG261" s="902"/>
      <c r="BH261" s="902"/>
    </row>
    <row r="262" spans="1:61" s="865" customFormat="1" ht="47.4" customHeight="1">
      <c r="A262" s="1176" t="s">
        <v>2514</v>
      </c>
      <c r="B262" s="937" t="s">
        <v>2515</v>
      </c>
      <c r="C262" s="937" t="s">
        <v>2086</v>
      </c>
      <c r="D262" s="990">
        <v>1</v>
      </c>
      <c r="E262" s="990">
        <v>1</v>
      </c>
      <c r="F262" s="990">
        <v>1</v>
      </c>
      <c r="G262" s="990">
        <v>1</v>
      </c>
      <c r="H262" s="990">
        <v>1</v>
      </c>
      <c r="I262" s="906">
        <v>1</v>
      </c>
      <c r="J262" s="938">
        <v>1</v>
      </c>
      <c r="K262" s="938">
        <v>1</v>
      </c>
      <c r="L262" s="906"/>
      <c r="M262" s="906"/>
      <c r="N262" s="906"/>
      <c r="O262" s="908">
        <f t="shared" ref="O262:Q265" si="517">+IFERROR(IF((H262+L262)/D262&gt;=100%,100%,(H262+L262)/D262),0)</f>
        <v>1</v>
      </c>
      <c r="P262" s="930">
        <f t="shared" si="517"/>
        <v>1</v>
      </c>
      <c r="Q262" s="930">
        <f t="shared" si="517"/>
        <v>1</v>
      </c>
      <c r="R262" s="908">
        <f t="shared" ref="R262:R265" si="518">+IFERROR(IF(K262/G262&gt;=100%,100%,K262/G262),0)</f>
        <v>1</v>
      </c>
      <c r="S262" s="865" t="s">
        <v>2816</v>
      </c>
      <c r="T262" s="931">
        <v>45291</v>
      </c>
      <c r="U262" s="942"/>
      <c r="V262" s="942"/>
      <c r="W262" s="909"/>
      <c r="X262" s="933"/>
      <c r="Y262" s="869">
        <f t="shared" ref="Y262:Y265" si="519">SUM(D262:G262)</f>
        <v>4</v>
      </c>
      <c r="Z262" s="913">
        <f t="shared" ref="Z262:Z265" si="520">SUM(H262:N262)</f>
        <v>4</v>
      </c>
      <c r="AA262" s="928">
        <f t="shared" ref="AA262:AA265" si="521">IF(Z262/Y262&gt;=100%,100%,Z262/Y262)</f>
        <v>1</v>
      </c>
      <c r="AB262" s="1056">
        <v>0.25</v>
      </c>
      <c r="AC262" s="1056">
        <v>0.5</v>
      </c>
      <c r="AD262" s="1056">
        <v>0.25</v>
      </c>
      <c r="AE262" s="1056">
        <v>0.25</v>
      </c>
      <c r="AF262" s="1056">
        <v>0.25</v>
      </c>
      <c r="AG262" s="1206">
        <v>50000000</v>
      </c>
      <c r="AH262" s="1201">
        <v>40800000</v>
      </c>
      <c r="AI262" s="1206">
        <v>36251938</v>
      </c>
      <c r="AJ262" s="1206">
        <v>49517290</v>
      </c>
      <c r="AK262" s="1206">
        <v>49999900</v>
      </c>
      <c r="AL262" s="916">
        <f t="shared" si="402"/>
        <v>0.99999800000000005</v>
      </c>
      <c r="AM262" s="1201">
        <v>35700000</v>
      </c>
      <c r="AN262" s="1206">
        <v>33612905</v>
      </c>
      <c r="AO262" s="1206">
        <v>42800491</v>
      </c>
      <c r="AP262" s="1206">
        <v>33424695</v>
      </c>
      <c r="AQ262" s="928">
        <f t="shared" si="403"/>
        <v>0.66849389999999997</v>
      </c>
      <c r="AR262" s="915">
        <f t="shared" ref="AR262:AR265" si="522">+AJ262-AO262</f>
        <v>6716799</v>
      </c>
      <c r="AS262" s="1201">
        <v>5100000</v>
      </c>
      <c r="AT262" s="1201">
        <v>5100000</v>
      </c>
      <c r="AU262" s="1201">
        <v>2639033</v>
      </c>
      <c r="AV262" s="1201">
        <v>2264369</v>
      </c>
      <c r="AW262" s="1201">
        <v>6716799</v>
      </c>
      <c r="AX262" s="1201">
        <v>6312491</v>
      </c>
      <c r="AY262" s="956">
        <f t="shared" si="386"/>
        <v>0.93980644649333711</v>
      </c>
      <c r="AZ262" s="1041">
        <v>195000000</v>
      </c>
      <c r="BA262" s="957">
        <f t="shared" si="405"/>
        <v>176569128</v>
      </c>
      <c r="BB262" s="930">
        <f t="shared" si="406"/>
        <v>0.90548270769230765</v>
      </c>
      <c r="BC262" s="986">
        <f t="shared" si="407"/>
        <v>159214951</v>
      </c>
      <c r="BD262" s="930">
        <f t="shared" si="408"/>
        <v>0.81648692820512825</v>
      </c>
      <c r="BE262" s="926"/>
      <c r="BF262" s="926"/>
      <c r="BG262" s="910" t="s">
        <v>1701</v>
      </c>
      <c r="BH262" s="1346" t="s">
        <v>2118</v>
      </c>
    </row>
    <row r="263" spans="1:61" s="865" customFormat="1" ht="47.4" customHeight="1">
      <c r="A263" s="1176" t="s">
        <v>2516</v>
      </c>
      <c r="B263" s="937" t="s">
        <v>2517</v>
      </c>
      <c r="C263" s="937" t="s">
        <v>2086</v>
      </c>
      <c r="D263" s="990">
        <v>1</v>
      </c>
      <c r="E263" s="990">
        <v>1</v>
      </c>
      <c r="F263" s="990">
        <v>1</v>
      </c>
      <c r="G263" s="990">
        <v>1</v>
      </c>
      <c r="H263" s="990">
        <v>1</v>
      </c>
      <c r="I263" s="906">
        <v>1</v>
      </c>
      <c r="J263" s="906">
        <v>1</v>
      </c>
      <c r="K263" s="906">
        <v>1</v>
      </c>
      <c r="L263" s="906"/>
      <c r="M263" s="906"/>
      <c r="N263" s="906"/>
      <c r="O263" s="930">
        <f t="shared" si="517"/>
        <v>1</v>
      </c>
      <c r="P263" s="930">
        <f t="shared" si="517"/>
        <v>1</v>
      </c>
      <c r="Q263" s="930">
        <f t="shared" si="517"/>
        <v>1</v>
      </c>
      <c r="R263" s="908">
        <f t="shared" si="518"/>
        <v>1</v>
      </c>
      <c r="S263" s="1154" t="s">
        <v>2817</v>
      </c>
      <c r="T263" s="931">
        <v>45291</v>
      </c>
      <c r="U263" s="942" t="s">
        <v>2092</v>
      </c>
      <c r="V263" s="942"/>
      <c r="W263" s="909" t="s">
        <v>2683</v>
      </c>
      <c r="X263" s="933" t="s">
        <v>2518</v>
      </c>
      <c r="Y263" s="942">
        <f t="shared" si="519"/>
        <v>4</v>
      </c>
      <c r="Z263" s="913">
        <f t="shared" si="520"/>
        <v>4</v>
      </c>
      <c r="AA263" s="983">
        <f t="shared" si="521"/>
        <v>1</v>
      </c>
      <c r="AB263" s="1049">
        <v>0.25</v>
      </c>
      <c r="AC263" s="1049">
        <v>0.5</v>
      </c>
      <c r="AD263" s="1049">
        <v>0.25</v>
      </c>
      <c r="AE263" s="1056">
        <v>0.25</v>
      </c>
      <c r="AF263" s="1056">
        <v>0.25</v>
      </c>
      <c r="AG263" s="1206">
        <v>50000000</v>
      </c>
      <c r="AH263" s="1201">
        <v>47326200</v>
      </c>
      <c r="AI263" s="1206">
        <v>44534088</v>
      </c>
      <c r="AJ263" s="1206">
        <v>49974158</v>
      </c>
      <c r="AK263" s="1206">
        <v>50000000</v>
      </c>
      <c r="AL263" s="982">
        <f t="shared" si="402"/>
        <v>1</v>
      </c>
      <c r="AM263" s="1201">
        <v>39326200</v>
      </c>
      <c r="AN263" s="1206">
        <v>42993413</v>
      </c>
      <c r="AO263" s="1206">
        <v>48121302</v>
      </c>
      <c r="AP263" s="1206">
        <v>43719695</v>
      </c>
      <c r="AQ263" s="983">
        <f t="shared" si="403"/>
        <v>0.87439389999999995</v>
      </c>
      <c r="AR263" s="915">
        <f t="shared" si="522"/>
        <v>1852856</v>
      </c>
      <c r="AS263" s="1201">
        <v>8000000</v>
      </c>
      <c r="AT263" s="1201">
        <v>8000000</v>
      </c>
      <c r="AU263" s="1201">
        <v>1540675</v>
      </c>
      <c r="AV263" s="1201">
        <v>1321944</v>
      </c>
      <c r="AW263" s="1201">
        <v>1852856</v>
      </c>
      <c r="AX263" s="1201">
        <v>1788489</v>
      </c>
      <c r="AY263" s="984">
        <f t="shared" si="386"/>
        <v>0.96526065706131503</v>
      </c>
      <c r="AZ263" s="1028">
        <v>195000000</v>
      </c>
      <c r="BA263" s="957">
        <f t="shared" si="405"/>
        <v>191834446</v>
      </c>
      <c r="BB263" s="930">
        <f t="shared" si="406"/>
        <v>0.98376638974358976</v>
      </c>
      <c r="BC263" s="986">
        <f t="shared" si="407"/>
        <v>185271043</v>
      </c>
      <c r="BD263" s="930">
        <f t="shared" si="408"/>
        <v>0.95010791282051277</v>
      </c>
      <c r="BE263" s="987"/>
      <c r="BF263" s="987"/>
      <c r="BG263" s="909" t="s">
        <v>1701</v>
      </c>
      <c r="BH263" s="1345"/>
    </row>
    <row r="264" spans="1:61" s="865" customFormat="1" ht="47.4" customHeight="1">
      <c r="A264" s="1176" t="s">
        <v>2519</v>
      </c>
      <c r="B264" s="937" t="s">
        <v>2520</v>
      </c>
      <c r="C264" s="1188" t="s">
        <v>2086</v>
      </c>
      <c r="D264" s="990">
        <v>0.1</v>
      </c>
      <c r="E264" s="990">
        <v>1</v>
      </c>
      <c r="F264" s="990">
        <v>1</v>
      </c>
      <c r="G264" s="990">
        <v>1</v>
      </c>
      <c r="H264" s="990">
        <v>0.1</v>
      </c>
      <c r="I264" s="906">
        <v>0</v>
      </c>
      <c r="J264" s="906">
        <v>1</v>
      </c>
      <c r="K264" s="906">
        <v>1</v>
      </c>
      <c r="L264" s="906"/>
      <c r="M264" s="906">
        <v>1</v>
      </c>
      <c r="N264" s="906"/>
      <c r="O264" s="930">
        <f t="shared" si="517"/>
        <v>1</v>
      </c>
      <c r="P264" s="930">
        <f t="shared" si="517"/>
        <v>1</v>
      </c>
      <c r="Q264" s="930">
        <f t="shared" si="517"/>
        <v>1</v>
      </c>
      <c r="R264" s="908">
        <f t="shared" si="518"/>
        <v>1</v>
      </c>
      <c r="S264" s="1194" t="s">
        <v>2818</v>
      </c>
      <c r="T264" s="931">
        <v>45291</v>
      </c>
      <c r="U264" s="942"/>
      <c r="V264" s="942"/>
      <c r="W264" s="909"/>
      <c r="X264" s="933"/>
      <c r="Y264" s="942">
        <f t="shared" si="519"/>
        <v>3.1</v>
      </c>
      <c r="Z264" s="913">
        <f t="shared" si="520"/>
        <v>3.1</v>
      </c>
      <c r="AA264" s="983">
        <f t="shared" si="521"/>
        <v>1</v>
      </c>
      <c r="AB264" s="1049">
        <v>0.25</v>
      </c>
      <c r="AC264" s="1049">
        <v>0</v>
      </c>
      <c r="AD264" s="1049">
        <v>0.25</v>
      </c>
      <c r="AE264" s="1056">
        <v>0.25</v>
      </c>
      <c r="AF264" s="1056">
        <v>0.25</v>
      </c>
      <c r="AG264" s="1206">
        <v>50000000</v>
      </c>
      <c r="AH264" s="1201">
        <v>56750000</v>
      </c>
      <c r="AI264" s="1206">
        <v>40701938</v>
      </c>
      <c r="AJ264" s="1206">
        <v>49974158</v>
      </c>
      <c r="AK264" s="1206">
        <v>49988198</v>
      </c>
      <c r="AL264" s="982">
        <f t="shared" si="402"/>
        <v>0.99976396000000001</v>
      </c>
      <c r="AM264" s="1201">
        <v>4900000</v>
      </c>
      <c r="AN264" s="1206">
        <v>28062905</v>
      </c>
      <c r="AO264" s="1206">
        <v>45099695</v>
      </c>
      <c r="AP264" s="1206">
        <v>35496742</v>
      </c>
      <c r="AQ264" s="983">
        <f t="shared" si="403"/>
        <v>0.70993483999999996</v>
      </c>
      <c r="AR264" s="915">
        <f t="shared" si="522"/>
        <v>4874463</v>
      </c>
      <c r="AS264" s="1201">
        <v>51850000</v>
      </c>
      <c r="AT264" s="1201">
        <v>50000000</v>
      </c>
      <c r="AU264" s="1201">
        <v>12639033</v>
      </c>
      <c r="AV264" s="1201">
        <v>12244710</v>
      </c>
      <c r="AW264" s="1201">
        <v>4874463</v>
      </c>
      <c r="AX264" s="1201">
        <v>4819152</v>
      </c>
      <c r="AY264" s="984">
        <f t="shared" ref="AY264:AY296" si="523">+AX264/AW264</f>
        <v>0.98865290391987792</v>
      </c>
      <c r="AZ264" s="1028">
        <v>220000000</v>
      </c>
      <c r="BA264" s="957">
        <f t="shared" si="405"/>
        <v>197414294</v>
      </c>
      <c r="BB264" s="930">
        <f t="shared" si="406"/>
        <v>0.89733770000000002</v>
      </c>
      <c r="BC264" s="986">
        <f t="shared" si="407"/>
        <v>180623204</v>
      </c>
      <c r="BD264" s="930">
        <f t="shared" si="408"/>
        <v>0.8210145636363636</v>
      </c>
      <c r="BE264" s="987"/>
      <c r="BF264" s="987"/>
      <c r="BG264" s="909" t="s">
        <v>1701</v>
      </c>
      <c r="BH264" s="1345"/>
    </row>
    <row r="265" spans="1:61" s="865" customFormat="1" ht="47.4" customHeight="1">
      <c r="A265" s="1176" t="s">
        <v>2521</v>
      </c>
      <c r="B265" s="937" t="s">
        <v>2522</v>
      </c>
      <c r="C265" s="1188" t="s">
        <v>2086</v>
      </c>
      <c r="D265" s="990">
        <v>0.1</v>
      </c>
      <c r="E265" s="990">
        <v>1</v>
      </c>
      <c r="F265" s="990">
        <v>1</v>
      </c>
      <c r="G265" s="990">
        <v>1</v>
      </c>
      <c r="H265" s="990">
        <v>0.1</v>
      </c>
      <c r="I265" s="906">
        <v>0</v>
      </c>
      <c r="J265" s="906">
        <v>1</v>
      </c>
      <c r="K265" s="906">
        <v>1</v>
      </c>
      <c r="L265" s="906"/>
      <c r="M265" s="906">
        <v>1</v>
      </c>
      <c r="N265" s="906"/>
      <c r="O265" s="930">
        <f t="shared" si="517"/>
        <v>1</v>
      </c>
      <c r="P265" s="930">
        <f t="shared" si="517"/>
        <v>1</v>
      </c>
      <c r="Q265" s="930">
        <f t="shared" si="517"/>
        <v>1</v>
      </c>
      <c r="R265" s="908">
        <f t="shared" si="518"/>
        <v>1</v>
      </c>
      <c r="S265" s="1194" t="s">
        <v>2819</v>
      </c>
      <c r="T265" s="931">
        <v>45291</v>
      </c>
      <c r="U265" s="942"/>
      <c r="V265" s="942"/>
      <c r="W265" s="909"/>
      <c r="X265" s="933"/>
      <c r="Y265" s="942">
        <f t="shared" si="519"/>
        <v>3.1</v>
      </c>
      <c r="Z265" s="913">
        <f t="shared" si="520"/>
        <v>3.1</v>
      </c>
      <c r="AA265" s="983">
        <f t="shared" si="521"/>
        <v>1</v>
      </c>
      <c r="AB265" s="1049">
        <v>0.25</v>
      </c>
      <c r="AC265" s="1049">
        <v>0</v>
      </c>
      <c r="AD265" s="1049">
        <v>0.25</v>
      </c>
      <c r="AE265" s="1056">
        <v>0.25</v>
      </c>
      <c r="AF265" s="1056">
        <v>0.25</v>
      </c>
      <c r="AG265" s="1206">
        <v>50000000</v>
      </c>
      <c r="AH265" s="1201">
        <v>56750000</v>
      </c>
      <c r="AI265" s="1206">
        <v>41701938</v>
      </c>
      <c r="AJ265" s="1206">
        <v>48189444</v>
      </c>
      <c r="AK265" s="1206">
        <v>50000000</v>
      </c>
      <c r="AL265" s="982">
        <f t="shared" si="402"/>
        <v>1</v>
      </c>
      <c r="AM265" s="1201">
        <v>4300000</v>
      </c>
      <c r="AN265" s="1206">
        <v>29062905</v>
      </c>
      <c r="AO265" s="1206">
        <v>40343942</v>
      </c>
      <c r="AP265" s="1206">
        <v>47755477.229999997</v>
      </c>
      <c r="AQ265" s="983">
        <f t="shared" si="403"/>
        <v>0.95510954459999997</v>
      </c>
      <c r="AR265" s="915">
        <f t="shared" si="522"/>
        <v>7845502</v>
      </c>
      <c r="AS265" s="1201">
        <v>52450000</v>
      </c>
      <c r="AT265" s="1201">
        <v>52436666</v>
      </c>
      <c r="AU265" s="1201">
        <v>12639033</v>
      </c>
      <c r="AV265" s="1201">
        <v>12230840</v>
      </c>
      <c r="AW265" s="1201">
        <v>7845502</v>
      </c>
      <c r="AX265" s="1201">
        <v>6822032</v>
      </c>
      <c r="AY265" s="984">
        <f t="shared" si="523"/>
        <v>0.86954690725972661</v>
      </c>
      <c r="AZ265" s="1028">
        <v>220000000</v>
      </c>
      <c r="BA265" s="957">
        <f t="shared" si="405"/>
        <v>196641382</v>
      </c>
      <c r="BB265" s="930">
        <f t="shared" si="406"/>
        <v>0.89382446363636359</v>
      </c>
      <c r="BC265" s="986">
        <f t="shared" si="407"/>
        <v>192951862.22999999</v>
      </c>
      <c r="BD265" s="930">
        <f t="shared" si="408"/>
        <v>0.87705391922727272</v>
      </c>
      <c r="BE265" s="987"/>
      <c r="BF265" s="987"/>
      <c r="BG265" s="909" t="s">
        <v>1701</v>
      </c>
      <c r="BH265" s="1345"/>
    </row>
    <row r="266" spans="1:61" s="865" customFormat="1" ht="47.4" customHeight="1">
      <c r="A266" s="893" t="s">
        <v>2523</v>
      </c>
      <c r="B266" s="894"/>
      <c r="C266" s="894"/>
      <c r="D266" s="895"/>
      <c r="E266" s="895"/>
      <c r="F266" s="895"/>
      <c r="G266" s="895"/>
      <c r="H266" s="895"/>
      <c r="I266" s="895"/>
      <c r="J266" s="895"/>
      <c r="K266" s="895"/>
      <c r="L266" s="895"/>
      <c r="M266" s="895"/>
      <c r="N266" s="895"/>
      <c r="O266" s="896">
        <f>+O267*AC267</f>
        <v>1</v>
      </c>
      <c r="P266" s="896">
        <f t="shared" ref="P266:R266" si="524">+P267*AD267</f>
        <v>0</v>
      </c>
      <c r="Q266" s="896">
        <f t="shared" si="524"/>
        <v>0</v>
      </c>
      <c r="R266" s="896">
        <f t="shared" si="524"/>
        <v>1</v>
      </c>
      <c r="S266" s="1134"/>
      <c r="T266" s="1134"/>
      <c r="U266" s="894"/>
      <c r="V266" s="894"/>
      <c r="W266" s="894"/>
      <c r="X266" s="1134"/>
      <c r="Y266" s="1059"/>
      <c r="Z266" s="897">
        <f>SUM(H266:M266)</f>
        <v>0</v>
      </c>
      <c r="AA266" s="896">
        <f>+(AA267*AB267)</f>
        <v>1</v>
      </c>
      <c r="AB266" s="896">
        <v>0.2</v>
      </c>
      <c r="AC266" s="896">
        <v>0.3</v>
      </c>
      <c r="AD266" s="896">
        <v>0.2</v>
      </c>
      <c r="AE266" s="896">
        <v>0.2</v>
      </c>
      <c r="AF266" s="896">
        <v>0.2</v>
      </c>
      <c r="AG266" s="894">
        <f>SUM(AG267)</f>
        <v>65000000</v>
      </c>
      <c r="AH266" s="894">
        <f>SUM(AH267)</f>
        <v>10000000</v>
      </c>
      <c r="AI266" s="894">
        <f>SUM(AI267)</f>
        <v>17337743</v>
      </c>
      <c r="AJ266" s="894">
        <f>SUM(AJ267)</f>
        <v>83877190</v>
      </c>
      <c r="AK266" s="894">
        <f>SUM(AK267)</f>
        <v>64992118</v>
      </c>
      <c r="AL266" s="900">
        <f t="shared" si="402"/>
        <v>0.99987873846153841</v>
      </c>
      <c r="AM266" s="894">
        <f>SUM(AM267)</f>
        <v>10000000</v>
      </c>
      <c r="AN266" s="894">
        <f>SUM(AN267)</f>
        <v>11840998</v>
      </c>
      <c r="AO266" s="894">
        <f>SUM(AO267)</f>
        <v>79597592</v>
      </c>
      <c r="AP266" s="894">
        <f>SUM(AP267)</f>
        <v>63156960</v>
      </c>
      <c r="AQ266" s="901">
        <f t="shared" si="403"/>
        <v>0.97164553846153845</v>
      </c>
      <c r="AR266" s="902">
        <f t="shared" ref="AR266:AX266" si="525">SUM(AR267)</f>
        <v>4279598</v>
      </c>
      <c r="AS266" s="894">
        <f t="shared" si="525"/>
        <v>0</v>
      </c>
      <c r="AT266" s="894">
        <f t="shared" si="525"/>
        <v>0</v>
      </c>
      <c r="AU266" s="894">
        <f t="shared" si="525"/>
        <v>5496745</v>
      </c>
      <c r="AV266" s="894">
        <f t="shared" si="525"/>
        <v>4646533</v>
      </c>
      <c r="AW266" s="894">
        <f t="shared" si="525"/>
        <v>4279598</v>
      </c>
      <c r="AX266" s="894">
        <f t="shared" si="525"/>
        <v>4152927</v>
      </c>
      <c r="AY266" s="903">
        <f t="shared" si="523"/>
        <v>0.97040119188764928</v>
      </c>
      <c r="AZ266" s="894">
        <f t="shared" ref="AZ266" si="526">SUM(AZ267)</f>
        <v>295000000</v>
      </c>
      <c r="BA266" s="894">
        <f t="shared" si="405"/>
        <v>176207051</v>
      </c>
      <c r="BB266" s="896">
        <f t="shared" si="406"/>
        <v>0.59731203728813564</v>
      </c>
      <c r="BC266" s="962">
        <f t="shared" si="407"/>
        <v>173395010</v>
      </c>
      <c r="BD266" s="896">
        <f t="shared" si="408"/>
        <v>0.58777969491525428</v>
      </c>
      <c r="BE266" s="902"/>
      <c r="BF266" s="902"/>
      <c r="BG266" s="902"/>
      <c r="BH266" s="902"/>
      <c r="BI266" s="865" t="s">
        <v>2081</v>
      </c>
    </row>
    <row r="267" spans="1:61" s="865" customFormat="1" ht="47.4" customHeight="1">
      <c r="A267" s="1187" t="s">
        <v>2524</v>
      </c>
      <c r="B267" s="1188" t="s">
        <v>2525</v>
      </c>
      <c r="C267" s="1188" t="s">
        <v>2086</v>
      </c>
      <c r="D267" s="1280">
        <v>0.1</v>
      </c>
      <c r="E267" s="1003">
        <v>1</v>
      </c>
      <c r="F267" s="1003">
        <v>1</v>
      </c>
      <c r="G267" s="1003">
        <v>1</v>
      </c>
      <c r="H267" s="1003">
        <v>0.1</v>
      </c>
      <c r="I267" s="906">
        <v>0</v>
      </c>
      <c r="J267" s="906">
        <v>0</v>
      </c>
      <c r="K267" s="906">
        <v>1</v>
      </c>
      <c r="L267" s="906"/>
      <c r="M267" s="906"/>
      <c r="N267" s="906"/>
      <c r="O267" s="930">
        <f>+IFERROR(IF((H267+L267)/D267&gt;=100%,100%,(H267+L267)/D267),0)</f>
        <v>1</v>
      </c>
      <c r="P267" s="930">
        <f>+IFERROR(IF((I267+M267)/E267&gt;=100%,100%,(I267+M267)/E267),0)</f>
        <v>0</v>
      </c>
      <c r="Q267" s="930">
        <f>+IFERROR(IF((J267+N267)/F267&gt;=100%,100%,(J267+N267)/F267),0)</f>
        <v>0</v>
      </c>
      <c r="R267" s="908">
        <f>+IFERROR(IF(K267/G267&gt;=100%,100%,K267/G267),0)</f>
        <v>1</v>
      </c>
      <c r="S267" s="1222" t="s">
        <v>2820</v>
      </c>
      <c r="T267" s="931">
        <v>45291</v>
      </c>
      <c r="U267" s="911"/>
      <c r="V267" s="869"/>
      <c r="W267" s="910"/>
      <c r="Y267" s="1223">
        <v>1</v>
      </c>
      <c r="Z267" s="913">
        <f t="shared" ref="Z267" si="527">SUM(H267:N267)</f>
        <v>1.1000000000000001</v>
      </c>
      <c r="AA267" s="928">
        <f t="shared" ref="AA267" si="528">IF(Z267/Y267&gt;=100%,100%,Z267/Y267)</f>
        <v>1</v>
      </c>
      <c r="AB267" s="1056">
        <v>1</v>
      </c>
      <c r="AC267" s="908">
        <v>1</v>
      </c>
      <c r="AD267" s="908">
        <v>1</v>
      </c>
      <c r="AE267" s="908">
        <v>1</v>
      </c>
      <c r="AF267" s="908">
        <v>1</v>
      </c>
      <c r="AG267" s="1224">
        <v>65000000</v>
      </c>
      <c r="AH267" s="1225">
        <v>10000000</v>
      </c>
      <c r="AI267" s="1224">
        <v>17337743</v>
      </c>
      <c r="AJ267" s="1224">
        <v>83877190</v>
      </c>
      <c r="AK267" s="1224">
        <v>64992118</v>
      </c>
      <c r="AL267" s="916">
        <f t="shared" si="402"/>
        <v>0.99987873846153841</v>
      </c>
      <c r="AM267" s="1225">
        <v>10000000</v>
      </c>
      <c r="AN267" s="1224">
        <v>11840998</v>
      </c>
      <c r="AO267" s="1224">
        <v>79597592</v>
      </c>
      <c r="AP267" s="1224">
        <v>63156960</v>
      </c>
      <c r="AQ267" s="983">
        <f t="shared" si="403"/>
        <v>0.97164553846153845</v>
      </c>
      <c r="AR267" s="915">
        <f>+AJ267-AO267</f>
        <v>4279598</v>
      </c>
      <c r="AS267" s="1225">
        <v>0</v>
      </c>
      <c r="AT267" s="1225">
        <v>0</v>
      </c>
      <c r="AU267" s="1225">
        <v>5496745</v>
      </c>
      <c r="AV267" s="1225">
        <v>4646533</v>
      </c>
      <c r="AW267" s="1225">
        <v>4279598</v>
      </c>
      <c r="AX267" s="1225">
        <v>4152927</v>
      </c>
      <c r="AY267" s="984">
        <f t="shared" si="523"/>
        <v>0.97040119188764928</v>
      </c>
      <c r="AZ267" s="1028">
        <v>295000000</v>
      </c>
      <c r="BA267" s="957">
        <f t="shared" si="405"/>
        <v>176207051</v>
      </c>
      <c r="BB267" s="930">
        <f t="shared" si="406"/>
        <v>0.59731203728813564</v>
      </c>
      <c r="BC267" s="986">
        <f t="shared" si="407"/>
        <v>173395010</v>
      </c>
      <c r="BD267" s="930">
        <f t="shared" si="408"/>
        <v>0.58777969491525428</v>
      </c>
      <c r="BE267" s="987"/>
      <c r="BF267" s="926"/>
      <c r="BG267" s="910" t="s">
        <v>1701</v>
      </c>
      <c r="BH267" s="1192" t="s">
        <v>2118</v>
      </c>
      <c r="BI267" s="865" t="s">
        <v>2081</v>
      </c>
    </row>
    <row r="268" spans="1:61" s="865" customFormat="1" ht="51.75" customHeight="1">
      <c r="A268" s="893" t="s">
        <v>2526</v>
      </c>
      <c r="B268" s="894"/>
      <c r="C268" s="894"/>
      <c r="D268" s="895"/>
      <c r="E268" s="895"/>
      <c r="F268" s="895"/>
      <c r="G268" s="895"/>
      <c r="H268" s="895"/>
      <c r="I268" s="895"/>
      <c r="J268" s="895"/>
      <c r="K268" s="895"/>
      <c r="L268" s="895"/>
      <c r="M268" s="895"/>
      <c r="N268" s="895"/>
      <c r="O268" s="896">
        <f>+O269*AC269</f>
        <v>0</v>
      </c>
      <c r="P268" s="896">
        <f t="shared" ref="P268:R268" si="529">+P269*AD269</f>
        <v>1</v>
      </c>
      <c r="Q268" s="896">
        <f t="shared" si="529"/>
        <v>0</v>
      </c>
      <c r="R268" s="896">
        <f t="shared" si="529"/>
        <v>1</v>
      </c>
      <c r="S268" s="1134"/>
      <c r="T268" s="1134"/>
      <c r="U268" s="894"/>
      <c r="V268" s="894"/>
      <c r="W268" s="894"/>
      <c r="X268" s="1134"/>
      <c r="Y268" s="1059"/>
      <c r="Z268" s="897">
        <f>SUM(H268:M268)</f>
        <v>0</v>
      </c>
      <c r="AA268" s="896">
        <f>+(AA269*AB269)</f>
        <v>1</v>
      </c>
      <c r="AB268" s="896">
        <v>0.2</v>
      </c>
      <c r="AC268" s="896">
        <v>0</v>
      </c>
      <c r="AD268" s="896">
        <v>0.2</v>
      </c>
      <c r="AE268" s="896">
        <v>0.2</v>
      </c>
      <c r="AF268" s="896">
        <v>0.2</v>
      </c>
      <c r="AG268" s="894">
        <f>SUM(AG269)</f>
        <v>125000000</v>
      </c>
      <c r="AH268" s="894">
        <f>SUM(AH269)</f>
        <v>0</v>
      </c>
      <c r="AI268" s="894">
        <f>SUM(AI269)</f>
        <v>72857060</v>
      </c>
      <c r="AJ268" s="894">
        <f>SUM(AJ269)</f>
        <v>124935395</v>
      </c>
      <c r="AK268" s="894">
        <f>SUM(AK269)</f>
        <v>124964526</v>
      </c>
      <c r="AL268" s="900">
        <f t="shared" ref="AL268:AL295" si="530">+AK268/AG268</f>
        <v>0.99971620800000005</v>
      </c>
      <c r="AM268" s="894">
        <f>SUM(AM269)</f>
        <v>0</v>
      </c>
      <c r="AN268" s="894">
        <f>SUM(AN269)</f>
        <v>17726434</v>
      </c>
      <c r="AO268" s="894">
        <f>SUM(AO269)</f>
        <v>106661407.90000001</v>
      </c>
      <c r="AP268" s="894">
        <f>SUM(AP269)</f>
        <v>114653995</v>
      </c>
      <c r="AQ268" s="901">
        <f t="shared" ref="AQ268:AQ295" si="531">+AP268/AG268</f>
        <v>0.91723195999999996</v>
      </c>
      <c r="AR268" s="902">
        <f t="shared" ref="AR268:AX268" si="532">SUM(AR269)</f>
        <v>18273987.099999994</v>
      </c>
      <c r="AS268" s="894">
        <f t="shared" si="532"/>
        <v>0</v>
      </c>
      <c r="AT268" s="894">
        <f t="shared" si="532"/>
        <v>0</v>
      </c>
      <c r="AU268" s="894">
        <f t="shared" si="532"/>
        <v>55130626</v>
      </c>
      <c r="AV268" s="894">
        <f t="shared" si="532"/>
        <v>54337045</v>
      </c>
      <c r="AW268" s="894">
        <f t="shared" si="532"/>
        <v>18273987.100000001</v>
      </c>
      <c r="AX268" s="894">
        <f t="shared" si="532"/>
        <v>18210056.100000001</v>
      </c>
      <c r="AY268" s="903">
        <f t="shared" si="523"/>
        <v>0.99650152976194228</v>
      </c>
      <c r="AZ268" s="894">
        <f>SUM(AZ269)</f>
        <v>335000000</v>
      </c>
      <c r="BA268" s="894">
        <f t="shared" ref="BA268:BA295" si="533">SUM(AH268:AK268)</f>
        <v>322756981</v>
      </c>
      <c r="BB268" s="896">
        <f t="shared" ref="BB268:BB295" si="534">+BA268/AZ268</f>
        <v>0.96345367462686571</v>
      </c>
      <c r="BC268" s="962">
        <f t="shared" ref="BC268:BC295" si="535">SUM(AM268:AP268)+AT268+AV268+AX268</f>
        <v>311588938</v>
      </c>
      <c r="BD268" s="896">
        <f t="shared" ref="BD268:BD295" si="536">+BC268/AZ268</f>
        <v>0.9301162328358209</v>
      </c>
      <c r="BE268" s="902"/>
      <c r="BF268" s="902"/>
      <c r="BG268" s="902"/>
      <c r="BH268" s="902"/>
      <c r="BI268" s="865" t="s">
        <v>2081</v>
      </c>
    </row>
    <row r="269" spans="1:61" s="865" customFormat="1" ht="47.4" customHeight="1">
      <c r="A269" s="1176" t="s">
        <v>2527</v>
      </c>
      <c r="B269" s="937" t="s">
        <v>2528</v>
      </c>
      <c r="C269" s="1188" t="s">
        <v>2086</v>
      </c>
      <c r="D269" s="1003">
        <v>0</v>
      </c>
      <c r="E269" s="1003">
        <v>0.1</v>
      </c>
      <c r="F269" s="1003">
        <v>1</v>
      </c>
      <c r="G269" s="1003">
        <v>1</v>
      </c>
      <c r="H269" s="906">
        <v>0</v>
      </c>
      <c r="I269" s="1003">
        <v>0.1</v>
      </c>
      <c r="J269" s="938">
        <v>0</v>
      </c>
      <c r="K269" s="938">
        <v>1</v>
      </c>
      <c r="L269" s="906"/>
      <c r="M269" s="938"/>
      <c r="N269" s="938"/>
      <c r="O269" s="930">
        <f>+IFERROR(IF((H269+L269)/D269&gt;=100%,100%,(H269+L269)/D269),0)</f>
        <v>0</v>
      </c>
      <c r="P269" s="930">
        <f>+IFERROR(IF((I269+M269)/E269&gt;=100%,100%,(I269+M269)/E269),0)</f>
        <v>1</v>
      </c>
      <c r="Q269" s="930">
        <f>+IFERROR(IF((J269+N269)/F269&gt;=100%,100%,(J269+N269)/F269),0)</f>
        <v>0</v>
      </c>
      <c r="R269" s="908">
        <f>+IFERROR(IF(K269/G269&gt;=100%,100%,K269/G269),0)</f>
        <v>1</v>
      </c>
      <c r="S269" s="1154" t="s">
        <v>2821</v>
      </c>
      <c r="T269" s="931">
        <v>45291</v>
      </c>
      <c r="U269" s="942"/>
      <c r="V269" s="942"/>
      <c r="W269" s="909"/>
      <c r="X269" s="932"/>
      <c r="Y269" s="1226">
        <v>1</v>
      </c>
      <c r="Z269" s="913">
        <f t="shared" ref="Z269" si="537">SUM(H269:N269)</f>
        <v>1.1000000000000001</v>
      </c>
      <c r="AA269" s="983">
        <f t="shared" ref="AA269" si="538">IF(Z269/Y269&gt;=100%,100%,Z269/Y269)</f>
        <v>1</v>
      </c>
      <c r="AB269" s="1049">
        <v>1</v>
      </c>
      <c r="AC269" s="1049">
        <v>0</v>
      </c>
      <c r="AD269" s="930">
        <v>1</v>
      </c>
      <c r="AE269" s="908">
        <v>1</v>
      </c>
      <c r="AF269" s="908">
        <v>1</v>
      </c>
      <c r="AG269" s="1219">
        <v>125000000</v>
      </c>
      <c r="AH269" s="1225">
        <v>0</v>
      </c>
      <c r="AI269" s="1224">
        <v>72857060</v>
      </c>
      <c r="AJ269" s="1224">
        <v>124935395</v>
      </c>
      <c r="AK269" s="1224">
        <v>124964526</v>
      </c>
      <c r="AL269" s="982">
        <f t="shared" si="530"/>
        <v>0.99971620800000005</v>
      </c>
      <c r="AM269" s="1225">
        <v>0</v>
      </c>
      <c r="AN269" s="1224">
        <v>17726434</v>
      </c>
      <c r="AO269" s="1224">
        <v>106661407.90000001</v>
      </c>
      <c r="AP269" s="1224">
        <v>114653995</v>
      </c>
      <c r="AQ269" s="983">
        <f t="shared" si="531"/>
        <v>0.91723195999999996</v>
      </c>
      <c r="AR269" s="915">
        <f>+AJ269-AO269</f>
        <v>18273987.099999994</v>
      </c>
      <c r="AS269" s="1225">
        <v>0</v>
      </c>
      <c r="AT269" s="1225">
        <v>0</v>
      </c>
      <c r="AU269" s="1225">
        <v>55130626</v>
      </c>
      <c r="AV269" s="1225">
        <v>54337045</v>
      </c>
      <c r="AW269" s="1225">
        <v>18273987.100000001</v>
      </c>
      <c r="AX269" s="1225">
        <v>18210056.100000001</v>
      </c>
      <c r="AY269" s="984">
        <f t="shared" si="523"/>
        <v>0.99650152976194228</v>
      </c>
      <c r="AZ269" s="1028">
        <v>335000000</v>
      </c>
      <c r="BA269" s="957">
        <f t="shared" si="533"/>
        <v>322756981</v>
      </c>
      <c r="BB269" s="930">
        <f t="shared" si="534"/>
        <v>0.96345367462686571</v>
      </c>
      <c r="BC269" s="986">
        <f t="shared" si="535"/>
        <v>311588938</v>
      </c>
      <c r="BD269" s="930">
        <f t="shared" si="536"/>
        <v>0.9301162328358209</v>
      </c>
      <c r="BE269" s="987"/>
      <c r="BF269" s="926"/>
      <c r="BG269" s="910" t="s">
        <v>1701</v>
      </c>
      <c r="BH269" s="1180" t="s">
        <v>2118</v>
      </c>
      <c r="BI269" s="865" t="s">
        <v>2081</v>
      </c>
    </row>
    <row r="270" spans="1:61" s="892" customFormat="1" ht="47.4" customHeight="1">
      <c r="A270" s="882" t="s">
        <v>2529</v>
      </c>
      <c r="B270" s="883"/>
      <c r="C270" s="883"/>
      <c r="D270" s="884"/>
      <c r="E270" s="884"/>
      <c r="F270" s="1065"/>
      <c r="G270" s="1065"/>
      <c r="H270" s="884"/>
      <c r="I270" s="884"/>
      <c r="J270" s="1065"/>
      <c r="K270" s="1065"/>
      <c r="L270" s="884"/>
      <c r="M270" s="884"/>
      <c r="N270" s="884"/>
      <c r="O270" s="885">
        <f>+(O271*AC271)</f>
        <v>1</v>
      </c>
      <c r="P270" s="885">
        <f t="shared" ref="P270:R270" si="539">+(P271*AD271)</f>
        <v>0.98</v>
      </c>
      <c r="Q270" s="885">
        <f t="shared" si="539"/>
        <v>0.97799999999999998</v>
      </c>
      <c r="R270" s="885">
        <f t="shared" si="539"/>
        <v>0.99172800000000005</v>
      </c>
      <c r="S270" s="1132"/>
      <c r="T270" s="1132"/>
      <c r="U270" s="883"/>
      <c r="V270" s="883"/>
      <c r="W270" s="883"/>
      <c r="X270" s="1132"/>
      <c r="Y270" s="1133"/>
      <c r="Z270" s="886">
        <f>SUM(H270:M270)</f>
        <v>0</v>
      </c>
      <c r="AA270" s="885">
        <f>+(AA271*AB271)</f>
        <v>0.98812</v>
      </c>
      <c r="AB270" s="885">
        <v>0.1</v>
      </c>
      <c r="AC270" s="885">
        <v>0.1</v>
      </c>
      <c r="AD270" s="885">
        <v>0.1</v>
      </c>
      <c r="AE270" s="885">
        <v>0.1</v>
      </c>
      <c r="AF270" s="885">
        <v>0.1</v>
      </c>
      <c r="AG270" s="883">
        <f>+AG271</f>
        <v>710000000</v>
      </c>
      <c r="AH270" s="883">
        <f>+AH271</f>
        <v>205472200</v>
      </c>
      <c r="AI270" s="883">
        <f>+AI271</f>
        <v>539083009</v>
      </c>
      <c r="AJ270" s="883">
        <f>+AJ271</f>
        <v>714962042</v>
      </c>
      <c r="AK270" s="883">
        <f>+AK271</f>
        <v>709857202.33000004</v>
      </c>
      <c r="AL270" s="888">
        <f t="shared" si="530"/>
        <v>0.99979887652112687</v>
      </c>
      <c r="AM270" s="883">
        <f>+AM271</f>
        <v>107400000</v>
      </c>
      <c r="AN270" s="883">
        <f>+AN271</f>
        <v>323233127</v>
      </c>
      <c r="AO270" s="883">
        <f>+AO271</f>
        <v>684579237</v>
      </c>
      <c r="AP270" s="883">
        <f>+AP271</f>
        <v>673979863.56000006</v>
      </c>
      <c r="AQ270" s="890">
        <f t="shared" si="531"/>
        <v>0.94926741346478882</v>
      </c>
      <c r="AR270" s="883">
        <f t="shared" ref="AR270:AX270" si="540">+AR271</f>
        <v>30382805</v>
      </c>
      <c r="AS270" s="883">
        <f t="shared" si="540"/>
        <v>98072200</v>
      </c>
      <c r="AT270" s="883">
        <f t="shared" si="540"/>
        <v>83395870.770000011</v>
      </c>
      <c r="AU270" s="883">
        <f t="shared" si="540"/>
        <v>215849882</v>
      </c>
      <c r="AV270" s="883">
        <f t="shared" si="540"/>
        <v>211462179</v>
      </c>
      <c r="AW270" s="883">
        <f t="shared" si="540"/>
        <v>30382805</v>
      </c>
      <c r="AX270" s="883">
        <f t="shared" si="540"/>
        <v>29118024</v>
      </c>
      <c r="AY270" s="891">
        <f t="shared" si="523"/>
        <v>0.95837181590047393</v>
      </c>
      <c r="AZ270" s="883">
        <f t="shared" ref="AZ270" si="541">+AZ271</f>
        <v>2725000000</v>
      </c>
      <c r="BA270" s="883">
        <f t="shared" si="533"/>
        <v>2169374453.3299999</v>
      </c>
      <c r="BB270" s="885">
        <f t="shared" si="534"/>
        <v>0.7961007168183486</v>
      </c>
      <c r="BC270" s="967">
        <f t="shared" si="535"/>
        <v>2113168301.3299999</v>
      </c>
      <c r="BD270" s="885">
        <f t="shared" si="536"/>
        <v>0.77547460599266049</v>
      </c>
      <c r="BE270" s="883"/>
      <c r="BF270" s="883" t="s">
        <v>1700</v>
      </c>
      <c r="BG270" s="883"/>
      <c r="BH270" s="883"/>
    </row>
    <row r="271" spans="1:61" s="865" customFormat="1" ht="47.4" customHeight="1">
      <c r="A271" s="893" t="s">
        <v>2530</v>
      </c>
      <c r="B271" s="894"/>
      <c r="C271" s="894"/>
      <c r="D271" s="895"/>
      <c r="E271" s="895"/>
      <c r="F271" s="895"/>
      <c r="G271" s="895"/>
      <c r="H271" s="895"/>
      <c r="I271" s="895"/>
      <c r="J271" s="895"/>
      <c r="K271" s="895"/>
      <c r="L271" s="895"/>
      <c r="M271" s="895"/>
      <c r="N271" s="895"/>
      <c r="O271" s="896">
        <f>+SUMPRODUCT(O272:O277,AC272:AC277)</f>
        <v>1</v>
      </c>
      <c r="P271" s="896">
        <f t="shared" ref="P271:R271" si="542">+SUMPRODUCT(P272:P277,AD272:AD277)</f>
        <v>0.98</v>
      </c>
      <c r="Q271" s="896">
        <f t="shared" si="542"/>
        <v>0.97799999999999998</v>
      </c>
      <c r="R271" s="896">
        <f t="shared" si="542"/>
        <v>0.99172800000000005</v>
      </c>
      <c r="S271" s="1134"/>
      <c r="T271" s="1134"/>
      <c r="U271" s="894"/>
      <c r="V271" s="894"/>
      <c r="W271" s="894"/>
      <c r="X271" s="1134"/>
      <c r="Y271" s="1059"/>
      <c r="Z271" s="897">
        <f>SUM(H271:M271)</f>
        <v>0</v>
      </c>
      <c r="AA271" s="896">
        <f>+SUMPRODUCT(AA272:AA277,AB272:AB277)</f>
        <v>0.98812</v>
      </c>
      <c r="AB271" s="896">
        <v>1</v>
      </c>
      <c r="AC271" s="896">
        <v>1</v>
      </c>
      <c r="AD271" s="896">
        <v>1</v>
      </c>
      <c r="AE271" s="896">
        <v>1</v>
      </c>
      <c r="AF271" s="896">
        <v>1</v>
      </c>
      <c r="AG271" s="894">
        <f>SUM(AG272:AG277)</f>
        <v>710000000</v>
      </c>
      <c r="AH271" s="894">
        <f>SUM(AH272:AH277)</f>
        <v>205472200</v>
      </c>
      <c r="AI271" s="894">
        <f>SUM(AI272:AI277)</f>
        <v>539083009</v>
      </c>
      <c r="AJ271" s="894">
        <f>SUM(AJ272:AJ277)</f>
        <v>714962042</v>
      </c>
      <c r="AK271" s="894">
        <f>SUM(AK272:AK277)</f>
        <v>709857202.33000004</v>
      </c>
      <c r="AL271" s="900">
        <f t="shared" si="530"/>
        <v>0.99979887652112687</v>
      </c>
      <c r="AM271" s="894">
        <f>SUM(AM272:AM277)</f>
        <v>107400000</v>
      </c>
      <c r="AN271" s="894">
        <f>SUM(AN272:AN277)</f>
        <v>323233127</v>
      </c>
      <c r="AO271" s="894">
        <f>SUM(AO272:AO277)</f>
        <v>684579237</v>
      </c>
      <c r="AP271" s="894">
        <f>SUM(AP272:AP277)</f>
        <v>673979863.56000006</v>
      </c>
      <c r="AQ271" s="901">
        <f t="shared" si="531"/>
        <v>0.94926741346478882</v>
      </c>
      <c r="AR271" s="902">
        <f t="shared" ref="AR271:AX271" si="543">SUM(AR272:AR277)</f>
        <v>30382805</v>
      </c>
      <c r="AS271" s="894">
        <f t="shared" si="543"/>
        <v>98072200</v>
      </c>
      <c r="AT271" s="894">
        <f t="shared" si="543"/>
        <v>83395870.770000011</v>
      </c>
      <c r="AU271" s="894">
        <f t="shared" si="543"/>
        <v>215849882</v>
      </c>
      <c r="AV271" s="894">
        <f t="shared" si="543"/>
        <v>211462179</v>
      </c>
      <c r="AW271" s="894">
        <f t="shared" si="543"/>
        <v>30382805</v>
      </c>
      <c r="AX271" s="894">
        <f t="shared" si="543"/>
        <v>29118024</v>
      </c>
      <c r="AY271" s="903">
        <f t="shared" si="523"/>
        <v>0.95837181590047393</v>
      </c>
      <c r="AZ271" s="894">
        <f t="shared" ref="AZ271" si="544">SUM(AZ272:AZ277)</f>
        <v>2725000000</v>
      </c>
      <c r="BA271" s="894">
        <f t="shared" si="533"/>
        <v>2169374453.3299999</v>
      </c>
      <c r="BB271" s="896">
        <f t="shared" si="534"/>
        <v>0.7961007168183486</v>
      </c>
      <c r="BC271" s="962">
        <f t="shared" si="535"/>
        <v>2113168301.3299999</v>
      </c>
      <c r="BD271" s="896">
        <f t="shared" si="536"/>
        <v>0.77547460599266049</v>
      </c>
      <c r="BE271" s="902"/>
      <c r="BF271" s="902"/>
      <c r="BG271" s="902"/>
      <c r="BH271" s="902"/>
    </row>
    <row r="272" spans="1:61" s="865" customFormat="1" ht="47.4" customHeight="1">
      <c r="A272" s="1187" t="s">
        <v>2531</v>
      </c>
      <c r="B272" s="1188" t="s">
        <v>2532</v>
      </c>
      <c r="C272" s="905" t="s">
        <v>1054</v>
      </c>
      <c r="D272" s="1175">
        <v>0.5</v>
      </c>
      <c r="E272" s="1175">
        <v>0.7</v>
      </c>
      <c r="F272" s="1175">
        <v>0.7</v>
      </c>
      <c r="G272" s="1175">
        <v>0.7</v>
      </c>
      <c r="H272" s="1175">
        <v>0.2</v>
      </c>
      <c r="I272" s="908">
        <v>1</v>
      </c>
      <c r="J272" s="908">
        <v>0.9</v>
      </c>
      <c r="K272" s="908">
        <v>0.92500000000000004</v>
      </c>
      <c r="L272" s="908">
        <v>0.3</v>
      </c>
      <c r="M272" s="908"/>
      <c r="N272" s="908"/>
      <c r="O272" s="908">
        <f t="shared" ref="O272:Q277" si="545">+IFERROR(IF((H272+L272)/D272&gt;=100%,100%,(H272+L272)/D272),0)</f>
        <v>1</v>
      </c>
      <c r="P272" s="930">
        <f t="shared" si="545"/>
        <v>1</v>
      </c>
      <c r="Q272" s="930">
        <f t="shared" si="545"/>
        <v>1</v>
      </c>
      <c r="R272" s="908">
        <f t="shared" ref="R272:R277" si="546">+IFERROR(IF(K272/G272&gt;=100%,100%,K272/G272),0)</f>
        <v>1</v>
      </c>
      <c r="S272" s="1154" t="s">
        <v>2822</v>
      </c>
      <c r="T272" s="931">
        <v>45291</v>
      </c>
      <c r="U272" s="942" t="s">
        <v>2092</v>
      </c>
      <c r="V272" s="942"/>
      <c r="W272" s="909" t="s">
        <v>2683</v>
      </c>
      <c r="X272" s="933" t="s">
        <v>2533</v>
      </c>
      <c r="Y272" s="1211">
        <f t="shared" ref="Y272:Y277" si="547">SUM(D272:G272)</f>
        <v>2.5999999999999996</v>
      </c>
      <c r="Z272" s="934">
        <f t="shared" ref="Z272:Z277" si="548">SUM(H272:N272)</f>
        <v>3.3250000000000002</v>
      </c>
      <c r="AA272" s="983">
        <f t="shared" ref="AA272:AA277" si="549">IF(Z272/Y272&gt;=100%,100%,Z272/Y272)</f>
        <v>1</v>
      </c>
      <c r="AB272" s="1190">
        <v>0.25</v>
      </c>
      <c r="AC272" s="1190">
        <v>0.28000000000000003</v>
      </c>
      <c r="AD272" s="1190">
        <v>0.25</v>
      </c>
      <c r="AE272" s="1227">
        <v>0.27</v>
      </c>
      <c r="AF272" s="1227">
        <v>0.27</v>
      </c>
      <c r="AG272" s="1224">
        <v>165000000</v>
      </c>
      <c r="AH272" s="1191">
        <v>69472200</v>
      </c>
      <c r="AI272" s="1224">
        <v>97783935</v>
      </c>
      <c r="AJ272" s="1224">
        <v>187984459</v>
      </c>
      <c r="AK272" s="1224">
        <v>164946839</v>
      </c>
      <c r="AL272" s="982">
        <f t="shared" si="530"/>
        <v>0.99967781212121209</v>
      </c>
      <c r="AM272" s="1191">
        <v>0</v>
      </c>
      <c r="AN272" s="1224">
        <v>10517463</v>
      </c>
      <c r="AO272" s="1224">
        <v>165461038</v>
      </c>
      <c r="AP272" s="1224">
        <v>151137297.22999999</v>
      </c>
      <c r="AQ272" s="983">
        <f t="shared" si="531"/>
        <v>0.91598361957575747</v>
      </c>
      <c r="AR272" s="915">
        <f t="shared" ref="AR272:AR277" si="550">+AJ272-AO272</f>
        <v>22523421</v>
      </c>
      <c r="AS272" s="1191">
        <v>69472200</v>
      </c>
      <c r="AT272" s="1191">
        <v>63195870.770000003</v>
      </c>
      <c r="AU272" s="1191">
        <v>87266472</v>
      </c>
      <c r="AV272" s="1191">
        <v>85708098</v>
      </c>
      <c r="AW272" s="1191">
        <v>22523421</v>
      </c>
      <c r="AX272" s="1191">
        <v>21258640</v>
      </c>
      <c r="AY272" s="984">
        <f t="shared" si="523"/>
        <v>0.94384596371927687</v>
      </c>
      <c r="AZ272" s="1028">
        <v>700000000</v>
      </c>
      <c r="BA272" s="957">
        <f t="shared" si="533"/>
        <v>520187433</v>
      </c>
      <c r="BB272" s="930">
        <f t="shared" si="534"/>
        <v>0.74312490428571432</v>
      </c>
      <c r="BC272" s="986">
        <f t="shared" si="535"/>
        <v>497278407</v>
      </c>
      <c r="BD272" s="930">
        <f t="shared" si="536"/>
        <v>0.71039772428571424</v>
      </c>
      <c r="BE272" s="987"/>
      <c r="BF272" s="987"/>
      <c r="BG272" s="910" t="s">
        <v>1701</v>
      </c>
      <c r="BH272" s="1192" t="s">
        <v>2534</v>
      </c>
    </row>
    <row r="273" spans="1:61" s="865" customFormat="1" ht="47.4" customHeight="1">
      <c r="A273" s="1187" t="s">
        <v>2535</v>
      </c>
      <c r="B273" s="1188" t="s">
        <v>2536</v>
      </c>
      <c r="C273" s="905" t="s">
        <v>1054</v>
      </c>
      <c r="D273" s="1175">
        <v>0.1</v>
      </c>
      <c r="E273" s="1175">
        <v>0.2</v>
      </c>
      <c r="F273" s="1175">
        <v>0.2</v>
      </c>
      <c r="G273" s="1175">
        <v>0.2</v>
      </c>
      <c r="H273" s="1175">
        <v>0</v>
      </c>
      <c r="I273" s="908">
        <v>0.34</v>
      </c>
      <c r="J273" s="908">
        <v>0.2</v>
      </c>
      <c r="K273" s="908">
        <v>0.2</v>
      </c>
      <c r="L273" s="908">
        <v>0.1</v>
      </c>
      <c r="M273" s="908"/>
      <c r="N273" s="908"/>
      <c r="O273" s="908">
        <f t="shared" si="545"/>
        <v>1</v>
      </c>
      <c r="P273" s="930">
        <f t="shared" si="545"/>
        <v>1</v>
      </c>
      <c r="Q273" s="930">
        <f t="shared" si="545"/>
        <v>1</v>
      </c>
      <c r="R273" s="908">
        <f t="shared" si="546"/>
        <v>1</v>
      </c>
      <c r="S273" s="865" t="s">
        <v>2823</v>
      </c>
      <c r="T273" s="931">
        <v>45291</v>
      </c>
      <c r="U273" s="942"/>
      <c r="V273" s="942"/>
      <c r="W273" s="909"/>
      <c r="X273" s="933"/>
      <c r="Y273" s="1211">
        <f t="shared" si="547"/>
        <v>0.7</v>
      </c>
      <c r="Z273" s="934">
        <f t="shared" si="548"/>
        <v>0.84</v>
      </c>
      <c r="AA273" s="983">
        <f t="shared" si="549"/>
        <v>1</v>
      </c>
      <c r="AB273" s="1190">
        <v>0.25</v>
      </c>
      <c r="AC273" s="1190">
        <v>0.28000000000000003</v>
      </c>
      <c r="AD273" s="1190">
        <v>0.25</v>
      </c>
      <c r="AE273" s="1227">
        <v>0.27</v>
      </c>
      <c r="AF273" s="1227">
        <v>0.27</v>
      </c>
      <c r="AG273" s="1224">
        <v>175000000</v>
      </c>
      <c r="AH273" s="1191">
        <v>24000000</v>
      </c>
      <c r="AI273" s="1224">
        <v>186183935</v>
      </c>
      <c r="AJ273" s="1224">
        <v>179908477</v>
      </c>
      <c r="AK273" s="1224">
        <v>174964418</v>
      </c>
      <c r="AL273" s="982">
        <f t="shared" si="530"/>
        <v>0.99979667428571428</v>
      </c>
      <c r="AM273" s="1191">
        <v>18000000</v>
      </c>
      <c r="AN273" s="1224">
        <v>74917463</v>
      </c>
      <c r="AO273" s="1224">
        <v>177267972</v>
      </c>
      <c r="AP273" s="1224">
        <v>164923522</v>
      </c>
      <c r="AQ273" s="983">
        <f t="shared" si="531"/>
        <v>0.94242012571428568</v>
      </c>
      <c r="AR273" s="915">
        <f t="shared" si="550"/>
        <v>2640505</v>
      </c>
      <c r="AS273" s="1191">
        <v>6000000</v>
      </c>
      <c r="AT273" s="1191">
        <v>0</v>
      </c>
      <c r="AU273" s="1191">
        <v>111266472</v>
      </c>
      <c r="AV273" s="1191">
        <v>109708098</v>
      </c>
      <c r="AW273" s="1191">
        <v>2640505</v>
      </c>
      <c r="AX273" s="1191">
        <v>2640505</v>
      </c>
      <c r="AY273" s="984">
        <f t="shared" si="523"/>
        <v>1</v>
      </c>
      <c r="AZ273" s="1028">
        <v>695000000</v>
      </c>
      <c r="BA273" s="957">
        <f t="shared" si="533"/>
        <v>565056830</v>
      </c>
      <c r="BB273" s="930">
        <f t="shared" si="534"/>
        <v>0.81303141007194246</v>
      </c>
      <c r="BC273" s="986">
        <f t="shared" si="535"/>
        <v>547457560</v>
      </c>
      <c r="BD273" s="930">
        <f t="shared" si="536"/>
        <v>0.78770871942446041</v>
      </c>
      <c r="BE273" s="987"/>
      <c r="BF273" s="987"/>
      <c r="BG273" s="910" t="s">
        <v>1701</v>
      </c>
      <c r="BH273" s="1192" t="s">
        <v>2534</v>
      </c>
    </row>
    <row r="274" spans="1:61" s="865" customFormat="1" ht="52.5" customHeight="1">
      <c r="A274" s="1187" t="s">
        <v>2537</v>
      </c>
      <c r="B274" s="1188" t="s">
        <v>2538</v>
      </c>
      <c r="C274" s="937" t="s">
        <v>2086</v>
      </c>
      <c r="D274" s="1003">
        <v>0</v>
      </c>
      <c r="E274" s="1189">
        <v>1</v>
      </c>
      <c r="F274" s="1189">
        <v>0</v>
      </c>
      <c r="G274" s="1189">
        <v>0</v>
      </c>
      <c r="H274" s="1189">
        <v>0</v>
      </c>
      <c r="I274" s="906">
        <v>1</v>
      </c>
      <c r="J274" s="906">
        <v>0</v>
      </c>
      <c r="K274" s="906"/>
      <c r="L274" s="906"/>
      <c r="M274" s="906"/>
      <c r="N274" s="906"/>
      <c r="O274" s="908">
        <f t="shared" si="545"/>
        <v>0</v>
      </c>
      <c r="P274" s="930">
        <f t="shared" si="545"/>
        <v>1</v>
      </c>
      <c r="Q274" s="908">
        <f t="shared" si="545"/>
        <v>0</v>
      </c>
      <c r="R274" s="908">
        <f t="shared" si="546"/>
        <v>0</v>
      </c>
      <c r="S274" s="1154"/>
      <c r="T274" s="1154"/>
      <c r="U274" s="941"/>
      <c r="V274" s="942"/>
      <c r="W274" s="909"/>
      <c r="X274" s="909"/>
      <c r="Y274" s="1195">
        <f t="shared" si="547"/>
        <v>1</v>
      </c>
      <c r="Z274" s="913">
        <f t="shared" si="548"/>
        <v>1</v>
      </c>
      <c r="AA274" s="983">
        <f t="shared" si="549"/>
        <v>1</v>
      </c>
      <c r="AB274" s="1190">
        <v>0.1</v>
      </c>
      <c r="AC274" s="1190">
        <v>0</v>
      </c>
      <c r="AD274" s="1190">
        <v>0.1</v>
      </c>
      <c r="AE274" s="1190">
        <v>0</v>
      </c>
      <c r="AF274" s="1190">
        <v>0</v>
      </c>
      <c r="AG274" s="1224">
        <v>0</v>
      </c>
      <c r="AH274" s="1191">
        <v>0</v>
      </c>
      <c r="AI274" s="1224">
        <v>17289393</v>
      </c>
      <c r="AJ274" s="1224">
        <v>0</v>
      </c>
      <c r="AK274" s="1224">
        <v>0</v>
      </c>
      <c r="AL274" s="982" t="e">
        <f t="shared" si="530"/>
        <v>#DIV/0!</v>
      </c>
      <c r="AM274" s="1191">
        <v>0</v>
      </c>
      <c r="AN274" s="1224">
        <v>13862275</v>
      </c>
      <c r="AO274" s="1224">
        <v>0</v>
      </c>
      <c r="AP274" s="1224"/>
      <c r="AQ274" s="983" t="e">
        <f t="shared" si="531"/>
        <v>#DIV/0!</v>
      </c>
      <c r="AR274" s="915">
        <f t="shared" si="550"/>
        <v>0</v>
      </c>
      <c r="AS274" s="1191">
        <v>0</v>
      </c>
      <c r="AT274" s="1191">
        <v>0</v>
      </c>
      <c r="AU274" s="1191">
        <v>3427118</v>
      </c>
      <c r="AV274" s="1191">
        <v>3268249</v>
      </c>
      <c r="AW274" s="1191"/>
      <c r="AX274" s="1191"/>
      <c r="AY274" s="984" t="e">
        <f t="shared" si="523"/>
        <v>#DIV/0!</v>
      </c>
      <c r="AZ274" s="1028">
        <v>60000000</v>
      </c>
      <c r="BA274" s="957">
        <f t="shared" si="533"/>
        <v>17289393</v>
      </c>
      <c r="BB274" s="930">
        <f t="shared" si="534"/>
        <v>0.28815655000000001</v>
      </c>
      <c r="BC274" s="986">
        <f t="shared" si="535"/>
        <v>17130524</v>
      </c>
      <c r="BD274" s="930">
        <f t="shared" si="536"/>
        <v>0.28550873333333332</v>
      </c>
      <c r="BE274" s="987"/>
      <c r="BF274" s="987"/>
      <c r="BG274" s="910" t="s">
        <v>1701</v>
      </c>
      <c r="BH274" s="1344" t="s">
        <v>2534</v>
      </c>
    </row>
    <row r="275" spans="1:61" s="865" customFormat="1" ht="47.4" customHeight="1">
      <c r="A275" s="1187" t="s">
        <v>2539</v>
      </c>
      <c r="B275" s="1188" t="s">
        <v>2540</v>
      </c>
      <c r="C275" s="937" t="s">
        <v>2086</v>
      </c>
      <c r="D275" s="990">
        <v>3</v>
      </c>
      <c r="E275" s="990">
        <v>2</v>
      </c>
      <c r="F275" s="990">
        <v>2</v>
      </c>
      <c r="G275" s="990">
        <v>1</v>
      </c>
      <c r="H275" s="990">
        <v>3</v>
      </c>
      <c r="I275" s="906">
        <v>2</v>
      </c>
      <c r="J275" s="906">
        <v>2</v>
      </c>
      <c r="K275" s="906">
        <v>1</v>
      </c>
      <c r="L275" s="906"/>
      <c r="M275" s="906"/>
      <c r="N275" s="906"/>
      <c r="O275" s="908">
        <f t="shared" si="545"/>
        <v>1</v>
      </c>
      <c r="P275" s="930">
        <f t="shared" si="545"/>
        <v>1</v>
      </c>
      <c r="Q275" s="930">
        <f t="shared" si="545"/>
        <v>1</v>
      </c>
      <c r="R275" s="908">
        <f t="shared" si="546"/>
        <v>1</v>
      </c>
      <c r="S275" s="1154" t="s">
        <v>2824</v>
      </c>
      <c r="T275" s="931">
        <v>45291</v>
      </c>
      <c r="U275" s="942"/>
      <c r="V275" s="942"/>
      <c r="W275" s="909"/>
      <c r="X275" s="932"/>
      <c r="Y275" s="1189">
        <f t="shared" si="547"/>
        <v>8</v>
      </c>
      <c r="Z275" s="913">
        <f t="shared" si="548"/>
        <v>8</v>
      </c>
      <c r="AA275" s="983">
        <f t="shared" si="549"/>
        <v>1</v>
      </c>
      <c r="AB275" s="1190">
        <v>0.1</v>
      </c>
      <c r="AC275" s="1190">
        <v>0.11</v>
      </c>
      <c r="AD275" s="1190">
        <v>0.1</v>
      </c>
      <c r="AE275" s="1227">
        <v>0.12</v>
      </c>
      <c r="AF275" s="1227">
        <v>0.12</v>
      </c>
      <c r="AG275" s="1224">
        <v>75000000</v>
      </c>
      <c r="AH275" s="1191">
        <v>10800000</v>
      </c>
      <c r="AI275" s="1224">
        <v>19689393</v>
      </c>
      <c r="AJ275" s="1224">
        <v>49150353</v>
      </c>
      <c r="AK275" s="1224">
        <v>74965071</v>
      </c>
      <c r="AL275" s="982">
        <f t="shared" si="530"/>
        <v>0.99953428</v>
      </c>
      <c r="AM275" s="1191">
        <v>10800000</v>
      </c>
      <c r="AN275" s="1224">
        <v>18662275</v>
      </c>
      <c r="AO275" s="1224">
        <v>48404799</v>
      </c>
      <c r="AP275" s="1224">
        <v>68276307</v>
      </c>
      <c r="AQ275" s="983">
        <f t="shared" si="531"/>
        <v>0.91035076000000004</v>
      </c>
      <c r="AR275" s="915">
        <f t="shared" si="550"/>
        <v>745554</v>
      </c>
      <c r="AS275" s="1191">
        <v>0</v>
      </c>
      <c r="AT275" s="1191">
        <v>0</v>
      </c>
      <c r="AU275" s="1191">
        <v>1027118</v>
      </c>
      <c r="AV275" s="1191">
        <v>868249</v>
      </c>
      <c r="AW275" s="1191">
        <v>745554</v>
      </c>
      <c r="AX275" s="1191">
        <v>745554</v>
      </c>
      <c r="AY275" s="984">
        <f t="shared" si="523"/>
        <v>1</v>
      </c>
      <c r="AZ275" s="1028">
        <v>175000000</v>
      </c>
      <c r="BA275" s="957">
        <f t="shared" si="533"/>
        <v>154604817</v>
      </c>
      <c r="BB275" s="930">
        <f t="shared" si="534"/>
        <v>0.88345609714285711</v>
      </c>
      <c r="BC275" s="986">
        <f t="shared" si="535"/>
        <v>147757184</v>
      </c>
      <c r="BD275" s="930">
        <f t="shared" si="536"/>
        <v>0.84432676571428567</v>
      </c>
      <c r="BE275" s="987"/>
      <c r="BF275" s="987"/>
      <c r="BG275" s="910" t="s">
        <v>1701</v>
      </c>
      <c r="BH275" s="1345"/>
    </row>
    <row r="276" spans="1:61" s="865" customFormat="1" ht="47.4" customHeight="1">
      <c r="A276" s="1187" t="s">
        <v>2541</v>
      </c>
      <c r="B276" s="1188" t="s">
        <v>2542</v>
      </c>
      <c r="C276" s="937" t="s">
        <v>2086</v>
      </c>
      <c r="D276" s="990">
        <v>3</v>
      </c>
      <c r="E276" s="990">
        <v>4</v>
      </c>
      <c r="F276" s="990">
        <v>7</v>
      </c>
      <c r="G276" s="990">
        <v>7</v>
      </c>
      <c r="H276" s="990">
        <v>2</v>
      </c>
      <c r="I276" s="906">
        <v>4</v>
      </c>
      <c r="J276" s="906">
        <v>7</v>
      </c>
      <c r="K276" s="906">
        <v>7</v>
      </c>
      <c r="L276" s="906">
        <v>1</v>
      </c>
      <c r="M276" s="906"/>
      <c r="N276" s="906"/>
      <c r="O276" s="908">
        <f t="shared" si="545"/>
        <v>1</v>
      </c>
      <c r="P276" s="930">
        <f t="shared" si="545"/>
        <v>1</v>
      </c>
      <c r="Q276" s="930">
        <f t="shared" si="545"/>
        <v>1</v>
      </c>
      <c r="R276" s="908">
        <f t="shared" si="546"/>
        <v>1</v>
      </c>
      <c r="S276" s="1154" t="s">
        <v>2825</v>
      </c>
      <c r="T276" s="931">
        <v>45291</v>
      </c>
      <c r="U276" s="942" t="s">
        <v>2092</v>
      </c>
      <c r="V276" s="942"/>
      <c r="W276" s="909" t="s">
        <v>2683</v>
      </c>
      <c r="X276" s="933" t="s">
        <v>2543</v>
      </c>
      <c r="Y276" s="1189">
        <f t="shared" si="547"/>
        <v>21</v>
      </c>
      <c r="Z276" s="913">
        <f t="shared" si="548"/>
        <v>21</v>
      </c>
      <c r="AA276" s="983">
        <f t="shared" si="549"/>
        <v>1</v>
      </c>
      <c r="AB276" s="1190">
        <v>0.1</v>
      </c>
      <c r="AC276" s="1190">
        <v>0.11</v>
      </c>
      <c r="AD276" s="1190">
        <v>0.1</v>
      </c>
      <c r="AE276" s="1227">
        <v>0.12</v>
      </c>
      <c r="AF276" s="1227">
        <v>0.12</v>
      </c>
      <c r="AG276" s="1224">
        <v>75000000</v>
      </c>
      <c r="AH276" s="1191">
        <v>22800000</v>
      </c>
      <c r="AI276" s="1224">
        <v>19689393</v>
      </c>
      <c r="AJ276" s="1224">
        <v>79282350</v>
      </c>
      <c r="AK276" s="1224">
        <v>74981541</v>
      </c>
      <c r="AL276" s="982">
        <f t="shared" si="530"/>
        <v>0.99975387999999998</v>
      </c>
      <c r="AM276" s="1191">
        <v>18000000</v>
      </c>
      <c r="AN276" s="1224">
        <v>18662275</v>
      </c>
      <c r="AO276" s="1224">
        <v>78086357</v>
      </c>
      <c r="AP276" s="1224">
        <v>70854666</v>
      </c>
      <c r="AQ276" s="983">
        <f t="shared" si="531"/>
        <v>0.94472887999999999</v>
      </c>
      <c r="AR276" s="915">
        <f t="shared" si="550"/>
        <v>1195993</v>
      </c>
      <c r="AS276" s="1191">
        <v>4800000</v>
      </c>
      <c r="AT276" s="1191">
        <v>2400000</v>
      </c>
      <c r="AU276" s="1191">
        <v>1027118</v>
      </c>
      <c r="AV276" s="1191">
        <v>868249</v>
      </c>
      <c r="AW276" s="1191">
        <v>1195993</v>
      </c>
      <c r="AX276" s="1191">
        <v>1195993</v>
      </c>
      <c r="AY276" s="984">
        <f t="shared" si="523"/>
        <v>1</v>
      </c>
      <c r="AZ276" s="1028">
        <v>205000000</v>
      </c>
      <c r="BA276" s="957">
        <f t="shared" si="533"/>
        <v>196753284</v>
      </c>
      <c r="BB276" s="930">
        <f t="shared" si="534"/>
        <v>0.95977211707317078</v>
      </c>
      <c r="BC276" s="986">
        <f t="shared" si="535"/>
        <v>190067540</v>
      </c>
      <c r="BD276" s="930">
        <f t="shared" si="536"/>
        <v>0.92715873170731711</v>
      </c>
      <c r="BE276" s="987"/>
      <c r="BF276" s="987"/>
      <c r="BG276" s="910" t="s">
        <v>1701</v>
      </c>
      <c r="BH276" s="1345"/>
    </row>
    <row r="277" spans="1:61" s="865" customFormat="1" ht="47.4" customHeight="1">
      <c r="A277" s="1187" t="s">
        <v>2544</v>
      </c>
      <c r="B277" s="1188" t="s">
        <v>2545</v>
      </c>
      <c r="C277" s="905" t="s">
        <v>1054</v>
      </c>
      <c r="D277" s="1175">
        <v>1</v>
      </c>
      <c r="E277" s="1175">
        <v>1</v>
      </c>
      <c r="F277" s="1175">
        <v>1</v>
      </c>
      <c r="G277" s="1175">
        <v>1</v>
      </c>
      <c r="H277" s="1175">
        <v>0.59</v>
      </c>
      <c r="I277" s="908">
        <v>0.9</v>
      </c>
      <c r="J277" s="908">
        <v>0.9</v>
      </c>
      <c r="K277" s="908">
        <v>0.96240000000000003</v>
      </c>
      <c r="L277" s="908">
        <v>0.41</v>
      </c>
      <c r="M277" s="908"/>
      <c r="N277" s="908"/>
      <c r="O277" s="908">
        <f t="shared" si="545"/>
        <v>1</v>
      </c>
      <c r="P277" s="930">
        <f t="shared" si="545"/>
        <v>0.9</v>
      </c>
      <c r="Q277" s="930">
        <f t="shared" si="545"/>
        <v>0.9</v>
      </c>
      <c r="R277" s="908">
        <f t="shared" si="546"/>
        <v>0.96240000000000003</v>
      </c>
      <c r="S277" s="1154" t="s">
        <v>2826</v>
      </c>
      <c r="T277" s="931">
        <v>45291</v>
      </c>
      <c r="U277" s="942" t="s">
        <v>2092</v>
      </c>
      <c r="V277" s="942"/>
      <c r="W277" s="909" t="s">
        <v>2683</v>
      </c>
      <c r="X277" s="933" t="s">
        <v>2546</v>
      </c>
      <c r="Y277" s="1211">
        <f t="shared" si="547"/>
        <v>4</v>
      </c>
      <c r="Z277" s="934">
        <f t="shared" si="548"/>
        <v>3.7624000000000004</v>
      </c>
      <c r="AA277" s="983">
        <f t="shared" si="549"/>
        <v>0.9406000000000001</v>
      </c>
      <c r="AB277" s="1190">
        <v>0.2</v>
      </c>
      <c r="AC277" s="1190">
        <v>0.22</v>
      </c>
      <c r="AD277" s="1190">
        <v>0.2</v>
      </c>
      <c r="AE277" s="1227">
        <v>0.22</v>
      </c>
      <c r="AF277" s="1227">
        <v>0.22</v>
      </c>
      <c r="AG277" s="1224">
        <v>220000000</v>
      </c>
      <c r="AH277" s="1191">
        <v>78400000</v>
      </c>
      <c r="AI277" s="1224">
        <v>198446960</v>
      </c>
      <c r="AJ277" s="1224">
        <v>218636403</v>
      </c>
      <c r="AK277" s="1224">
        <v>219999333.33000001</v>
      </c>
      <c r="AL277" s="982">
        <f t="shared" si="530"/>
        <v>0.99999696968181828</v>
      </c>
      <c r="AM277" s="1191">
        <v>60600000</v>
      </c>
      <c r="AN277" s="1224">
        <v>186611376</v>
      </c>
      <c r="AO277" s="1224">
        <v>215359071</v>
      </c>
      <c r="AP277" s="1224">
        <v>218788071.33000001</v>
      </c>
      <c r="AQ277" s="983">
        <f t="shared" si="531"/>
        <v>0.9944912333181819</v>
      </c>
      <c r="AR277" s="915">
        <f t="shared" si="550"/>
        <v>3277332</v>
      </c>
      <c r="AS277" s="1191">
        <v>17800000</v>
      </c>
      <c r="AT277" s="1191">
        <v>17800000</v>
      </c>
      <c r="AU277" s="1191">
        <v>11835584</v>
      </c>
      <c r="AV277" s="1191">
        <v>11041236</v>
      </c>
      <c r="AW277" s="1191">
        <v>3277332</v>
      </c>
      <c r="AX277" s="1191">
        <v>3277332</v>
      </c>
      <c r="AY277" s="984">
        <f t="shared" si="523"/>
        <v>1</v>
      </c>
      <c r="AZ277" s="1028">
        <v>890000000</v>
      </c>
      <c r="BA277" s="957">
        <f t="shared" si="533"/>
        <v>715482696.33000004</v>
      </c>
      <c r="BB277" s="930">
        <f t="shared" si="534"/>
        <v>0.80391314194382024</v>
      </c>
      <c r="BC277" s="986">
        <f t="shared" si="535"/>
        <v>713477086.33000004</v>
      </c>
      <c r="BD277" s="930">
        <f t="shared" si="536"/>
        <v>0.80165964756179775</v>
      </c>
      <c r="BE277" s="987"/>
      <c r="BF277" s="987"/>
      <c r="BG277" s="910" t="s">
        <v>1701</v>
      </c>
      <c r="BH277" s="1192" t="s">
        <v>2534</v>
      </c>
    </row>
    <row r="278" spans="1:61" s="892" customFormat="1" ht="47.4" customHeight="1">
      <c r="A278" s="882" t="s">
        <v>2547</v>
      </c>
      <c r="B278" s="883"/>
      <c r="C278" s="883"/>
      <c r="D278" s="884"/>
      <c r="E278" s="884"/>
      <c r="F278" s="1065"/>
      <c r="G278" s="1065"/>
      <c r="H278" s="884"/>
      <c r="I278" s="884"/>
      <c r="J278" s="1065"/>
      <c r="K278" s="1065"/>
      <c r="L278" s="884"/>
      <c r="M278" s="884"/>
      <c r="N278" s="884"/>
      <c r="O278" s="885">
        <f>+(O279*AC279)+(O282*AC282)+(O284*AC284)</f>
        <v>1</v>
      </c>
      <c r="P278" s="885">
        <f t="shared" ref="P278:R278" si="551">+(P279*AD279)+(P282*AD282)+(P284*AD284)</f>
        <v>1</v>
      </c>
      <c r="Q278" s="885">
        <f t="shared" si="551"/>
        <v>0.97836000000000001</v>
      </c>
      <c r="R278" s="885">
        <f t="shared" si="551"/>
        <v>0.99282000000000004</v>
      </c>
      <c r="S278" s="1132"/>
      <c r="T278" s="1132"/>
      <c r="U278" s="883"/>
      <c r="V278" s="883"/>
      <c r="W278" s="883"/>
      <c r="X278" s="1132"/>
      <c r="Y278" s="1133"/>
      <c r="Z278" s="886">
        <f>SUM(H278:M278)</f>
        <v>0</v>
      </c>
      <c r="AA278" s="885">
        <f>+(AA279*AB279)+(AA282*AB282)+(AA284*AB284)</f>
        <v>0.99294500000000008</v>
      </c>
      <c r="AB278" s="885">
        <v>0.1</v>
      </c>
      <c r="AC278" s="885">
        <v>0.1</v>
      </c>
      <c r="AD278" s="885">
        <v>0.1</v>
      </c>
      <c r="AE278" s="885">
        <v>0.1</v>
      </c>
      <c r="AF278" s="885">
        <v>0.1</v>
      </c>
      <c r="AG278" s="883">
        <f>+AG279+AG282+AG284</f>
        <v>630000000</v>
      </c>
      <c r="AH278" s="883">
        <f>+AH279+AH282+AH284</f>
        <v>591605825</v>
      </c>
      <c r="AI278" s="883">
        <f>+AI279+AI282+AI284</f>
        <v>635300006.66000009</v>
      </c>
      <c r="AJ278" s="883">
        <f>+AJ279+AJ282+AJ284</f>
        <v>704630138</v>
      </c>
      <c r="AK278" s="883">
        <f>+AK279+AK282+AK284</f>
        <v>630000000</v>
      </c>
      <c r="AL278" s="888">
        <f t="shared" si="530"/>
        <v>1</v>
      </c>
      <c r="AM278" s="883">
        <f>+AM279+AM282+AM284</f>
        <v>393646071</v>
      </c>
      <c r="AN278" s="883">
        <f>+AN279+AN282+AN284</f>
        <v>609235528</v>
      </c>
      <c r="AO278" s="883">
        <f>+AO279+AO282+AO284</f>
        <v>693090185</v>
      </c>
      <c r="AP278" s="883">
        <f>+AP279+AP282+AP284</f>
        <v>625371238.35000002</v>
      </c>
      <c r="AQ278" s="890">
        <f t="shared" si="531"/>
        <v>0.99265275928571428</v>
      </c>
      <c r="AR278" s="883">
        <f t="shared" ref="AR278:AX278" si="552">+AR279+AR282+AR284</f>
        <v>11539953</v>
      </c>
      <c r="AS278" s="883">
        <f t="shared" si="552"/>
        <v>197959754</v>
      </c>
      <c r="AT278" s="883">
        <f t="shared" si="552"/>
        <v>160182330</v>
      </c>
      <c r="AU278" s="883">
        <f t="shared" si="552"/>
        <v>26064478.66</v>
      </c>
      <c r="AV278" s="883">
        <f t="shared" si="552"/>
        <v>21146435</v>
      </c>
      <c r="AW278" s="883">
        <f t="shared" si="552"/>
        <v>11539953</v>
      </c>
      <c r="AX278" s="883">
        <f t="shared" si="552"/>
        <v>11253228</v>
      </c>
      <c r="AY278" s="891">
        <f t="shared" si="523"/>
        <v>0.97515371163123454</v>
      </c>
      <c r="AZ278" s="883">
        <f t="shared" ref="AZ278" si="553">+AZ279+AZ282+AZ284</f>
        <v>2601919050</v>
      </c>
      <c r="BA278" s="883">
        <f t="shared" si="533"/>
        <v>2561535969.6599998</v>
      </c>
      <c r="BB278" s="885">
        <f t="shared" si="534"/>
        <v>0.98447950164321973</v>
      </c>
      <c r="BC278" s="967">
        <f t="shared" si="535"/>
        <v>2513925015.3499999</v>
      </c>
      <c r="BD278" s="885">
        <f t="shared" si="536"/>
        <v>0.96618110211768493</v>
      </c>
      <c r="BE278" s="883"/>
      <c r="BF278" s="883" t="s">
        <v>1700</v>
      </c>
      <c r="BG278" s="883"/>
      <c r="BH278" s="883"/>
      <c r="BI278" s="892" t="s">
        <v>2081</v>
      </c>
    </row>
    <row r="279" spans="1:61" s="865" customFormat="1" ht="47.4" customHeight="1">
      <c r="A279" s="893" t="s">
        <v>2548</v>
      </c>
      <c r="B279" s="894"/>
      <c r="C279" s="894"/>
      <c r="D279" s="895"/>
      <c r="E279" s="895"/>
      <c r="F279" s="895"/>
      <c r="G279" s="895"/>
      <c r="H279" s="895"/>
      <c r="I279" s="895"/>
      <c r="J279" s="895"/>
      <c r="K279" s="895"/>
      <c r="L279" s="895"/>
      <c r="M279" s="895"/>
      <c r="N279" s="895"/>
      <c r="O279" s="896">
        <f>+SUMPRODUCT(O280:O281,AC280:AC281)</f>
        <v>1</v>
      </c>
      <c r="P279" s="896">
        <f t="shared" ref="P279:R279" si="554">+SUMPRODUCT(P280:P281,AD280:AD281)</f>
        <v>1</v>
      </c>
      <c r="Q279" s="896">
        <f t="shared" si="554"/>
        <v>1</v>
      </c>
      <c r="R279" s="896">
        <f t="shared" si="554"/>
        <v>1</v>
      </c>
      <c r="S279" s="1134"/>
      <c r="T279" s="1134"/>
      <c r="U279" s="894"/>
      <c r="V279" s="894"/>
      <c r="W279" s="894"/>
      <c r="X279" s="1134"/>
      <c r="Y279" s="1059"/>
      <c r="Z279" s="897">
        <f>SUM(H279:M279)</f>
        <v>0</v>
      </c>
      <c r="AA279" s="896">
        <f>+SUMPRODUCT(AA280:AA281,AB280:AB281)</f>
        <v>1</v>
      </c>
      <c r="AB279" s="896">
        <v>0.4</v>
      </c>
      <c r="AC279" s="896">
        <v>0.4</v>
      </c>
      <c r="AD279" s="896">
        <v>0.4</v>
      </c>
      <c r="AE279" s="896">
        <v>0.4</v>
      </c>
      <c r="AF279" s="896">
        <v>0.4</v>
      </c>
      <c r="AG279" s="894">
        <f>SUM(AG280:AG281)</f>
        <v>300000000</v>
      </c>
      <c r="AH279" s="894">
        <f>SUM(AH280:AH281)</f>
        <v>296655825</v>
      </c>
      <c r="AI279" s="894">
        <f>SUM(AI280:AI281)</f>
        <v>276893920</v>
      </c>
      <c r="AJ279" s="894">
        <f>SUM(AJ280:AJ281)</f>
        <v>324832028</v>
      </c>
      <c r="AK279" s="894">
        <f>SUM(AK280:AK281)</f>
        <v>300000000</v>
      </c>
      <c r="AL279" s="900">
        <f t="shared" si="530"/>
        <v>1</v>
      </c>
      <c r="AM279" s="894">
        <f>SUM(AM280:AM281)</f>
        <v>193096071</v>
      </c>
      <c r="AN279" s="894">
        <f>SUM(AN280:AN281)</f>
        <v>266622752</v>
      </c>
      <c r="AO279" s="894">
        <f>SUM(AO280:AO281)</f>
        <v>319554566</v>
      </c>
      <c r="AP279" s="894">
        <f>SUM(AP280:AP281)</f>
        <v>297962806.35000002</v>
      </c>
      <c r="AQ279" s="901">
        <f t="shared" si="531"/>
        <v>0.99320935450000003</v>
      </c>
      <c r="AR279" s="902">
        <f t="shared" ref="AR279:AX279" si="555">SUM(AR280:AR281)</f>
        <v>5277462</v>
      </c>
      <c r="AS279" s="894">
        <f t="shared" si="555"/>
        <v>103559754</v>
      </c>
      <c r="AT279" s="894">
        <f t="shared" si="555"/>
        <v>95782330</v>
      </c>
      <c r="AU279" s="894">
        <f t="shared" si="555"/>
        <v>10271168</v>
      </c>
      <c r="AV279" s="894">
        <f t="shared" si="555"/>
        <v>8682472</v>
      </c>
      <c r="AW279" s="894">
        <f t="shared" si="555"/>
        <v>5277462</v>
      </c>
      <c r="AX279" s="894">
        <f t="shared" si="555"/>
        <v>5156523</v>
      </c>
      <c r="AY279" s="903">
        <f t="shared" si="523"/>
        <v>0.9770838709970816</v>
      </c>
      <c r="AZ279" s="894">
        <f t="shared" ref="AZ279" si="556">SUM(AZ280:AZ281)</f>
        <v>1226919050</v>
      </c>
      <c r="BA279" s="894">
        <f t="shared" si="533"/>
        <v>1198381773</v>
      </c>
      <c r="BB279" s="896">
        <f t="shared" si="534"/>
        <v>0.97674070102668953</v>
      </c>
      <c r="BC279" s="962">
        <f t="shared" si="535"/>
        <v>1186857520.3499999</v>
      </c>
      <c r="BD279" s="896">
        <f t="shared" si="536"/>
        <v>0.96734786239564863</v>
      </c>
      <c r="BE279" s="902"/>
      <c r="BF279" s="902"/>
      <c r="BG279" s="902"/>
      <c r="BH279" s="902"/>
    </row>
    <row r="280" spans="1:61" s="865" customFormat="1" ht="47.4" customHeight="1">
      <c r="A280" s="1176" t="s">
        <v>2549</v>
      </c>
      <c r="B280" s="937" t="s">
        <v>2550</v>
      </c>
      <c r="C280" s="905" t="s">
        <v>1054</v>
      </c>
      <c r="D280" s="1175">
        <v>1</v>
      </c>
      <c r="E280" s="1175">
        <v>1</v>
      </c>
      <c r="F280" s="1175">
        <v>1</v>
      </c>
      <c r="G280" s="1175">
        <v>1</v>
      </c>
      <c r="H280" s="1175">
        <v>1</v>
      </c>
      <c r="I280" s="908">
        <v>1</v>
      </c>
      <c r="J280" s="908">
        <v>1</v>
      </c>
      <c r="K280" s="908">
        <v>1</v>
      </c>
      <c r="L280" s="906"/>
      <c r="M280" s="906"/>
      <c r="N280" s="906"/>
      <c r="O280" s="908">
        <f t="shared" ref="O280:Q281" si="557">+IFERROR(IF((H280+L280)/D280&gt;=100%,100%,(H280+L280)/D280),0)</f>
        <v>1</v>
      </c>
      <c r="P280" s="930">
        <f t="shared" si="557"/>
        <v>1</v>
      </c>
      <c r="Q280" s="930">
        <f t="shared" si="557"/>
        <v>1</v>
      </c>
      <c r="R280" s="908">
        <f t="shared" ref="R280:R281" si="558">+IFERROR(IF(K280/G280&gt;=100%,100%,K280/G280),0)</f>
        <v>1</v>
      </c>
      <c r="S280" s="865" t="s">
        <v>2827</v>
      </c>
      <c r="T280" s="931">
        <v>45291</v>
      </c>
      <c r="U280" s="942"/>
      <c r="V280" s="942"/>
      <c r="W280" s="909"/>
      <c r="Y280" s="1211">
        <f t="shared" ref="Y280:Y281" si="559">SUM(D280:G280)</f>
        <v>4</v>
      </c>
      <c r="Z280" s="934">
        <f t="shared" ref="Z280:Z281" si="560">SUM(H280:N280)</f>
        <v>4</v>
      </c>
      <c r="AA280" s="983">
        <f t="shared" ref="AA280:AA281" si="561">IF(Z280/Y280&gt;=100%,100%,Z280/Y280)</f>
        <v>1</v>
      </c>
      <c r="AB280" s="1049">
        <v>0.8</v>
      </c>
      <c r="AC280" s="1049">
        <v>0.8</v>
      </c>
      <c r="AD280" s="1049">
        <v>0.8</v>
      </c>
      <c r="AE280" s="1056">
        <v>0.8</v>
      </c>
      <c r="AF280" s="1056">
        <v>0.8</v>
      </c>
      <c r="AG280" s="1219">
        <v>150000000</v>
      </c>
      <c r="AH280" s="1191">
        <f>199350000+47994825</f>
        <v>247344825</v>
      </c>
      <c r="AI280" s="1219">
        <v>138446960</v>
      </c>
      <c r="AJ280" s="1219">
        <v>184904170</v>
      </c>
      <c r="AK280" s="1219">
        <v>150000000</v>
      </c>
      <c r="AL280" s="982">
        <f t="shared" si="530"/>
        <v>1</v>
      </c>
      <c r="AM280" s="1191">
        <v>159996071</v>
      </c>
      <c r="AN280" s="1219">
        <v>133311376</v>
      </c>
      <c r="AO280" s="1219">
        <v>181801172</v>
      </c>
      <c r="AP280" s="1219">
        <v>148918063.34999999</v>
      </c>
      <c r="AQ280" s="983">
        <f t="shared" si="531"/>
        <v>0.99278708900000001</v>
      </c>
      <c r="AR280" s="915">
        <f t="shared" ref="AR280:AR281" si="562">+AJ280-AO280</f>
        <v>3102998</v>
      </c>
      <c r="AS280" s="1191">
        <f>28998754+58350000</f>
        <v>87348754</v>
      </c>
      <c r="AT280" s="1191">
        <f>25221330+54350000</f>
        <v>79571330</v>
      </c>
      <c r="AU280" s="1191">
        <v>5135584</v>
      </c>
      <c r="AV280" s="1191">
        <v>4341236</v>
      </c>
      <c r="AW280" s="1191">
        <v>3102998</v>
      </c>
      <c r="AX280" s="1191">
        <v>3008168</v>
      </c>
      <c r="AY280" s="984">
        <f t="shared" si="523"/>
        <v>0.96943923263888665</v>
      </c>
      <c r="AZ280" s="1028">
        <v>726919050</v>
      </c>
      <c r="BA280" s="957">
        <f t="shared" si="533"/>
        <v>720695955</v>
      </c>
      <c r="BB280" s="983">
        <f t="shared" si="534"/>
        <v>0.99143908114665591</v>
      </c>
      <c r="BC280" s="986">
        <f t="shared" si="535"/>
        <v>710947416.35000002</v>
      </c>
      <c r="BD280" s="930">
        <f t="shared" si="536"/>
        <v>0.97802831876534257</v>
      </c>
      <c r="BE280" s="987"/>
      <c r="BF280" s="926"/>
      <c r="BG280" s="910" t="s">
        <v>1701</v>
      </c>
      <c r="BH280" s="1180" t="s">
        <v>2118</v>
      </c>
    </row>
    <row r="281" spans="1:61" s="865" customFormat="1" ht="47.4" customHeight="1">
      <c r="A281" s="1176" t="s">
        <v>2551</v>
      </c>
      <c r="B281" s="937" t="s">
        <v>2552</v>
      </c>
      <c r="C281" s="937" t="s">
        <v>1054</v>
      </c>
      <c r="D281" s="1175">
        <v>0.5</v>
      </c>
      <c r="E281" s="1175">
        <v>1</v>
      </c>
      <c r="F281" s="1175">
        <v>0.5</v>
      </c>
      <c r="G281" s="1175">
        <v>1</v>
      </c>
      <c r="H281" s="1175">
        <v>0.5</v>
      </c>
      <c r="I281" s="908">
        <v>1</v>
      </c>
      <c r="J281" s="908">
        <v>0.5</v>
      </c>
      <c r="K281" s="908">
        <v>1</v>
      </c>
      <c r="L281" s="906"/>
      <c r="M281" s="906"/>
      <c r="N281" s="906"/>
      <c r="O281" s="908">
        <f t="shared" si="557"/>
        <v>1</v>
      </c>
      <c r="P281" s="930">
        <f t="shared" si="557"/>
        <v>1</v>
      </c>
      <c r="Q281" s="930">
        <f t="shared" si="557"/>
        <v>1</v>
      </c>
      <c r="R281" s="908">
        <f t="shared" si="558"/>
        <v>1</v>
      </c>
      <c r="S281" s="865" t="s">
        <v>2828</v>
      </c>
      <c r="T281" s="931">
        <v>45291</v>
      </c>
      <c r="U281" s="942"/>
      <c r="V281" s="942"/>
      <c r="W281" s="909"/>
      <c r="Y281" s="1211">
        <f t="shared" si="559"/>
        <v>3</v>
      </c>
      <c r="Z281" s="934">
        <f t="shared" si="560"/>
        <v>3</v>
      </c>
      <c r="AA281" s="983">
        <f t="shared" si="561"/>
        <v>1</v>
      </c>
      <c r="AB281" s="1049">
        <v>0.2</v>
      </c>
      <c r="AC281" s="1049">
        <v>0.2</v>
      </c>
      <c r="AD281" s="1049">
        <v>0.2</v>
      </c>
      <c r="AE281" s="1056">
        <v>0.2</v>
      </c>
      <c r="AF281" s="1056">
        <v>0.2</v>
      </c>
      <c r="AG281" s="1219">
        <v>150000000</v>
      </c>
      <c r="AH281" s="1191">
        <v>49311000</v>
      </c>
      <c r="AI281" s="1219">
        <v>138446960</v>
      </c>
      <c r="AJ281" s="1219">
        <v>139927858</v>
      </c>
      <c r="AK281" s="1219">
        <v>150000000</v>
      </c>
      <c r="AL281" s="982">
        <f t="shared" si="530"/>
        <v>1</v>
      </c>
      <c r="AM281" s="1191">
        <v>33100000</v>
      </c>
      <c r="AN281" s="1219">
        <v>133311376</v>
      </c>
      <c r="AO281" s="1219">
        <v>137753394</v>
      </c>
      <c r="AP281" s="1219">
        <v>149044743</v>
      </c>
      <c r="AQ281" s="983">
        <f t="shared" si="531"/>
        <v>0.99363162000000005</v>
      </c>
      <c r="AR281" s="915">
        <f t="shared" si="562"/>
        <v>2174464</v>
      </c>
      <c r="AS281" s="1191">
        <v>16211000</v>
      </c>
      <c r="AT281" s="1191">
        <v>16211000</v>
      </c>
      <c r="AU281" s="1191">
        <v>5135584</v>
      </c>
      <c r="AV281" s="1191">
        <v>4341236</v>
      </c>
      <c r="AW281" s="1191">
        <v>2174464</v>
      </c>
      <c r="AX281" s="1191">
        <v>2148355</v>
      </c>
      <c r="AY281" s="984">
        <f t="shared" si="523"/>
        <v>0.98799290307864374</v>
      </c>
      <c r="AZ281" s="1028">
        <v>500000000</v>
      </c>
      <c r="BA281" s="957">
        <f t="shared" si="533"/>
        <v>477685818</v>
      </c>
      <c r="BB281" s="930">
        <f t="shared" si="534"/>
        <v>0.95537163599999997</v>
      </c>
      <c r="BC281" s="986">
        <f t="shared" si="535"/>
        <v>475910104</v>
      </c>
      <c r="BD281" s="930">
        <f t="shared" si="536"/>
        <v>0.951820208</v>
      </c>
      <c r="BE281" s="987"/>
      <c r="BF281" s="926"/>
      <c r="BG281" s="910" t="s">
        <v>1701</v>
      </c>
      <c r="BH281" s="1180" t="s">
        <v>2118</v>
      </c>
    </row>
    <row r="282" spans="1:61" s="865" customFormat="1" ht="47.4" customHeight="1">
      <c r="A282" s="893" t="s">
        <v>2553</v>
      </c>
      <c r="B282" s="894"/>
      <c r="C282" s="894"/>
      <c r="D282" s="895"/>
      <c r="E282" s="895"/>
      <c r="F282" s="895"/>
      <c r="G282" s="895"/>
      <c r="H282" s="895"/>
      <c r="I282" s="895"/>
      <c r="J282" s="895"/>
      <c r="K282" s="895"/>
      <c r="L282" s="895"/>
      <c r="M282" s="895"/>
      <c r="N282" s="895"/>
      <c r="O282" s="896">
        <f>+O283*AC283</f>
        <v>1</v>
      </c>
      <c r="P282" s="896">
        <f t="shared" ref="P282:Q282" si="563">+P283*AD283</f>
        <v>1</v>
      </c>
      <c r="Q282" s="896">
        <f t="shared" si="563"/>
        <v>0.89180000000000004</v>
      </c>
      <c r="R282" s="896">
        <f>+R283*AF283</f>
        <v>0.96409999999999996</v>
      </c>
      <c r="S282" s="1134"/>
      <c r="T282" s="1134"/>
      <c r="U282" s="894"/>
      <c r="V282" s="894"/>
      <c r="W282" s="894"/>
      <c r="X282" s="1134"/>
      <c r="Y282" s="1059"/>
      <c r="Z282" s="897">
        <f>SUM(H282:M282)</f>
        <v>0</v>
      </c>
      <c r="AA282" s="896">
        <f>+SUMPRODUCT(AA283:AA283,AB283:AB283)</f>
        <v>0.96472500000000005</v>
      </c>
      <c r="AB282" s="896">
        <v>0.2</v>
      </c>
      <c r="AC282" s="896">
        <v>0.2</v>
      </c>
      <c r="AD282" s="896">
        <v>0.2</v>
      </c>
      <c r="AE282" s="896">
        <v>0.2</v>
      </c>
      <c r="AF282" s="896">
        <v>0.2</v>
      </c>
      <c r="AG282" s="894">
        <f>SUM(AG283)</f>
        <v>80000000</v>
      </c>
      <c r="AH282" s="894">
        <f>SUM(AH283)</f>
        <v>79200000</v>
      </c>
      <c r="AI282" s="894">
        <f>SUM(AI283)</f>
        <v>84068979</v>
      </c>
      <c r="AJ282" s="894">
        <f>SUM(AJ283)</f>
        <v>99948316</v>
      </c>
      <c r="AK282" s="894">
        <f>SUM(AK283)</f>
        <v>80000000</v>
      </c>
      <c r="AL282" s="900">
        <f t="shared" si="530"/>
        <v>1</v>
      </c>
      <c r="AM282" s="894">
        <f>SUM(AM283)</f>
        <v>63100000</v>
      </c>
      <c r="AN282" s="894">
        <f>SUM(AN283)</f>
        <v>80987179</v>
      </c>
      <c r="AO282" s="894">
        <f>SUM(AO283)</f>
        <v>98274789</v>
      </c>
      <c r="AP282" s="894">
        <f>SUM(AP283)</f>
        <v>79490529</v>
      </c>
      <c r="AQ282" s="901">
        <f t="shared" si="531"/>
        <v>0.99363161249999998</v>
      </c>
      <c r="AR282" s="902">
        <f t="shared" ref="AR282:AX282" si="564">SUM(AR283)</f>
        <v>1673527</v>
      </c>
      <c r="AS282" s="894">
        <f t="shared" si="564"/>
        <v>16100000</v>
      </c>
      <c r="AT282" s="894">
        <f t="shared" si="564"/>
        <v>16100000</v>
      </c>
      <c r="AU282" s="894">
        <f t="shared" si="564"/>
        <v>3081800</v>
      </c>
      <c r="AV282" s="894">
        <f t="shared" si="564"/>
        <v>2605226</v>
      </c>
      <c r="AW282" s="894">
        <f t="shared" si="564"/>
        <v>1673527</v>
      </c>
      <c r="AX282" s="894">
        <f t="shared" si="564"/>
        <v>1622383</v>
      </c>
      <c r="AY282" s="903">
        <f t="shared" si="523"/>
        <v>0.96943939356819464</v>
      </c>
      <c r="AZ282" s="894">
        <f t="shared" ref="AZ282" si="565">SUM(AZ283)</f>
        <v>345000000</v>
      </c>
      <c r="BA282" s="894">
        <f t="shared" si="533"/>
        <v>343217295</v>
      </c>
      <c r="BB282" s="896">
        <f t="shared" si="534"/>
        <v>0.9948327391304348</v>
      </c>
      <c r="BC282" s="962">
        <f t="shared" si="535"/>
        <v>342180106</v>
      </c>
      <c r="BD282" s="896">
        <f t="shared" si="536"/>
        <v>0.99182639420289853</v>
      </c>
      <c r="BE282" s="902"/>
      <c r="BF282" s="902"/>
      <c r="BG282" s="902"/>
      <c r="BH282" s="902"/>
      <c r="BI282" s="865" t="s">
        <v>2081</v>
      </c>
    </row>
    <row r="283" spans="1:61" s="865" customFormat="1" ht="47.4" customHeight="1">
      <c r="A283" s="1187" t="s">
        <v>2554</v>
      </c>
      <c r="B283" s="1188" t="s">
        <v>2555</v>
      </c>
      <c r="C283" s="905" t="s">
        <v>1054</v>
      </c>
      <c r="D283" s="1175">
        <v>1</v>
      </c>
      <c r="E283" s="1175">
        <v>1</v>
      </c>
      <c r="F283" s="1175">
        <v>1</v>
      </c>
      <c r="G283" s="1175">
        <v>1</v>
      </c>
      <c r="H283" s="1175">
        <v>0.88</v>
      </c>
      <c r="I283" s="908">
        <v>0.91300000000000003</v>
      </c>
      <c r="J283" s="928">
        <v>0.89180000000000004</v>
      </c>
      <c r="K283" s="928">
        <v>0.96409999999999996</v>
      </c>
      <c r="L283" s="908">
        <v>0.12</v>
      </c>
      <c r="M283" s="908">
        <v>0.09</v>
      </c>
      <c r="N283" s="908"/>
      <c r="O283" s="908">
        <f>+IFERROR(IF((H283+L283)/D283&gt;=100%,100%,(H283+L283)/D283),0)</f>
        <v>1</v>
      </c>
      <c r="P283" s="930">
        <f>+IFERROR(IF((I283+M283)/E283&gt;=100%,100%,(I283+M283)/E283),0)</f>
        <v>1</v>
      </c>
      <c r="Q283" s="930">
        <f>+IFERROR(IF((J283+N283)/F283&gt;=100%,100%,(J283+N283)/F283),0)</f>
        <v>0.89180000000000004</v>
      </c>
      <c r="R283" s="908">
        <f>+IFERROR(IF(K283/G283&gt;=100%,100%,K283/G283),0)</f>
        <v>0.96409999999999996</v>
      </c>
      <c r="S283" s="865" t="s">
        <v>2829</v>
      </c>
      <c r="T283" s="931">
        <v>45291</v>
      </c>
      <c r="U283" s="942" t="s">
        <v>2092</v>
      </c>
      <c r="V283" s="942"/>
      <c r="W283" s="909" t="s">
        <v>2830</v>
      </c>
      <c r="X283" s="933" t="s">
        <v>2556</v>
      </c>
      <c r="Y283" s="1211">
        <f t="shared" ref="Y283" si="566">SUM(D283:G283)</f>
        <v>4</v>
      </c>
      <c r="Z283" s="934">
        <f t="shared" ref="Z283" si="567">SUM(H283:N283)</f>
        <v>3.8589000000000002</v>
      </c>
      <c r="AA283" s="983">
        <f t="shared" ref="AA283" si="568">IF(Z283/Y283&gt;=100%,100%,Z283/Y283)</f>
        <v>0.96472500000000005</v>
      </c>
      <c r="AB283" s="1211">
        <v>1</v>
      </c>
      <c r="AC283" s="1211">
        <v>1</v>
      </c>
      <c r="AD283" s="1211">
        <v>1</v>
      </c>
      <c r="AE283" s="1211">
        <v>1</v>
      </c>
      <c r="AF283" s="1211">
        <v>1</v>
      </c>
      <c r="AG283" s="1191">
        <v>80000000</v>
      </c>
      <c r="AH283" s="1191">
        <v>79200000</v>
      </c>
      <c r="AI283" s="1191">
        <v>84068979</v>
      </c>
      <c r="AJ283" s="1191">
        <v>99948316</v>
      </c>
      <c r="AK283" s="1191">
        <v>80000000</v>
      </c>
      <c r="AL283" s="982">
        <f t="shared" si="530"/>
        <v>1</v>
      </c>
      <c r="AM283" s="1191">
        <v>63100000</v>
      </c>
      <c r="AN283" s="1191">
        <v>80987179</v>
      </c>
      <c r="AO283" s="1191">
        <v>98274789</v>
      </c>
      <c r="AP283" s="1191">
        <v>79490529</v>
      </c>
      <c r="AQ283" s="983">
        <f t="shared" si="531"/>
        <v>0.99363161249999998</v>
      </c>
      <c r="AR283" s="915">
        <f>+AJ283-AO283</f>
        <v>1673527</v>
      </c>
      <c r="AS283" s="1191">
        <v>16100000</v>
      </c>
      <c r="AT283" s="1191">
        <v>16100000</v>
      </c>
      <c r="AU283" s="1191">
        <v>3081800</v>
      </c>
      <c r="AV283" s="1191">
        <v>2605226</v>
      </c>
      <c r="AW283" s="1191">
        <v>1673527</v>
      </c>
      <c r="AX283" s="1191">
        <v>1622383</v>
      </c>
      <c r="AY283" s="984">
        <f t="shared" si="523"/>
        <v>0.96943939356819464</v>
      </c>
      <c r="AZ283" s="1028">
        <v>345000000</v>
      </c>
      <c r="BA283" s="957">
        <f t="shared" si="533"/>
        <v>343217295</v>
      </c>
      <c r="BB283" s="930">
        <f t="shared" si="534"/>
        <v>0.9948327391304348</v>
      </c>
      <c r="BC283" s="986">
        <f t="shared" si="535"/>
        <v>342180106</v>
      </c>
      <c r="BD283" s="930">
        <f t="shared" si="536"/>
        <v>0.99182639420289853</v>
      </c>
      <c r="BE283" s="987"/>
      <c r="BF283" s="926"/>
      <c r="BG283" s="910" t="s">
        <v>1701</v>
      </c>
      <c r="BH283" s="1192" t="s">
        <v>2534</v>
      </c>
      <c r="BI283" s="865" t="s">
        <v>2081</v>
      </c>
    </row>
    <row r="284" spans="1:61" s="865" customFormat="1" ht="47.4" customHeight="1">
      <c r="A284" s="893" t="s">
        <v>2557</v>
      </c>
      <c r="B284" s="894"/>
      <c r="C284" s="894"/>
      <c r="D284" s="895"/>
      <c r="E284" s="895"/>
      <c r="F284" s="895"/>
      <c r="G284" s="895"/>
      <c r="H284" s="895"/>
      <c r="I284" s="895"/>
      <c r="J284" s="895"/>
      <c r="K284" s="895"/>
      <c r="L284" s="895"/>
      <c r="M284" s="895"/>
      <c r="N284" s="895"/>
      <c r="O284" s="896">
        <f>+O285*AC285</f>
        <v>1</v>
      </c>
      <c r="P284" s="896">
        <f t="shared" ref="P284:R284" si="569">+P285*AD285</f>
        <v>1</v>
      </c>
      <c r="Q284" s="896">
        <f t="shared" si="569"/>
        <v>1</v>
      </c>
      <c r="R284" s="896">
        <f t="shared" si="569"/>
        <v>1</v>
      </c>
      <c r="S284" s="1134"/>
      <c r="T284" s="1134"/>
      <c r="U284" s="894"/>
      <c r="V284" s="894"/>
      <c r="W284" s="894"/>
      <c r="X284" s="1134"/>
      <c r="Y284" s="1059"/>
      <c r="Z284" s="897">
        <f>SUM(H284:M284)</f>
        <v>0</v>
      </c>
      <c r="AA284" s="896">
        <f>+SUMPRODUCT(AA285:AA285,AB285:AB285)</f>
        <v>1</v>
      </c>
      <c r="AB284" s="896">
        <v>0.4</v>
      </c>
      <c r="AC284" s="896">
        <v>0.4</v>
      </c>
      <c r="AD284" s="896">
        <v>0.4</v>
      </c>
      <c r="AE284" s="896">
        <v>0.4</v>
      </c>
      <c r="AF284" s="896">
        <v>0.4</v>
      </c>
      <c r="AG284" s="894">
        <f>SUM(AG285)</f>
        <v>250000000</v>
      </c>
      <c r="AH284" s="894">
        <f>SUM(AH285)</f>
        <v>215750000</v>
      </c>
      <c r="AI284" s="894">
        <f>SUM(AI285)</f>
        <v>274337107.66000003</v>
      </c>
      <c r="AJ284" s="894">
        <f>SUM(AJ285)</f>
        <v>279849794</v>
      </c>
      <c r="AK284" s="894">
        <f>SUM(AK285)</f>
        <v>250000000</v>
      </c>
      <c r="AL284" s="900">
        <f t="shared" si="530"/>
        <v>1</v>
      </c>
      <c r="AM284" s="894">
        <f>SUM(AM285)</f>
        <v>137450000</v>
      </c>
      <c r="AN284" s="894">
        <f>SUM(AN285)</f>
        <v>261625597</v>
      </c>
      <c r="AO284" s="894">
        <f>SUM(AO285)</f>
        <v>275260830</v>
      </c>
      <c r="AP284" s="894">
        <f>SUM(AP285)</f>
        <v>247917903</v>
      </c>
      <c r="AQ284" s="901">
        <f t="shared" si="531"/>
        <v>0.99167161199999998</v>
      </c>
      <c r="AR284" s="902">
        <f t="shared" ref="AR284:AX284" si="570">SUM(AR285)</f>
        <v>4588964</v>
      </c>
      <c r="AS284" s="894">
        <f t="shared" si="570"/>
        <v>78300000</v>
      </c>
      <c r="AT284" s="894">
        <f t="shared" si="570"/>
        <v>48300000</v>
      </c>
      <c r="AU284" s="894">
        <f t="shared" si="570"/>
        <v>12711510.66</v>
      </c>
      <c r="AV284" s="894">
        <f t="shared" si="570"/>
        <v>9858737</v>
      </c>
      <c r="AW284" s="894">
        <f t="shared" si="570"/>
        <v>4588964</v>
      </c>
      <c r="AX284" s="894">
        <f t="shared" si="570"/>
        <v>4474322</v>
      </c>
      <c r="AY284" s="903">
        <f t="shared" si="523"/>
        <v>0.97501789074832579</v>
      </c>
      <c r="AZ284" s="894">
        <f>SUM(AZ285)</f>
        <v>1030000000</v>
      </c>
      <c r="BA284" s="894">
        <f t="shared" si="533"/>
        <v>1019936901.6600001</v>
      </c>
      <c r="BB284" s="896">
        <f t="shared" si="534"/>
        <v>0.99023000161165053</v>
      </c>
      <c r="BC284" s="962">
        <f t="shared" si="535"/>
        <v>984887389</v>
      </c>
      <c r="BD284" s="896">
        <f t="shared" si="536"/>
        <v>0.95620134854368932</v>
      </c>
      <c r="BE284" s="902"/>
      <c r="BF284" s="902"/>
      <c r="BG284" s="902"/>
      <c r="BH284" s="902"/>
    </row>
    <row r="285" spans="1:61" s="865" customFormat="1" ht="47.4" customHeight="1">
      <c r="A285" s="1176" t="s">
        <v>2558</v>
      </c>
      <c r="B285" s="937" t="s">
        <v>2559</v>
      </c>
      <c r="C285" s="905" t="s">
        <v>1054</v>
      </c>
      <c r="D285" s="1175">
        <v>1</v>
      </c>
      <c r="E285" s="1175">
        <v>1</v>
      </c>
      <c r="F285" s="1175">
        <v>1</v>
      </c>
      <c r="G285" s="1175">
        <v>1</v>
      </c>
      <c r="H285" s="1175">
        <v>1</v>
      </c>
      <c r="I285" s="908">
        <v>1</v>
      </c>
      <c r="J285" s="908">
        <v>1</v>
      </c>
      <c r="K285" s="908">
        <v>1</v>
      </c>
      <c r="L285" s="906"/>
      <c r="M285" s="906"/>
      <c r="N285" s="906"/>
      <c r="O285" s="908">
        <f>+IFERROR(IF((H285+L285)/D285&gt;=100%,100%,(H285+L285)/D285),0)</f>
        <v>1</v>
      </c>
      <c r="P285" s="930">
        <f>+IFERROR(IF((I285+M285)/E285&gt;=100%,100%,(I285+M285)/E285),0)</f>
        <v>1</v>
      </c>
      <c r="Q285" s="930">
        <f>+IFERROR(IF((J285+N285)/F285&gt;=100%,100%,(J285+N285)/F285),0)</f>
        <v>1</v>
      </c>
      <c r="R285" s="908">
        <f>+IFERROR(IF(K285/G285&gt;=100%,100%,K285/G285),0)</f>
        <v>1</v>
      </c>
      <c r="S285" s="865" t="s">
        <v>2831</v>
      </c>
      <c r="T285" s="931">
        <v>45291</v>
      </c>
      <c r="U285" s="942"/>
      <c r="V285" s="942"/>
      <c r="W285" s="909"/>
      <c r="X285" s="933"/>
      <c r="Y285" s="1211">
        <f t="shared" ref="Y285" si="571">SUM(D285:G285)</f>
        <v>4</v>
      </c>
      <c r="Z285" s="934">
        <f t="shared" ref="Z285" si="572">SUM(H285:N285)</f>
        <v>4</v>
      </c>
      <c r="AA285" s="983">
        <f t="shared" ref="AA285" si="573">IF(Z285/Y285&gt;=100%,100%,Z285/Y285)</f>
        <v>1</v>
      </c>
      <c r="AB285" s="1211">
        <v>1</v>
      </c>
      <c r="AC285" s="1211">
        <v>1</v>
      </c>
      <c r="AD285" s="1211">
        <v>1</v>
      </c>
      <c r="AE285" s="1211">
        <v>1</v>
      </c>
      <c r="AF285" s="1211">
        <v>1</v>
      </c>
      <c r="AG285" s="1179">
        <v>250000000</v>
      </c>
      <c r="AH285" s="1179">
        <v>215750000</v>
      </c>
      <c r="AI285" s="1179">
        <v>274337107.66000003</v>
      </c>
      <c r="AJ285" s="1179">
        <v>279849794</v>
      </c>
      <c r="AK285" s="1179">
        <v>250000000</v>
      </c>
      <c r="AL285" s="982">
        <f t="shared" si="530"/>
        <v>1</v>
      </c>
      <c r="AM285" s="1179">
        <v>137450000</v>
      </c>
      <c r="AN285" s="1179">
        <v>261625597</v>
      </c>
      <c r="AO285" s="1179">
        <v>275260830</v>
      </c>
      <c r="AP285" s="1179">
        <v>247917903</v>
      </c>
      <c r="AQ285" s="983">
        <f t="shared" si="531"/>
        <v>0.99167161199999998</v>
      </c>
      <c r="AR285" s="915">
        <f>+AJ285-AO285</f>
        <v>4588964</v>
      </c>
      <c r="AS285" s="1179">
        <v>78300000</v>
      </c>
      <c r="AT285" s="1179">
        <v>48300000</v>
      </c>
      <c r="AU285" s="1179">
        <v>12711510.66</v>
      </c>
      <c r="AV285" s="1179">
        <v>9858737</v>
      </c>
      <c r="AW285" s="1179">
        <v>4588964</v>
      </c>
      <c r="AX285" s="1179">
        <v>4474322</v>
      </c>
      <c r="AY285" s="984">
        <f t="shared" si="523"/>
        <v>0.97501789074832579</v>
      </c>
      <c r="AZ285" s="1028">
        <v>1030000000</v>
      </c>
      <c r="BA285" s="957">
        <f t="shared" si="533"/>
        <v>1019936901.6600001</v>
      </c>
      <c r="BB285" s="930">
        <f t="shared" si="534"/>
        <v>0.99023000161165053</v>
      </c>
      <c r="BC285" s="986">
        <f t="shared" si="535"/>
        <v>984887389</v>
      </c>
      <c r="BD285" s="930">
        <f t="shared" si="536"/>
        <v>0.95620134854368932</v>
      </c>
      <c r="BE285" s="926"/>
      <c r="BF285" s="926"/>
      <c r="BG285" s="910" t="s">
        <v>1701</v>
      </c>
      <c r="BH285" s="1180" t="s">
        <v>2118</v>
      </c>
    </row>
    <row r="286" spans="1:61" s="892" customFormat="1" ht="47.4" customHeight="1">
      <c r="A286" s="882" t="s">
        <v>2560</v>
      </c>
      <c r="B286" s="883"/>
      <c r="C286" s="883"/>
      <c r="D286" s="884"/>
      <c r="E286" s="884"/>
      <c r="F286" s="1065"/>
      <c r="G286" s="1065"/>
      <c r="H286" s="884"/>
      <c r="I286" s="884"/>
      <c r="J286" s="1065"/>
      <c r="K286" s="1065"/>
      <c r="L286" s="884"/>
      <c r="M286" s="884"/>
      <c r="N286" s="884"/>
      <c r="O286" s="885">
        <f>+(O287*AC287)+(O289*AC289)</f>
        <v>1</v>
      </c>
      <c r="P286" s="885">
        <f t="shared" ref="P286:R286" si="574">+(P287*AD287)+(P289*AD289)</f>
        <v>1</v>
      </c>
      <c r="Q286" s="885">
        <f t="shared" si="574"/>
        <v>0.98249999999999993</v>
      </c>
      <c r="R286" s="885">
        <f t="shared" si="574"/>
        <v>0.95</v>
      </c>
      <c r="S286" s="1132"/>
      <c r="T286" s="1132"/>
      <c r="U286" s="883"/>
      <c r="V286" s="883"/>
      <c r="W286" s="883"/>
      <c r="X286" s="1132"/>
      <c r="Y286" s="1133"/>
      <c r="Z286" s="886">
        <f>SUM(H286:M286)</f>
        <v>0</v>
      </c>
      <c r="AA286" s="885">
        <f>+(AA287*AB287)+(AA289*AB289)</f>
        <v>0.97167500000000018</v>
      </c>
      <c r="AB286" s="885">
        <v>0.1</v>
      </c>
      <c r="AC286" s="885">
        <v>0.1</v>
      </c>
      <c r="AD286" s="885">
        <v>0.1</v>
      </c>
      <c r="AE286" s="885">
        <v>0.1</v>
      </c>
      <c r="AF286" s="885">
        <v>0.1</v>
      </c>
      <c r="AG286" s="883">
        <f>+AG287+AG289</f>
        <v>1300000000</v>
      </c>
      <c r="AH286" s="883">
        <f>+AH287+AH289</f>
        <v>516510025</v>
      </c>
      <c r="AI286" s="883">
        <f>+AI287+AI289</f>
        <v>767376643.79999995</v>
      </c>
      <c r="AJ286" s="883">
        <f>+AJ287+AJ289</f>
        <v>1194059194.74</v>
      </c>
      <c r="AK286" s="883">
        <f>+AK287+AK289</f>
        <v>1282843946.6700001</v>
      </c>
      <c r="AL286" s="888">
        <f t="shared" si="530"/>
        <v>0.98680303590000007</v>
      </c>
      <c r="AM286" s="883">
        <f>+AM287+AM289</f>
        <v>462195502</v>
      </c>
      <c r="AN286" s="883">
        <f>+AN287+AN289</f>
        <v>342271445</v>
      </c>
      <c r="AO286" s="883">
        <f>+AO287+AO289</f>
        <v>1145881107.95</v>
      </c>
      <c r="AP286" s="883">
        <f>+AP287+AP289</f>
        <v>988783003.23000002</v>
      </c>
      <c r="AQ286" s="890">
        <f t="shared" si="531"/>
        <v>0.76060231017692315</v>
      </c>
      <c r="AR286" s="883">
        <f t="shared" ref="AR286:AX286" si="575">+AR287+AR289</f>
        <v>48178086.789999962</v>
      </c>
      <c r="AS286" s="883">
        <f t="shared" si="575"/>
        <v>54314523</v>
      </c>
      <c r="AT286" s="883">
        <f t="shared" si="575"/>
        <v>51321583</v>
      </c>
      <c r="AU286" s="883">
        <f t="shared" si="575"/>
        <v>425105198.80000001</v>
      </c>
      <c r="AV286" s="883">
        <f t="shared" si="575"/>
        <v>419514621.80000001</v>
      </c>
      <c r="AW286" s="883">
        <f t="shared" si="575"/>
        <v>48178086.790000007</v>
      </c>
      <c r="AX286" s="883">
        <f t="shared" si="575"/>
        <v>46707005.859999999</v>
      </c>
      <c r="AY286" s="891">
        <f t="shared" si="523"/>
        <v>0.96946576694894104</v>
      </c>
      <c r="AZ286" s="883">
        <f>+AZ287+AZ289</f>
        <v>4718666238</v>
      </c>
      <c r="BA286" s="883">
        <f t="shared" si="533"/>
        <v>3760789810.21</v>
      </c>
      <c r="BB286" s="1066">
        <f t="shared" si="534"/>
        <v>0.7970027165566187</v>
      </c>
      <c r="BC286" s="1186">
        <f t="shared" si="535"/>
        <v>3456674268.8400006</v>
      </c>
      <c r="BD286" s="1066">
        <f t="shared" si="536"/>
        <v>0.73255324587337356</v>
      </c>
      <c r="BE286" s="883"/>
      <c r="BF286" s="883" t="s">
        <v>1700</v>
      </c>
      <c r="BG286" s="883"/>
      <c r="BH286" s="883"/>
      <c r="BI286" s="892" t="s">
        <v>2081</v>
      </c>
    </row>
    <row r="287" spans="1:61" s="865" customFormat="1" ht="46.5" customHeight="1">
      <c r="A287" s="893" t="s">
        <v>2561</v>
      </c>
      <c r="B287" s="894"/>
      <c r="C287" s="894"/>
      <c r="D287" s="895"/>
      <c r="E287" s="895"/>
      <c r="F287" s="895"/>
      <c r="G287" s="895"/>
      <c r="H287" s="895"/>
      <c r="I287" s="895"/>
      <c r="J287" s="895"/>
      <c r="K287" s="895"/>
      <c r="L287" s="895"/>
      <c r="M287" s="895"/>
      <c r="N287" s="895"/>
      <c r="O287" s="896">
        <f>+O288*AC288</f>
        <v>0</v>
      </c>
      <c r="P287" s="896">
        <f t="shared" ref="P287:R287" si="576">+P288*AD288</f>
        <v>1</v>
      </c>
      <c r="Q287" s="896">
        <f t="shared" si="576"/>
        <v>0</v>
      </c>
      <c r="R287" s="896">
        <f t="shared" si="576"/>
        <v>0</v>
      </c>
      <c r="S287" s="1134"/>
      <c r="T287" s="1134"/>
      <c r="U287" s="894"/>
      <c r="V287" s="894"/>
      <c r="W287" s="894"/>
      <c r="X287" s="1134"/>
      <c r="Y287" s="1059"/>
      <c r="Z287" s="897">
        <f>SUM(H287:M287)</f>
        <v>0</v>
      </c>
      <c r="AA287" s="896">
        <f>+SUMPRODUCT(AA288:AA288,AB288:AB288)</f>
        <v>0.5</v>
      </c>
      <c r="AB287" s="896">
        <v>0.05</v>
      </c>
      <c r="AC287" s="896">
        <v>0</v>
      </c>
      <c r="AD287" s="896">
        <v>0.05</v>
      </c>
      <c r="AE287" s="896">
        <v>0</v>
      </c>
      <c r="AF287" s="896">
        <v>0.05</v>
      </c>
      <c r="AG287" s="894">
        <f>SUM(AG288)</f>
        <v>100000000</v>
      </c>
      <c r="AH287" s="894">
        <f>SUM(AH288)</f>
        <v>0</v>
      </c>
      <c r="AI287" s="894">
        <f>SUM(AI288)</f>
        <v>13303871</v>
      </c>
      <c r="AJ287" s="894">
        <f>SUM(AJ288)</f>
        <v>0</v>
      </c>
      <c r="AK287" s="894">
        <f>SUM(AK288)</f>
        <v>99956016</v>
      </c>
      <c r="AL287" s="900">
        <f t="shared" si="530"/>
        <v>0.99956016000000003</v>
      </c>
      <c r="AM287" s="894">
        <f>SUM(AM288)</f>
        <v>0</v>
      </c>
      <c r="AN287" s="894">
        <f>SUM(AN288)</f>
        <v>3262173</v>
      </c>
      <c r="AO287" s="894">
        <f>SUM(AO288)</f>
        <v>0</v>
      </c>
      <c r="AP287" s="894">
        <f>SUM(AP288)</f>
        <v>87370517</v>
      </c>
      <c r="AQ287" s="901">
        <f t="shared" si="531"/>
        <v>0.87370517000000003</v>
      </c>
      <c r="AR287" s="902">
        <f t="shared" ref="AR287:AX287" si="577">SUM(AR288)</f>
        <v>0</v>
      </c>
      <c r="AS287" s="894">
        <f t="shared" si="577"/>
        <v>0</v>
      </c>
      <c r="AT287" s="894">
        <f t="shared" si="577"/>
        <v>0</v>
      </c>
      <c r="AU287" s="894">
        <f t="shared" si="577"/>
        <v>10041698</v>
      </c>
      <c r="AV287" s="894">
        <f t="shared" si="577"/>
        <v>9285978</v>
      </c>
      <c r="AW287" s="894">
        <f t="shared" si="577"/>
        <v>0</v>
      </c>
      <c r="AX287" s="894">
        <f t="shared" si="577"/>
        <v>0</v>
      </c>
      <c r="AY287" s="903" t="e">
        <f t="shared" si="523"/>
        <v>#DIV/0!</v>
      </c>
      <c r="AZ287" s="894">
        <f>SUM(AZ288)</f>
        <v>190000000</v>
      </c>
      <c r="BA287" s="894">
        <f t="shared" si="533"/>
        <v>113259887</v>
      </c>
      <c r="BB287" s="896">
        <f t="shared" si="534"/>
        <v>0.59610466842105259</v>
      </c>
      <c r="BC287" s="962">
        <f t="shared" si="535"/>
        <v>99918668</v>
      </c>
      <c r="BD287" s="896">
        <f t="shared" si="536"/>
        <v>0.52588772631578951</v>
      </c>
      <c r="BE287" s="902"/>
      <c r="BF287" s="902"/>
      <c r="BG287" s="902"/>
      <c r="BH287" s="902"/>
      <c r="BI287" s="865" t="s">
        <v>2081</v>
      </c>
    </row>
    <row r="288" spans="1:61" s="865" customFormat="1" ht="47.4" customHeight="1">
      <c r="A288" s="1187" t="s">
        <v>2562</v>
      </c>
      <c r="B288" s="1188" t="s">
        <v>2563</v>
      </c>
      <c r="C288" s="937" t="s">
        <v>2086</v>
      </c>
      <c r="D288" s="1003">
        <v>0</v>
      </c>
      <c r="E288" s="1003">
        <v>1</v>
      </c>
      <c r="F288" s="1003">
        <v>0</v>
      </c>
      <c r="G288" s="1003">
        <v>1</v>
      </c>
      <c r="H288" s="906">
        <v>0</v>
      </c>
      <c r="I288" s="906">
        <v>0</v>
      </c>
      <c r="J288" s="906">
        <v>0</v>
      </c>
      <c r="K288" s="906">
        <v>0</v>
      </c>
      <c r="L288" s="906"/>
      <c r="M288" s="906">
        <v>1</v>
      </c>
      <c r="N288" s="906"/>
      <c r="O288" s="908">
        <f>+IFERROR(IF((H288+L288)/D288&gt;=100%,100%,(H288+L288)/D288),0)</f>
        <v>0</v>
      </c>
      <c r="P288" s="908">
        <f t="shared" ref="P288:R288" si="578">+IFERROR(IF((I288+M288)/E288&gt;=100%,100%,(I288+M288)/E288),0)</f>
        <v>1</v>
      </c>
      <c r="Q288" s="908">
        <f t="shared" si="578"/>
        <v>0</v>
      </c>
      <c r="R288" s="908">
        <f t="shared" si="578"/>
        <v>0</v>
      </c>
      <c r="S288" s="865" t="s">
        <v>2832</v>
      </c>
      <c r="T288" s="931">
        <v>45291</v>
      </c>
      <c r="U288" s="911"/>
      <c r="V288" s="869"/>
      <c r="W288" s="910"/>
      <c r="Y288" s="869">
        <f t="shared" ref="Y288" si="579">SUM(D288:G288)</f>
        <v>2</v>
      </c>
      <c r="Z288" s="913">
        <f t="shared" ref="Z288" si="580">SUM(H288:N288)</f>
        <v>1</v>
      </c>
      <c r="AA288" s="928">
        <f t="shared" ref="AA288" si="581">IF(Z288/Y288&gt;=100%,100%,Z288/Y288)</f>
        <v>0.5</v>
      </c>
      <c r="AB288" s="1211">
        <v>1</v>
      </c>
      <c r="AC288" s="1211">
        <v>0</v>
      </c>
      <c r="AD288" s="1211">
        <v>1</v>
      </c>
      <c r="AE288" s="1211">
        <v>0</v>
      </c>
      <c r="AF288" s="1211">
        <v>1</v>
      </c>
      <c r="AG288" s="1191">
        <v>100000000</v>
      </c>
      <c r="AH288" s="1191">
        <v>0</v>
      </c>
      <c r="AI288" s="1191">
        <v>13303871</v>
      </c>
      <c r="AJ288" s="1191">
        <v>0</v>
      </c>
      <c r="AK288" s="1191">
        <v>99956016</v>
      </c>
      <c r="AL288" s="982">
        <f t="shared" si="530"/>
        <v>0.99956016000000003</v>
      </c>
      <c r="AM288" s="1191">
        <v>0</v>
      </c>
      <c r="AN288" s="1191">
        <v>3262173</v>
      </c>
      <c r="AO288" s="1191">
        <v>0</v>
      </c>
      <c r="AP288" s="1191">
        <v>87370517</v>
      </c>
      <c r="AQ288" s="983">
        <f t="shared" si="531"/>
        <v>0.87370517000000003</v>
      </c>
      <c r="AR288" s="915">
        <f>+AJ288-AO288</f>
        <v>0</v>
      </c>
      <c r="AS288" s="1191">
        <v>0</v>
      </c>
      <c r="AT288" s="1191">
        <v>0</v>
      </c>
      <c r="AU288" s="1191">
        <v>10041698</v>
      </c>
      <c r="AV288" s="1191">
        <v>9285978</v>
      </c>
      <c r="AW288" s="1191"/>
      <c r="AX288" s="1191"/>
      <c r="AY288" s="984" t="e">
        <f t="shared" si="523"/>
        <v>#DIV/0!</v>
      </c>
      <c r="AZ288" s="1028">
        <v>190000000</v>
      </c>
      <c r="BA288" s="957">
        <f t="shared" si="533"/>
        <v>113259887</v>
      </c>
      <c r="BB288" s="930">
        <f t="shared" si="534"/>
        <v>0.59610466842105259</v>
      </c>
      <c r="BC288" s="986">
        <f t="shared" si="535"/>
        <v>99918668</v>
      </c>
      <c r="BD288" s="930">
        <f t="shared" si="536"/>
        <v>0.52588772631578951</v>
      </c>
      <c r="BE288" s="987"/>
      <c r="BF288" s="926"/>
      <c r="BG288" s="910" t="s">
        <v>1701</v>
      </c>
      <c r="BH288" s="1192" t="s">
        <v>2326</v>
      </c>
      <c r="BI288" s="865" t="s">
        <v>2081</v>
      </c>
    </row>
    <row r="289" spans="1:60" s="865" customFormat="1" ht="47.4" customHeight="1">
      <c r="A289" s="893" t="s">
        <v>2564</v>
      </c>
      <c r="B289" s="894"/>
      <c r="C289" s="894"/>
      <c r="D289" s="895"/>
      <c r="E289" s="895"/>
      <c r="F289" s="895"/>
      <c r="G289" s="895"/>
      <c r="H289" s="895"/>
      <c r="I289" s="895"/>
      <c r="J289" s="895"/>
      <c r="K289" s="895"/>
      <c r="L289" s="895"/>
      <c r="M289" s="895"/>
      <c r="N289" s="895"/>
      <c r="O289" s="896">
        <f>+SUMPRODUCT(O290:O292,AC290:AC292)</f>
        <v>1</v>
      </c>
      <c r="P289" s="896">
        <f t="shared" ref="P289:R289" si="582">+SUMPRODUCT(P290:P292,AD290:AD292)</f>
        <v>1</v>
      </c>
      <c r="Q289" s="896">
        <f t="shared" si="582"/>
        <v>0.98249999999999993</v>
      </c>
      <c r="R289" s="896">
        <f t="shared" si="582"/>
        <v>1</v>
      </c>
      <c r="S289" s="1134"/>
      <c r="T289" s="1134"/>
      <c r="U289" s="894"/>
      <c r="V289" s="894"/>
      <c r="W289" s="894"/>
      <c r="X289" s="1134"/>
      <c r="Y289" s="1059"/>
      <c r="Z289" s="897">
        <f>SUM(H289:M289)</f>
        <v>0</v>
      </c>
      <c r="AA289" s="896">
        <f>+SUMPRODUCT(AA290:AA292,AB290:AB292)</f>
        <v>0.99650000000000016</v>
      </c>
      <c r="AB289" s="896">
        <v>0.95</v>
      </c>
      <c r="AC289" s="896">
        <v>1</v>
      </c>
      <c r="AD289" s="896">
        <v>0.95</v>
      </c>
      <c r="AE289" s="896">
        <v>1</v>
      </c>
      <c r="AF289" s="896">
        <v>0.95</v>
      </c>
      <c r="AG289" s="894">
        <f>SUM(AG290:AG292)</f>
        <v>1200000000</v>
      </c>
      <c r="AH289" s="894">
        <f>SUM(AH290:AH292)</f>
        <v>516510025</v>
      </c>
      <c r="AI289" s="894">
        <f>SUM(AI290:AI292)</f>
        <v>754072772.79999995</v>
      </c>
      <c r="AJ289" s="894">
        <f>SUM(AJ290:AJ292)</f>
        <v>1194059194.74</v>
      </c>
      <c r="AK289" s="894">
        <f>SUM(AK290:AK292)</f>
        <v>1182887930.6700001</v>
      </c>
      <c r="AL289" s="900">
        <f t="shared" si="530"/>
        <v>0.98573994222500005</v>
      </c>
      <c r="AM289" s="894">
        <f>SUM(AM290:AM292)</f>
        <v>462195502</v>
      </c>
      <c r="AN289" s="894">
        <f>SUM(AN290:AN292)</f>
        <v>339009272</v>
      </c>
      <c r="AO289" s="894">
        <f>SUM(AO290:AO292)</f>
        <v>1145881107.95</v>
      </c>
      <c r="AP289" s="894">
        <f>SUM(AP290:AP292)</f>
        <v>901412486.23000002</v>
      </c>
      <c r="AQ289" s="901">
        <f t="shared" si="531"/>
        <v>0.75117707185833338</v>
      </c>
      <c r="AR289" s="902">
        <f t="shared" ref="AR289:AX289" si="583">SUM(AR290:AR292)</f>
        <v>48178086.789999962</v>
      </c>
      <c r="AS289" s="902">
        <f t="shared" si="583"/>
        <v>54314523</v>
      </c>
      <c r="AT289" s="902">
        <f t="shared" si="583"/>
        <v>51321583</v>
      </c>
      <c r="AU289" s="902">
        <f t="shared" si="583"/>
        <v>415063500.80000001</v>
      </c>
      <c r="AV289" s="902">
        <f t="shared" si="583"/>
        <v>410228643.80000001</v>
      </c>
      <c r="AW289" s="902">
        <f t="shared" si="583"/>
        <v>48178086.790000007</v>
      </c>
      <c r="AX289" s="902">
        <f t="shared" si="583"/>
        <v>46707005.859999999</v>
      </c>
      <c r="AY289" s="903">
        <f t="shared" si="523"/>
        <v>0.96946576694894104</v>
      </c>
      <c r="AZ289" s="894">
        <f t="shared" ref="AZ289" si="584">SUM(AZ290:AZ292)</f>
        <v>4528666238</v>
      </c>
      <c r="BA289" s="894">
        <f t="shared" si="533"/>
        <v>3647529923.21</v>
      </c>
      <c r="BB289" s="896">
        <f t="shared" si="534"/>
        <v>0.80543138564807615</v>
      </c>
      <c r="BC289" s="962">
        <f t="shared" si="535"/>
        <v>3356755600.8400006</v>
      </c>
      <c r="BD289" s="896">
        <f t="shared" si="536"/>
        <v>0.7412238889838012</v>
      </c>
      <c r="BE289" s="902"/>
      <c r="BF289" s="902"/>
      <c r="BG289" s="902"/>
      <c r="BH289" s="902"/>
    </row>
    <row r="290" spans="1:60" s="865" customFormat="1" ht="47.4" customHeight="1">
      <c r="A290" s="1199" t="s">
        <v>2565</v>
      </c>
      <c r="B290" s="1200" t="s">
        <v>2566</v>
      </c>
      <c r="C290" s="1200" t="s">
        <v>1054</v>
      </c>
      <c r="D290" s="1175">
        <v>1</v>
      </c>
      <c r="E290" s="1175">
        <v>1</v>
      </c>
      <c r="F290" s="1175">
        <v>1</v>
      </c>
      <c r="G290" s="1175">
        <v>1</v>
      </c>
      <c r="H290" s="1175">
        <v>0.78</v>
      </c>
      <c r="I290" s="908">
        <v>1</v>
      </c>
      <c r="J290" s="914">
        <v>0.96499999999999997</v>
      </c>
      <c r="K290" s="914">
        <v>1</v>
      </c>
      <c r="L290" s="908">
        <v>0.22</v>
      </c>
      <c r="M290" s="908"/>
      <c r="N290" s="908"/>
      <c r="O290" s="908">
        <f t="shared" ref="O290:Q292" si="585">+IFERROR(IF((H290+L290)/D290&gt;=100%,100%,(H290+L290)/D290),0)</f>
        <v>1</v>
      </c>
      <c r="P290" s="930">
        <f t="shared" si="585"/>
        <v>1</v>
      </c>
      <c r="Q290" s="930">
        <f t="shared" si="585"/>
        <v>0.96499999999999997</v>
      </c>
      <c r="R290" s="908">
        <f t="shared" ref="R290:R292" si="586">+IFERROR(IF(K290/G290&gt;=100%,100%,K290/G290),0)</f>
        <v>1</v>
      </c>
      <c r="S290" s="1154" t="s">
        <v>2833</v>
      </c>
      <c r="T290" s="931">
        <v>45291</v>
      </c>
      <c r="U290" s="942" t="s">
        <v>2092</v>
      </c>
      <c r="V290" s="942"/>
      <c r="W290" s="909" t="s">
        <v>2683</v>
      </c>
      <c r="X290" s="933" t="s">
        <v>2567</v>
      </c>
      <c r="Y290" s="1221">
        <f t="shared" ref="Y290:Y292" si="587">SUM(D290:G290)</f>
        <v>4</v>
      </c>
      <c r="Z290" s="934">
        <f t="shared" ref="Z290:Z292" si="588">SUM(H290:N290)</f>
        <v>3.9650000000000003</v>
      </c>
      <c r="AA290" s="983">
        <f t="shared" ref="AA290:AA292" si="589">IF(Z290/Y290&gt;=100%,100%,Z290/Y290)</f>
        <v>0.99125000000000008</v>
      </c>
      <c r="AB290" s="1228">
        <v>0.4</v>
      </c>
      <c r="AC290" s="1228">
        <v>0.5</v>
      </c>
      <c r="AD290" s="1228">
        <v>0.4</v>
      </c>
      <c r="AE290" s="1228">
        <v>0.5</v>
      </c>
      <c r="AF290" s="1228">
        <v>0.5</v>
      </c>
      <c r="AG290" s="1201">
        <v>340000000</v>
      </c>
      <c r="AH290" s="1201">
        <f>51250000+465260025</f>
        <v>516510025</v>
      </c>
      <c r="AI290" s="1201">
        <v>163961645</v>
      </c>
      <c r="AJ290" s="1201">
        <v>596890161.70000005</v>
      </c>
      <c r="AK290" s="1201">
        <v>337713448.13999999</v>
      </c>
      <c r="AL290" s="982">
        <f t="shared" si="530"/>
        <v>0.99327484747058814</v>
      </c>
      <c r="AM290" s="1201">
        <v>462195502</v>
      </c>
      <c r="AN290" s="1201">
        <v>132837706</v>
      </c>
      <c r="AO290" s="1201">
        <v>592985606</v>
      </c>
      <c r="AP290" s="1201">
        <v>272768969.60000002</v>
      </c>
      <c r="AQ290" s="983">
        <f t="shared" si="531"/>
        <v>0.80226167529411774</v>
      </c>
      <c r="AR290" s="915">
        <f t="shared" ref="AR290:AR292" si="590">+AJ290-AO290</f>
        <v>3904555.7000000477</v>
      </c>
      <c r="AS290" s="1201">
        <f>38664523+15650000</f>
        <v>54314523</v>
      </c>
      <c r="AT290" s="1201">
        <f>35671583+15650000</f>
        <v>51321583</v>
      </c>
      <c r="AU290" s="1201">
        <v>31123939</v>
      </c>
      <c r="AV290" s="1201">
        <v>29864543</v>
      </c>
      <c r="AW290" s="1201">
        <v>3904555.7</v>
      </c>
      <c r="AX290" s="1201">
        <v>3904555</v>
      </c>
      <c r="AY290" s="984">
        <f t="shared" si="523"/>
        <v>0.99999982072223992</v>
      </c>
      <c r="AZ290" s="1028">
        <v>1818666238</v>
      </c>
      <c r="BA290" s="957">
        <f t="shared" si="533"/>
        <v>1615075279.8400002</v>
      </c>
      <c r="BB290" s="983">
        <f t="shared" si="534"/>
        <v>0.8880547986727404</v>
      </c>
      <c r="BC290" s="986">
        <f t="shared" si="535"/>
        <v>1545878464.5999999</v>
      </c>
      <c r="BD290" s="930">
        <f t="shared" si="536"/>
        <v>0.85000668748324781</v>
      </c>
      <c r="BE290" s="987"/>
      <c r="BF290" s="926"/>
      <c r="BG290" s="910" t="s">
        <v>1701</v>
      </c>
      <c r="BH290" s="1202" t="s">
        <v>2118</v>
      </c>
    </row>
    <row r="291" spans="1:60" s="865" customFormat="1" ht="47.4" customHeight="1">
      <c r="A291" s="1199" t="s">
        <v>2568</v>
      </c>
      <c r="B291" s="1200" t="s">
        <v>2569</v>
      </c>
      <c r="C291" s="1200" t="s">
        <v>1054</v>
      </c>
      <c r="D291" s="1175">
        <v>1</v>
      </c>
      <c r="E291" s="1175">
        <v>1</v>
      </c>
      <c r="F291" s="1175">
        <v>1</v>
      </c>
      <c r="G291" s="1175">
        <v>1</v>
      </c>
      <c r="H291" s="1175">
        <v>0.93</v>
      </c>
      <c r="I291" s="908">
        <v>1</v>
      </c>
      <c r="J291" s="908">
        <v>1</v>
      </c>
      <c r="K291" s="908">
        <v>1</v>
      </c>
      <c r="L291" s="908">
        <v>7.0000000000000007E-2</v>
      </c>
      <c r="M291" s="908"/>
      <c r="N291" s="908"/>
      <c r="O291" s="908">
        <f t="shared" si="585"/>
        <v>1</v>
      </c>
      <c r="P291" s="930">
        <f t="shared" si="585"/>
        <v>1</v>
      </c>
      <c r="Q291" s="930">
        <f t="shared" si="585"/>
        <v>1</v>
      </c>
      <c r="R291" s="908">
        <f t="shared" si="586"/>
        <v>1</v>
      </c>
      <c r="S291" s="1154" t="s">
        <v>2834</v>
      </c>
      <c r="T291" s="931">
        <v>45291</v>
      </c>
      <c r="U291" s="942"/>
      <c r="V291" s="942"/>
      <c r="W291" s="909"/>
      <c r="X291" s="933"/>
      <c r="Y291" s="1221">
        <f t="shared" si="587"/>
        <v>4</v>
      </c>
      <c r="Z291" s="934">
        <f t="shared" si="588"/>
        <v>4</v>
      </c>
      <c r="AA291" s="983">
        <f t="shared" si="589"/>
        <v>1</v>
      </c>
      <c r="AB291" s="1228">
        <v>0.4</v>
      </c>
      <c r="AC291" s="1228">
        <v>0.5</v>
      </c>
      <c r="AD291" s="1228">
        <v>0.4</v>
      </c>
      <c r="AE291" s="1228">
        <v>0.5</v>
      </c>
      <c r="AF291" s="1228">
        <v>0.5</v>
      </c>
      <c r="AG291" s="1201">
        <v>860000000</v>
      </c>
      <c r="AH291" s="1201">
        <v>0</v>
      </c>
      <c r="AI291" s="1201">
        <v>590111127.79999995</v>
      </c>
      <c r="AJ291" s="1201">
        <v>597169033.03999996</v>
      </c>
      <c r="AK291" s="1201">
        <v>845174482.52999997</v>
      </c>
      <c r="AL291" s="982">
        <f t="shared" si="530"/>
        <v>0.98276102619767436</v>
      </c>
      <c r="AM291" s="1201">
        <v>0</v>
      </c>
      <c r="AN291" s="1201">
        <v>206171566</v>
      </c>
      <c r="AO291" s="1201">
        <v>552895501.95000005</v>
      </c>
      <c r="AP291" s="1201">
        <v>628643516.63</v>
      </c>
      <c r="AQ291" s="983">
        <f t="shared" si="531"/>
        <v>0.73098083329069763</v>
      </c>
      <c r="AR291" s="915">
        <f t="shared" si="590"/>
        <v>44273531.089999914</v>
      </c>
      <c r="AS291" s="1201">
        <v>0</v>
      </c>
      <c r="AT291" s="1201">
        <v>0</v>
      </c>
      <c r="AU291" s="1201">
        <v>383939561.80000001</v>
      </c>
      <c r="AV291" s="1201">
        <v>380364100.80000001</v>
      </c>
      <c r="AW291" s="1201">
        <v>44273531.090000004</v>
      </c>
      <c r="AX291" s="1201">
        <v>42802450.859999999</v>
      </c>
      <c r="AY291" s="984">
        <f t="shared" si="523"/>
        <v>0.96677291840559165</v>
      </c>
      <c r="AZ291" s="1028">
        <v>2710000000</v>
      </c>
      <c r="BA291" s="957">
        <f t="shared" si="533"/>
        <v>2032454643.3699999</v>
      </c>
      <c r="BB291" s="930">
        <f t="shared" si="534"/>
        <v>0.74998326323616227</v>
      </c>
      <c r="BC291" s="986">
        <f t="shared" si="535"/>
        <v>1810877136.2399998</v>
      </c>
      <c r="BD291" s="930">
        <f t="shared" si="536"/>
        <v>0.66822034547601472</v>
      </c>
      <c r="BE291" s="987"/>
      <c r="BF291" s="926"/>
      <c r="BG291" s="910" t="s">
        <v>1701</v>
      </c>
      <c r="BH291" s="1202" t="s">
        <v>2118</v>
      </c>
    </row>
    <row r="292" spans="1:60" s="865" customFormat="1" ht="67.5" customHeight="1">
      <c r="A292" s="1199" t="s">
        <v>2570</v>
      </c>
      <c r="B292" s="1200" t="s">
        <v>2571</v>
      </c>
      <c r="C292" s="937" t="s">
        <v>2086</v>
      </c>
      <c r="D292" s="1229">
        <v>0</v>
      </c>
      <c r="E292" s="1229">
        <v>4</v>
      </c>
      <c r="F292" s="1229">
        <v>0</v>
      </c>
      <c r="G292" s="1229">
        <v>0</v>
      </c>
      <c r="H292" s="1229">
        <v>0</v>
      </c>
      <c r="I292" s="906">
        <v>4</v>
      </c>
      <c r="J292" s="906">
        <v>0</v>
      </c>
      <c r="K292" s="906"/>
      <c r="L292" s="906"/>
      <c r="M292" s="906"/>
      <c r="N292" s="906"/>
      <c r="O292" s="908">
        <f t="shared" si="585"/>
        <v>0</v>
      </c>
      <c r="P292" s="930">
        <f t="shared" si="585"/>
        <v>1</v>
      </c>
      <c r="Q292" s="908">
        <f t="shared" si="585"/>
        <v>0</v>
      </c>
      <c r="R292" s="908">
        <f t="shared" si="586"/>
        <v>0</v>
      </c>
      <c r="S292" s="1154"/>
      <c r="T292" s="1154"/>
      <c r="U292" s="941"/>
      <c r="V292" s="942"/>
      <c r="W292" s="909"/>
      <c r="X292" s="1154"/>
      <c r="Y292" s="1229">
        <f t="shared" si="587"/>
        <v>4</v>
      </c>
      <c r="Z292" s="913">
        <f t="shared" si="588"/>
        <v>4</v>
      </c>
      <c r="AA292" s="983">
        <f t="shared" si="589"/>
        <v>1</v>
      </c>
      <c r="AB292" s="1228">
        <v>0.2</v>
      </c>
      <c r="AC292" s="1228">
        <v>0</v>
      </c>
      <c r="AD292" s="1228">
        <v>0.2</v>
      </c>
      <c r="AE292" s="1228">
        <v>0</v>
      </c>
      <c r="AF292" s="1228">
        <v>0</v>
      </c>
      <c r="AG292" s="1201">
        <v>0</v>
      </c>
      <c r="AH292" s="1201">
        <v>0</v>
      </c>
      <c r="AI292" s="1201"/>
      <c r="AJ292" s="1201"/>
      <c r="AK292" s="1201">
        <v>0</v>
      </c>
      <c r="AL292" s="982" t="e">
        <f t="shared" si="530"/>
        <v>#DIV/0!</v>
      </c>
      <c r="AM292" s="1201">
        <v>0</v>
      </c>
      <c r="AN292" s="1119"/>
      <c r="AO292" s="1119"/>
      <c r="AP292" s="1119"/>
      <c r="AQ292" s="983" t="e">
        <f t="shared" si="531"/>
        <v>#DIV/0!</v>
      </c>
      <c r="AR292" s="915">
        <f t="shared" si="590"/>
        <v>0</v>
      </c>
      <c r="AS292" s="1201">
        <v>0</v>
      </c>
      <c r="AT292" s="1201">
        <v>0</v>
      </c>
      <c r="AU292" s="1201"/>
      <c r="AV292" s="1201"/>
      <c r="AW292" s="1201"/>
      <c r="AX292" s="1201"/>
      <c r="AY292" s="984" t="e">
        <f t="shared" si="523"/>
        <v>#DIV/0!</v>
      </c>
      <c r="AZ292" s="1028" t="s">
        <v>2095</v>
      </c>
      <c r="BA292" s="957">
        <f t="shared" si="533"/>
        <v>0</v>
      </c>
      <c r="BB292" s="930" t="e">
        <f t="shared" si="534"/>
        <v>#DIV/0!</v>
      </c>
      <c r="BC292" s="986">
        <f t="shared" si="535"/>
        <v>0</v>
      </c>
      <c r="BD292" s="930" t="e">
        <f t="shared" si="536"/>
        <v>#DIV/0!</v>
      </c>
      <c r="BE292" s="987"/>
      <c r="BF292" s="926"/>
      <c r="BG292" s="910" t="s">
        <v>1701</v>
      </c>
      <c r="BH292" s="1202" t="s">
        <v>2118</v>
      </c>
    </row>
    <row r="293" spans="1:60" s="892" customFormat="1" ht="47.4" customHeight="1">
      <c r="A293" s="882" t="s">
        <v>2572</v>
      </c>
      <c r="B293" s="883"/>
      <c r="C293" s="883"/>
      <c r="D293" s="884"/>
      <c r="E293" s="884"/>
      <c r="F293" s="884"/>
      <c r="G293" s="884"/>
      <c r="H293" s="884"/>
      <c r="I293" s="884"/>
      <c r="J293" s="884"/>
      <c r="K293" s="884"/>
      <c r="L293" s="884"/>
      <c r="M293" s="884"/>
      <c r="N293" s="884"/>
      <c r="O293" s="885">
        <f>+O294*AC294</f>
        <v>0.8666666666666667</v>
      </c>
      <c r="P293" s="885">
        <f t="shared" ref="P293:R294" si="591">+P294*AD294</f>
        <v>0.70000000000000007</v>
      </c>
      <c r="Q293" s="885">
        <f t="shared" si="591"/>
        <v>1</v>
      </c>
      <c r="R293" s="885">
        <f t="shared" si="591"/>
        <v>0.38201614755207119</v>
      </c>
      <c r="S293" s="1132"/>
      <c r="T293" s="1132"/>
      <c r="U293" s="883"/>
      <c r="V293" s="883"/>
      <c r="W293" s="883"/>
      <c r="X293" s="1132"/>
      <c r="Y293" s="1133"/>
      <c r="Z293" s="886"/>
      <c r="AA293" s="885">
        <f>+AA294*AB294</f>
        <v>0.88460484426562136</v>
      </c>
      <c r="AB293" s="885">
        <v>0.01</v>
      </c>
      <c r="AC293" s="885">
        <v>0.01</v>
      </c>
      <c r="AD293" s="885">
        <v>0.01</v>
      </c>
      <c r="AE293" s="885">
        <v>0.01</v>
      </c>
      <c r="AF293" s="885">
        <v>0.01</v>
      </c>
      <c r="AG293" s="883">
        <f>+AG294</f>
        <v>5754179395</v>
      </c>
      <c r="AH293" s="883">
        <f>+AH294</f>
        <v>6107311808</v>
      </c>
      <c r="AI293" s="883">
        <f>+AI294</f>
        <v>6515110547</v>
      </c>
      <c r="AJ293" s="883">
        <f>+AJ294</f>
        <v>23747240643</v>
      </c>
      <c r="AK293" s="883">
        <f>+AK294</f>
        <v>5394106205.0500002</v>
      </c>
      <c r="AL293" s="888">
        <f t="shared" si="530"/>
        <v>0.93742405906515891</v>
      </c>
      <c r="AM293" s="883">
        <f>+AM294</f>
        <v>6005320167</v>
      </c>
      <c r="AN293" s="883">
        <f t="shared" ref="AN293:AP294" si="592">+AN294</f>
        <v>6500860547</v>
      </c>
      <c r="AO293" s="883">
        <f t="shared" si="592"/>
        <v>20520865554.009998</v>
      </c>
      <c r="AP293" s="883">
        <f>+AP294</f>
        <v>4565135538.0500002</v>
      </c>
      <c r="AQ293" s="890">
        <f t="shared" si="531"/>
        <v>0.79335996059087066</v>
      </c>
      <c r="AR293" s="883">
        <f>+AI293-AN293</f>
        <v>14250000</v>
      </c>
      <c r="AS293" s="883">
        <f>+AS294</f>
        <v>101991641</v>
      </c>
      <c r="AT293" s="883">
        <f>+AT294</f>
        <v>2218394</v>
      </c>
      <c r="AU293" s="883">
        <f t="shared" ref="AU293:AX294" si="593">+AU294</f>
        <v>14250000</v>
      </c>
      <c r="AV293" s="883">
        <f t="shared" si="593"/>
        <v>0</v>
      </c>
      <c r="AW293" s="883">
        <f t="shared" si="593"/>
        <v>3226375088.9899998</v>
      </c>
      <c r="AX293" s="883">
        <f t="shared" si="593"/>
        <v>3154608400</v>
      </c>
      <c r="AY293" s="891">
        <f t="shared" si="523"/>
        <v>0.97775624748811651</v>
      </c>
      <c r="AZ293" s="883">
        <f t="shared" ref="AZ293:AZ294" si="594">+AZ294</f>
        <v>43666210379</v>
      </c>
      <c r="BA293" s="883">
        <f t="shared" ref="AZ293:BA294" si="595">+BA294</f>
        <v>41763769203.050003</v>
      </c>
      <c r="BB293" s="885">
        <f t="shared" si="534"/>
        <v>0.95643218957088794</v>
      </c>
      <c r="BC293" s="967">
        <f t="shared" ref="BC293:BC294" si="596">+BC294</f>
        <v>40749008600.059998</v>
      </c>
      <c r="BD293" s="885">
        <f t="shared" si="536"/>
        <v>0.93319315430351735</v>
      </c>
      <c r="BE293" s="883"/>
      <c r="BF293" s="883"/>
      <c r="BG293" s="883"/>
      <c r="BH293" s="883"/>
    </row>
    <row r="294" spans="1:60" s="865" customFormat="1" ht="47.4" customHeight="1">
      <c r="A294" s="893" t="s">
        <v>2573</v>
      </c>
      <c r="B294" s="894"/>
      <c r="C294" s="894"/>
      <c r="D294" s="895"/>
      <c r="E294" s="895"/>
      <c r="F294" s="895"/>
      <c r="G294" s="895"/>
      <c r="H294" s="895"/>
      <c r="I294" s="895"/>
      <c r="J294" s="895"/>
      <c r="K294" s="895"/>
      <c r="L294" s="895"/>
      <c r="M294" s="895"/>
      <c r="N294" s="895"/>
      <c r="O294" s="896">
        <f>+O295*AC295</f>
        <v>0.8666666666666667</v>
      </c>
      <c r="P294" s="896">
        <f t="shared" si="591"/>
        <v>0.70000000000000007</v>
      </c>
      <c r="Q294" s="896">
        <f t="shared" si="591"/>
        <v>1</v>
      </c>
      <c r="R294" s="896">
        <f t="shared" si="591"/>
        <v>0.38201614755207119</v>
      </c>
      <c r="S294" s="1134"/>
      <c r="T294" s="1134"/>
      <c r="U294" s="894"/>
      <c r="V294" s="894"/>
      <c r="W294" s="894"/>
      <c r="X294" s="1134"/>
      <c r="Y294" s="1059"/>
      <c r="Z294" s="897"/>
      <c r="AA294" s="896">
        <f>+AA295*AB295</f>
        <v>0.88460484426562136</v>
      </c>
      <c r="AB294" s="896">
        <v>1</v>
      </c>
      <c r="AC294" s="896">
        <v>1</v>
      </c>
      <c r="AD294" s="896">
        <v>1</v>
      </c>
      <c r="AE294" s="896">
        <v>1</v>
      </c>
      <c r="AF294" s="896">
        <v>1</v>
      </c>
      <c r="AG294" s="894">
        <f t="shared" ref="AG294:AM294" si="597">+AG295</f>
        <v>5754179395</v>
      </c>
      <c r="AH294" s="894">
        <f t="shared" si="597"/>
        <v>6107311808</v>
      </c>
      <c r="AI294" s="894">
        <f t="shared" si="597"/>
        <v>6515110547</v>
      </c>
      <c r="AJ294" s="894">
        <f t="shared" si="597"/>
        <v>23747240643</v>
      </c>
      <c r="AK294" s="894">
        <f t="shared" si="597"/>
        <v>5394106205.0500002</v>
      </c>
      <c r="AL294" s="900">
        <f t="shared" si="530"/>
        <v>0.93742405906515891</v>
      </c>
      <c r="AM294" s="894">
        <f t="shared" si="597"/>
        <v>6005320167</v>
      </c>
      <c r="AN294" s="894">
        <f t="shared" si="592"/>
        <v>6500860547</v>
      </c>
      <c r="AO294" s="894">
        <f t="shared" si="592"/>
        <v>20520865554.009998</v>
      </c>
      <c r="AP294" s="894">
        <f t="shared" si="592"/>
        <v>4565135538.0500002</v>
      </c>
      <c r="AQ294" s="901">
        <f t="shared" si="531"/>
        <v>0.79335996059087066</v>
      </c>
      <c r="AR294" s="902">
        <f>+AI294-AN294</f>
        <v>14250000</v>
      </c>
      <c r="AS294" s="902">
        <f>+AS295</f>
        <v>101991641</v>
      </c>
      <c r="AT294" s="902">
        <f>+AT295</f>
        <v>2218394</v>
      </c>
      <c r="AU294" s="902">
        <f t="shared" si="593"/>
        <v>14250000</v>
      </c>
      <c r="AV294" s="902">
        <f t="shared" si="593"/>
        <v>0</v>
      </c>
      <c r="AW294" s="902">
        <f t="shared" si="593"/>
        <v>3226375088.9899998</v>
      </c>
      <c r="AX294" s="902">
        <f t="shared" si="593"/>
        <v>3154608400</v>
      </c>
      <c r="AY294" s="903">
        <f t="shared" si="523"/>
        <v>0.97775624748811651</v>
      </c>
      <c r="AZ294" s="894">
        <f t="shared" si="594"/>
        <v>43666210379</v>
      </c>
      <c r="BA294" s="894">
        <f t="shared" si="595"/>
        <v>41763769203.050003</v>
      </c>
      <c r="BB294" s="896">
        <f t="shared" si="534"/>
        <v>0.95643218957088794</v>
      </c>
      <c r="BC294" s="962">
        <f t="shared" si="596"/>
        <v>40749008600.059998</v>
      </c>
      <c r="BD294" s="896">
        <f t="shared" si="536"/>
        <v>0.93319315430351735</v>
      </c>
      <c r="BE294" s="902"/>
      <c r="BF294" s="902"/>
      <c r="BG294" s="902"/>
      <c r="BH294" s="902"/>
    </row>
    <row r="295" spans="1:60" s="1154" customFormat="1" ht="47.4" customHeight="1">
      <c r="A295" s="1230" t="s">
        <v>2574</v>
      </c>
      <c r="B295" s="909" t="s">
        <v>2575</v>
      </c>
      <c r="C295" s="905" t="s">
        <v>1054</v>
      </c>
      <c r="D295" s="1286">
        <v>0.15</v>
      </c>
      <c r="E295" s="1286">
        <v>0.2</v>
      </c>
      <c r="F295" s="1286">
        <v>0.35</v>
      </c>
      <c r="G295" s="1286">
        <v>0.3</v>
      </c>
      <c r="H295" s="1286">
        <v>0.13</v>
      </c>
      <c r="I295" s="1286">
        <v>0.14000000000000001</v>
      </c>
      <c r="J295" s="1286">
        <v>0.5</v>
      </c>
      <c r="K295" s="1286">
        <f>+AK295/47067000000</f>
        <v>0.11460484426562136</v>
      </c>
      <c r="L295" s="906"/>
      <c r="M295" s="906"/>
      <c r="N295" s="906"/>
      <c r="O295" s="930">
        <f>+IFERROR(IF((H295+L295)/D295&gt;=100%,100%,(H295+L295)/D295),0)</f>
        <v>0.8666666666666667</v>
      </c>
      <c r="P295" s="930">
        <f>+IFERROR(IF((I295+M295)/E295&gt;=100%,100%,(I295+M295)/E295),0)</f>
        <v>0.70000000000000007</v>
      </c>
      <c r="Q295" s="930">
        <f>+IFERROR(IF((J295+N295)/F295&gt;=100%,100%,(J295+N295)/F295),0)</f>
        <v>1</v>
      </c>
      <c r="R295" s="908">
        <f>+IFERROR(IF(K295/G295&gt;=100%,100%,K295/G295),0)</f>
        <v>0.38201614755207119</v>
      </c>
      <c r="T295" s="1299">
        <v>45291</v>
      </c>
      <c r="U295" s="909"/>
      <c r="V295" s="909"/>
      <c r="W295" s="909"/>
      <c r="Y295" s="993">
        <f t="shared" ref="Y295" si="598">SUM(D295:G295)</f>
        <v>1</v>
      </c>
      <c r="Z295" s="934">
        <f t="shared" ref="Z295" si="599">SUM(H295:N295)</f>
        <v>0.88460484426562136</v>
      </c>
      <c r="AA295" s="930">
        <f>IF(Z295/Y295&gt;=100%,100%,Z295/Y295)</f>
        <v>0.88460484426562136</v>
      </c>
      <c r="AB295" s="930">
        <v>1</v>
      </c>
      <c r="AC295" s="930">
        <v>1</v>
      </c>
      <c r="AD295" s="930">
        <v>1</v>
      </c>
      <c r="AE295" s="930">
        <v>1</v>
      </c>
      <c r="AF295" s="930">
        <v>1</v>
      </c>
      <c r="AG295" s="1287">
        <v>5754179395</v>
      </c>
      <c r="AH295" s="909">
        <v>6107311808</v>
      </c>
      <c r="AI295" s="909">
        <v>6515110547</v>
      </c>
      <c r="AJ295" s="909">
        <v>23747240643</v>
      </c>
      <c r="AK295" s="909">
        <v>5394106205.0500002</v>
      </c>
      <c r="AL295" s="982">
        <f t="shared" si="530"/>
        <v>0.93742405906515891</v>
      </c>
      <c r="AM295" s="909">
        <v>6005320167</v>
      </c>
      <c r="AN295" s="909">
        <v>6500860547</v>
      </c>
      <c r="AO295" s="909">
        <v>20520865554.009998</v>
      </c>
      <c r="AP295" s="909">
        <v>4565135538.0500002</v>
      </c>
      <c r="AQ295" s="983">
        <f t="shared" si="531"/>
        <v>0.79335996059087066</v>
      </c>
      <c r="AR295" s="915">
        <f>+AJ295-AO295</f>
        <v>3226375088.9900017</v>
      </c>
      <c r="AS295" s="909">
        <v>101991641</v>
      </c>
      <c r="AT295" s="909">
        <v>2218394</v>
      </c>
      <c r="AU295" s="909">
        <v>14250000</v>
      </c>
      <c r="AV295" s="909">
        <v>0</v>
      </c>
      <c r="AW295" s="909">
        <v>3226375088.9899998</v>
      </c>
      <c r="AX295" s="909">
        <v>3154608400</v>
      </c>
      <c r="AY295" s="984">
        <f t="shared" si="523"/>
        <v>0.97775624748811651</v>
      </c>
      <c r="AZ295" s="909">
        <v>43666210379</v>
      </c>
      <c r="BA295" s="957">
        <f t="shared" si="533"/>
        <v>41763769203.050003</v>
      </c>
      <c r="BB295" s="930">
        <f t="shared" si="534"/>
        <v>0.95643218957088794</v>
      </c>
      <c r="BC295" s="986">
        <f t="shared" si="535"/>
        <v>40749008600.059998</v>
      </c>
      <c r="BD295" s="930">
        <f t="shared" si="536"/>
        <v>0.93319315430351735</v>
      </c>
      <c r="BE295" s="909"/>
      <c r="BF295" s="909"/>
      <c r="BG295" s="909"/>
      <c r="BH295" s="909"/>
    </row>
    <row r="296" spans="1:60" s="865" customFormat="1" ht="47.4" customHeight="1">
      <c r="A296" s="1347" t="s">
        <v>2576</v>
      </c>
      <c r="B296" s="1347"/>
      <c r="C296" s="1347"/>
      <c r="D296" s="1231"/>
      <c r="E296" s="1231"/>
      <c r="F296" s="1231"/>
      <c r="G296" s="1231"/>
      <c r="H296" s="1231"/>
      <c r="I296" s="1231"/>
      <c r="J296" s="1231"/>
      <c r="K296" s="1231"/>
      <c r="L296" s="1231"/>
      <c r="M296" s="1231"/>
      <c r="N296" s="1231"/>
      <c r="O296" s="1232">
        <f>(O7*AC7)+(O55*AC55)+(O99*AC99)+(O146*AC146)+(O211*AC211)</f>
        <v>0.94567909999999988</v>
      </c>
      <c r="P296" s="1232">
        <f>(P7*AD7)+(P55*AD55)+(P99*AD99)+(P146*AD146)+(P211*AD211)</f>
        <v>0.92737146337826093</v>
      </c>
      <c r="Q296" s="1232">
        <f>(Q7*AE7)+(Q55*AE55)+(Q99*AE99)+(Q146*AE146)+(Q211*AE211)</f>
        <v>0.94815110000000002</v>
      </c>
      <c r="R296" s="1232">
        <f>(R7*AF7)+(R55*AF55)+(R99*AF99)+(R146*AF146)+(R211*AF211)</f>
        <v>0.97747402790927151</v>
      </c>
      <c r="S296" s="1231"/>
      <c r="T296" s="1231"/>
      <c r="U296" s="1231"/>
      <c r="V296" s="1231"/>
      <c r="W296" s="1231"/>
      <c r="X296" s="1231"/>
      <c r="Y296" s="1231"/>
      <c r="Z296" s="1231"/>
      <c r="AA296" s="1232">
        <f>(AA7*AB7)+(AA55*AB55)+(AA99*AB99)+(AA146*AB146)+(AA211*AB211)</f>
        <v>0.96246590869213489</v>
      </c>
      <c r="AB296" s="1233"/>
      <c r="AC296" s="1233"/>
      <c r="AD296" s="1233"/>
      <c r="AE296" s="1233"/>
      <c r="AF296" s="1233"/>
      <c r="AG296" s="1234">
        <f>+AG7+AG55+AG99+AG146+AG211</f>
        <v>115766313296</v>
      </c>
      <c r="AH296" s="1234">
        <f>+AH7+AH55+AH99+AH146+AH211+AH293</f>
        <v>69668117479.059998</v>
      </c>
      <c r="AI296" s="1234">
        <f>+AI7+AI55+AI99+AI146+AI211+AI293</f>
        <v>101844965848.67001</v>
      </c>
      <c r="AJ296" s="1234">
        <f>+AJ7+AJ55+AJ99+AJ146+AJ211+AJ293</f>
        <v>178038628607.75998</v>
      </c>
      <c r="AK296" s="1236">
        <f>+AK7+AK55+AK99+AK146+AK211</f>
        <v>115203288066.95</v>
      </c>
      <c r="AL296" s="888">
        <f>+AK296/AG296</f>
        <v>0.99513653658806234</v>
      </c>
      <c r="AM296" s="1234">
        <f>+AM7+AM55+AM99+AM146+AM211+AM293</f>
        <v>43891586590</v>
      </c>
      <c r="AN296" s="1234">
        <f>+AN7+AN55+AN99+AN146+AN211+AN293</f>
        <v>78914531319.630005</v>
      </c>
      <c r="AO296" s="1234">
        <f>+AO7+AO55+AO99+AO146+AO211+AO293</f>
        <v>122471350821.31</v>
      </c>
      <c r="AP296" s="1236">
        <f>+AP7+AP55+AP99+AP146+AP211</f>
        <v>88270484775.840012</v>
      </c>
      <c r="AQ296" s="890">
        <f>+AP296/AG296</f>
        <v>0.76248851900589953</v>
      </c>
      <c r="AR296" s="1234">
        <f>+AR7+AR55+AR99+AR146+AR211+AR293</f>
        <v>28607912054.459995</v>
      </c>
      <c r="AS296" s="1235">
        <f t="shared" ref="AS296:AX296" si="600">+AS7+AS55+AS99+AS146+AS211</f>
        <v>19969575271.959999</v>
      </c>
      <c r="AT296" s="1234">
        <f t="shared" si="600"/>
        <v>17292544809.439999</v>
      </c>
      <c r="AU296" s="1234">
        <f t="shared" si="600"/>
        <v>16415323982.040003</v>
      </c>
      <c r="AV296" s="1234">
        <f t="shared" si="600"/>
        <v>6432597740.8399992</v>
      </c>
      <c r="AW296" s="1234">
        <f t="shared" si="600"/>
        <v>31820037143.450001</v>
      </c>
      <c r="AX296" s="1234">
        <f t="shared" si="600"/>
        <v>30897943795.459999</v>
      </c>
      <c r="AY296" s="891">
        <f t="shared" si="523"/>
        <v>0.97102161308508061</v>
      </c>
      <c r="AZ296" s="1236">
        <f>+AZ7+AZ55+AZ99+AZ146+AZ211</f>
        <v>493379367100</v>
      </c>
      <c r="BA296" s="1237">
        <f>SUM(AH296:AK296)</f>
        <v>464755000002.44</v>
      </c>
      <c r="BB296" s="1238">
        <f>+BA296/AZ296</f>
        <v>0.94198304792150278</v>
      </c>
      <c r="BC296" s="1239">
        <f>SUM(AM296:AP296)+AT296+AV296+AX296</f>
        <v>388171039852.52008</v>
      </c>
      <c r="BD296" s="1240">
        <f>+BC296/AZ296</f>
        <v>0.7867597750066514</v>
      </c>
      <c r="BE296" s="883"/>
      <c r="BF296" s="1241"/>
      <c r="BG296" s="1241"/>
      <c r="BH296" s="1241"/>
    </row>
    <row r="297" spans="1:60" s="865" customFormat="1" ht="41.25" customHeight="1">
      <c r="A297" s="1348" t="s">
        <v>2577</v>
      </c>
      <c r="B297" s="1348"/>
      <c r="C297" s="1348"/>
      <c r="D297" s="1348"/>
      <c r="E297" s="1348"/>
      <c r="F297" s="1348"/>
      <c r="G297" s="1348"/>
      <c r="H297" s="1348"/>
      <c r="I297" s="1348"/>
      <c r="J297" s="1348"/>
      <c r="K297" s="1348"/>
      <c r="L297" s="1348"/>
      <c r="M297" s="1348"/>
      <c r="N297" s="1348"/>
      <c r="O297" s="1348"/>
      <c r="P297" s="1348"/>
      <c r="Q297" s="1348"/>
      <c r="R297" s="1348"/>
      <c r="S297" s="1348"/>
      <c r="T297" s="1348"/>
      <c r="U297" s="1348"/>
      <c r="V297" s="1348"/>
      <c r="W297" s="1348"/>
      <c r="X297" s="1348"/>
      <c r="Y297" s="1348"/>
      <c r="Z297" s="1348"/>
      <c r="AA297" s="1348"/>
      <c r="AB297" s="1348"/>
      <c r="AC297" s="1348"/>
      <c r="AD297" s="1348"/>
      <c r="AE297" s="1348"/>
      <c r="AF297" s="1348"/>
      <c r="AG297" s="1348"/>
      <c r="AH297" s="1348"/>
      <c r="AI297" s="1348"/>
      <c r="AJ297" s="1348"/>
      <c r="AK297" s="1348"/>
      <c r="AL297" s="1348"/>
      <c r="AM297" s="1348"/>
      <c r="AN297" s="1348"/>
      <c r="AO297" s="1348"/>
      <c r="AP297" s="1348"/>
      <c r="AQ297" s="1348"/>
      <c r="AR297" s="1348"/>
      <c r="AS297" s="1348"/>
      <c r="AT297" s="1348"/>
      <c r="AU297" s="1348"/>
      <c r="AV297" s="1348"/>
      <c r="AW297" s="1348"/>
      <c r="AX297" s="1348"/>
      <c r="AY297" s="1348"/>
      <c r="AZ297" s="1348"/>
      <c r="BA297" s="1348"/>
      <c r="BB297" s="1348"/>
      <c r="BC297" s="1348"/>
      <c r="BD297" s="1348"/>
      <c r="BE297" s="1348"/>
    </row>
    <row r="298" spans="1:60" ht="47.4" customHeight="1">
      <c r="H298" s="1288"/>
      <c r="I298" s="1288"/>
      <c r="J298" s="1288"/>
      <c r="K298" s="1288"/>
      <c r="AG298" s="1243"/>
      <c r="AH298" s="1244"/>
      <c r="AI298" s="1244"/>
      <c r="AJ298" s="1244"/>
      <c r="AK298" s="1244"/>
      <c r="AM298" s="1246"/>
      <c r="AN298" s="1246"/>
      <c r="AO298" s="1246"/>
      <c r="AP298" s="1246"/>
      <c r="AR298" s="1243"/>
      <c r="AS298" s="1246"/>
      <c r="AT298" s="1246"/>
      <c r="AU298" s="1246"/>
      <c r="AV298" s="1244"/>
      <c r="AW298" s="1244"/>
      <c r="AX298" s="1244"/>
      <c r="AZ298" s="1763">
        <f>+AZ296-AZ299</f>
        <v>-0.53656005859375</v>
      </c>
      <c r="BE298" s="1247"/>
    </row>
    <row r="299" spans="1:60" ht="47.4" customHeight="1">
      <c r="A299" s="1248"/>
      <c r="B299" s="1248"/>
      <c r="C299" s="1248"/>
      <c r="D299" s="1248"/>
      <c r="E299" s="1248"/>
      <c r="F299" s="1248"/>
      <c r="G299" s="1248"/>
      <c r="H299" s="1248"/>
      <c r="I299" s="1248"/>
      <c r="J299" s="1248"/>
      <c r="K299" s="1248"/>
      <c r="L299" s="1248"/>
      <c r="M299" s="1248"/>
      <c r="N299" s="1248"/>
      <c r="O299" s="1249"/>
      <c r="P299" s="1249"/>
      <c r="Q299" s="1249"/>
      <c r="R299" s="1248"/>
      <c r="S299" s="1248"/>
      <c r="T299" s="1250"/>
      <c r="U299" s="1250"/>
      <c r="V299" s="1250"/>
      <c r="W299" s="1250"/>
      <c r="X299" s="1250"/>
      <c r="Y299" s="1248"/>
      <c r="Z299" s="1248"/>
      <c r="AA299" s="1248"/>
      <c r="AB299" s="1248"/>
      <c r="AC299" s="1248"/>
      <c r="AD299" s="1248"/>
      <c r="AE299" s="1248"/>
      <c r="AF299" s="1248"/>
      <c r="AG299" s="1252">
        <f>+'[7]Anexo 5.1 INGRESOS VF'!R7</f>
        <v>115766313295.99652</v>
      </c>
      <c r="AH299" s="1251">
        <v>63560805671.059998</v>
      </c>
      <c r="AI299" s="1251">
        <v>95329855301.670013</v>
      </c>
      <c r="AJ299" s="1251">
        <v>154291387964.76001</v>
      </c>
      <c r="AK299" s="1281">
        <f>+'[7]Anexo 5.2. informe Gastos'!Z47</f>
        <v>115162713829.69</v>
      </c>
      <c r="AL299" s="1248"/>
      <c r="AM299" s="1253">
        <v>43891586590</v>
      </c>
      <c r="AN299" s="1251">
        <v>78914531319.630005</v>
      </c>
      <c r="AO299" s="1251">
        <v>122471350821.31</v>
      </c>
      <c r="AP299" s="1281">
        <f>+'[7]Anexo 5.2. informe Gastos'!AA47</f>
        <v>83064830971.980011</v>
      </c>
      <c r="AQ299" s="1250"/>
      <c r="AR299" s="1254"/>
      <c r="AS299" s="1255">
        <v>19969575271.959999</v>
      </c>
      <c r="AT299" s="1255">
        <v>17292544809.439999</v>
      </c>
      <c r="AU299" s="1254">
        <v>16415323982.040003</v>
      </c>
      <c r="AV299" s="1254">
        <v>6432597740.8399992</v>
      </c>
      <c r="AW299" s="1254">
        <v>28607912054.459995</v>
      </c>
      <c r="AX299" s="1254"/>
      <c r="AY299" s="1248" t="s">
        <v>2578</v>
      </c>
      <c r="AZ299" s="1256">
        <f>SUM(AZ300:AZ303)</f>
        <v>493379367100.53656</v>
      </c>
      <c r="BA299" s="1257">
        <f>+AZ296-AZ299</f>
        <v>-0.53656005859375</v>
      </c>
      <c r="BD299" s="861" t="s">
        <v>2579</v>
      </c>
    </row>
    <row r="300" spans="1:60" ht="13.8">
      <c r="A300" s="1349"/>
      <c r="B300" s="1349"/>
      <c r="C300" s="1349"/>
      <c r="D300" s="1248"/>
      <c r="E300" s="1248"/>
      <c r="F300" s="1248"/>
      <c r="G300" s="1248"/>
      <c r="H300" s="1248"/>
      <c r="I300" s="1248"/>
      <c r="J300" s="1248"/>
      <c r="K300" s="1248"/>
      <c r="L300" s="1248"/>
      <c r="M300" s="1250"/>
      <c r="N300" s="1250"/>
      <c r="R300" s="1250"/>
      <c r="S300" s="1250"/>
      <c r="T300" s="1250"/>
      <c r="U300" s="1250"/>
      <c r="V300" s="1250"/>
      <c r="W300" s="1250"/>
      <c r="X300" s="1250"/>
      <c r="Y300" s="1250"/>
      <c r="Z300" s="1250"/>
      <c r="AA300" s="1250"/>
      <c r="AB300" s="1250"/>
      <c r="AC300" s="1250"/>
      <c r="AD300" s="1250"/>
      <c r="AE300" s="1250"/>
      <c r="AF300" s="1250"/>
      <c r="AG300" s="1248"/>
      <c r="AH300" s="1248"/>
      <c r="AI300" s="1248"/>
      <c r="AJ300" s="1248"/>
      <c r="AK300" s="1282"/>
      <c r="AM300" s="1282"/>
      <c r="AN300" s="1248"/>
      <c r="AO300" s="1248"/>
      <c r="AP300" s="1282"/>
      <c r="AQ300" s="1248"/>
      <c r="AR300" s="1248"/>
      <c r="AS300" s="1248"/>
      <c r="AT300" s="1248"/>
      <c r="AU300" s="1248"/>
      <c r="AV300" s="1248"/>
      <c r="AW300" s="1248"/>
      <c r="AX300" s="1248"/>
      <c r="AY300" s="861">
        <v>2020</v>
      </c>
      <c r="AZ300" s="1302">
        <v>95112659334.520004</v>
      </c>
      <c r="BB300" s="1258"/>
      <c r="BC300" s="1250"/>
      <c r="BD300" s="1250"/>
    </row>
    <row r="301" spans="1:60" ht="13.8">
      <c r="A301" s="1341"/>
      <c r="B301" s="1341"/>
      <c r="C301" s="1341"/>
      <c r="D301" s="1250"/>
      <c r="E301" s="1250"/>
      <c r="F301" s="1250"/>
      <c r="G301" s="1250"/>
      <c r="H301" s="1250"/>
      <c r="I301" s="1250"/>
      <c r="J301" s="1250"/>
      <c r="K301" s="1250"/>
      <c r="L301" s="1250"/>
      <c r="M301" s="1250"/>
      <c r="N301" s="1250"/>
      <c r="O301" s="1250"/>
      <c r="P301" s="1250"/>
      <c r="Q301" s="1250"/>
      <c r="R301" s="1250"/>
      <c r="S301" s="1259"/>
      <c r="T301" s="1259"/>
      <c r="U301" s="1259"/>
      <c r="V301" s="1259"/>
      <c r="W301" s="1259"/>
      <c r="X301" s="1259"/>
      <c r="Y301" s="1250"/>
      <c r="Z301" s="1250"/>
      <c r="AA301" s="1250"/>
      <c r="AB301" s="1259"/>
      <c r="AC301" s="1259"/>
      <c r="AD301" s="1259"/>
      <c r="AE301" s="1259"/>
      <c r="AF301" s="1259"/>
      <c r="AL301" s="861"/>
      <c r="AM301" s="861"/>
      <c r="AQ301" s="861"/>
      <c r="AY301" s="861">
        <v>2021</v>
      </c>
      <c r="AZ301" s="1301">
        <v>127060888332</v>
      </c>
      <c r="BB301" s="1260"/>
      <c r="BC301" s="1261"/>
      <c r="BD301" s="1261"/>
    </row>
    <row r="302" spans="1:60" ht="13.8">
      <c r="A302" s="1341"/>
      <c r="B302" s="1341"/>
      <c r="C302" s="1341"/>
      <c r="D302" s="1250"/>
      <c r="E302" s="1250"/>
      <c r="F302" s="1250"/>
      <c r="G302" s="1250"/>
      <c r="H302" s="1250"/>
      <c r="I302" s="1250"/>
      <c r="J302" s="1250"/>
      <c r="K302" s="1250"/>
      <c r="L302" s="1250"/>
      <c r="M302" s="1250"/>
      <c r="N302" s="1250"/>
      <c r="O302" s="1250"/>
      <c r="P302" s="1250"/>
      <c r="Q302" s="1250"/>
      <c r="R302" s="1250"/>
      <c r="S302" s="1259"/>
      <c r="T302" s="1259"/>
      <c r="U302" s="1259"/>
      <c r="V302" s="1259"/>
      <c r="W302" s="1259"/>
      <c r="X302" s="1259"/>
      <c r="Y302" s="1250"/>
      <c r="Z302" s="1250"/>
      <c r="AA302" s="1250"/>
      <c r="AB302" s="1259"/>
      <c r="AC302" s="1259"/>
      <c r="AD302" s="1259"/>
      <c r="AE302" s="1259"/>
      <c r="AF302" s="1259"/>
      <c r="AL302" s="861"/>
      <c r="AM302" s="861"/>
      <c r="AQ302" s="861"/>
      <c r="AY302" s="861">
        <v>2022</v>
      </c>
      <c r="AZ302" s="1301">
        <v>155439506138.02002</v>
      </c>
      <c r="BB302" s="1260"/>
      <c r="BC302" s="1261"/>
      <c r="BD302" s="1261"/>
    </row>
    <row r="303" spans="1:60" ht="13.8">
      <c r="A303" s="1341"/>
      <c r="B303" s="1341"/>
      <c r="C303" s="1341"/>
      <c r="D303" s="1250"/>
      <c r="E303" s="1250"/>
      <c r="F303" s="1250"/>
      <c r="G303" s="1250"/>
      <c r="H303" s="1250"/>
      <c r="I303" s="1250"/>
      <c r="J303" s="1250"/>
      <c r="K303" s="1250"/>
      <c r="L303" s="1250"/>
      <c r="M303" s="1250"/>
      <c r="N303" s="1250"/>
      <c r="O303" s="1250"/>
      <c r="P303" s="1250"/>
      <c r="Q303" s="1250"/>
      <c r="R303" s="1250"/>
      <c r="S303" s="1259"/>
      <c r="T303" s="1259"/>
      <c r="U303" s="1259"/>
      <c r="V303" s="1259"/>
      <c r="W303" s="1259"/>
      <c r="X303" s="1259"/>
      <c r="Y303" s="1250"/>
      <c r="Z303" s="1250"/>
      <c r="AA303" s="1250"/>
      <c r="AB303" s="1259"/>
      <c r="AC303" s="1259"/>
      <c r="AD303" s="1259"/>
      <c r="AE303" s="1259"/>
      <c r="AF303" s="1259"/>
      <c r="AL303" s="861"/>
      <c r="AM303" s="861"/>
      <c r="AQ303" s="861"/>
      <c r="AY303" s="861">
        <v>2023</v>
      </c>
      <c r="AZ303" s="1300">
        <f>+'[7]Anexo 5.1 INGRESOS VF'!R7</f>
        <v>115766313295.99652</v>
      </c>
      <c r="BB303" s="1243"/>
      <c r="BC303" s="1261"/>
      <c r="BD303" s="1261"/>
    </row>
    <row r="304" spans="1:60" ht="47.4" customHeight="1">
      <c r="A304" s="1341"/>
      <c r="B304" s="1341"/>
      <c r="C304" s="1341"/>
      <c r="D304" s="1250"/>
      <c r="E304" s="1250"/>
      <c r="F304" s="1250"/>
      <c r="G304" s="1250"/>
      <c r="H304" s="1250"/>
      <c r="I304" s="1250"/>
      <c r="J304" s="1250"/>
      <c r="K304" s="1250"/>
      <c r="L304" s="1250"/>
      <c r="M304" s="1250"/>
      <c r="N304" s="1250"/>
      <c r="O304" s="1250"/>
      <c r="P304" s="1250"/>
      <c r="Q304" s="1250"/>
      <c r="R304" s="1250"/>
      <c r="S304" s="1259"/>
      <c r="T304" s="1259"/>
      <c r="U304" s="1259"/>
      <c r="V304" s="1259"/>
      <c r="W304" s="1259"/>
      <c r="X304" s="1259"/>
      <c r="Y304" s="1250"/>
      <c r="Z304" s="1250"/>
      <c r="AA304" s="1250"/>
      <c r="AB304" s="1259"/>
      <c r="AC304" s="1259"/>
      <c r="AD304" s="1259"/>
      <c r="AE304" s="1259"/>
      <c r="AF304" s="1259"/>
      <c r="AG304" s="1342"/>
      <c r="AH304" s="1342"/>
      <c r="AI304" s="1342"/>
      <c r="AJ304" s="1342"/>
      <c r="AK304" s="1342"/>
      <c r="AL304" s="1342"/>
      <c r="AM304" s="1342"/>
      <c r="AN304" s="1342"/>
      <c r="AO304" s="1342"/>
      <c r="AP304" s="1342"/>
      <c r="AQ304" s="1342"/>
      <c r="AR304" s="1342"/>
      <c r="AS304" s="1342"/>
      <c r="AT304" s="1342"/>
      <c r="AU304" s="1342"/>
      <c r="AV304" s="1342"/>
      <c r="AW304" s="1342"/>
      <c r="AX304" s="1342"/>
      <c r="AY304" s="1342"/>
      <c r="AZ304" s="1342"/>
      <c r="BA304" s="1342"/>
      <c r="BB304" s="1342"/>
      <c r="BC304" s="1261"/>
      <c r="BD304" s="1261"/>
    </row>
    <row r="305" spans="1:56" ht="47.4" customHeight="1">
      <c r="A305" s="1341"/>
      <c r="B305" s="1341"/>
      <c r="C305" s="1341"/>
      <c r="D305" s="1250"/>
      <c r="E305" s="1250"/>
      <c r="F305" s="1250"/>
      <c r="G305" s="1250"/>
      <c r="H305" s="1250"/>
      <c r="I305" s="1250"/>
      <c r="J305" s="1250"/>
      <c r="K305" s="1250"/>
      <c r="L305" s="1250"/>
      <c r="M305" s="1250"/>
      <c r="N305" s="1250"/>
      <c r="O305" s="1250"/>
      <c r="P305" s="1250"/>
      <c r="Q305" s="1250"/>
      <c r="R305" s="1250"/>
      <c r="S305" s="1259"/>
      <c r="T305" s="1259"/>
      <c r="U305" s="1259"/>
      <c r="V305" s="1259"/>
      <c r="W305" s="1259"/>
      <c r="X305" s="1259"/>
      <c r="Y305" s="1250"/>
      <c r="Z305" s="1250"/>
      <c r="AA305" s="1250"/>
      <c r="AB305" s="1259"/>
      <c r="AC305" s="1259"/>
      <c r="AD305" s="1259"/>
      <c r="AE305" s="1259"/>
      <c r="AF305" s="1259"/>
      <c r="AG305" s="1342"/>
      <c r="AH305" s="1342"/>
      <c r="AI305" s="1342"/>
      <c r="AJ305" s="1342"/>
      <c r="AK305" s="1342"/>
      <c r="AL305" s="1342"/>
      <c r="AM305" s="1342"/>
      <c r="AN305" s="1342"/>
      <c r="AO305" s="1342"/>
      <c r="AP305" s="1342"/>
      <c r="AQ305" s="1342"/>
      <c r="AR305" s="1342"/>
      <c r="AS305" s="1342"/>
      <c r="AT305" s="1342"/>
      <c r="AU305" s="1342"/>
      <c r="AV305" s="1342"/>
      <c r="AW305" s="1342"/>
      <c r="AX305" s="1342"/>
      <c r="AY305" s="1342"/>
      <c r="AZ305" s="1342"/>
      <c r="BA305" s="1342"/>
      <c r="BB305" s="1342"/>
      <c r="BC305" s="1261"/>
      <c r="BD305" s="1261"/>
    </row>
    <row r="306" spans="1:56" ht="47.4" customHeight="1">
      <c r="A306" s="1341"/>
      <c r="B306" s="1341"/>
      <c r="C306" s="1341"/>
      <c r="D306" s="1250"/>
      <c r="E306" s="1250"/>
      <c r="F306" s="1250"/>
      <c r="G306" s="1250"/>
      <c r="H306" s="1250"/>
      <c r="I306" s="1250"/>
      <c r="J306" s="1250"/>
      <c r="K306" s="1250"/>
      <c r="L306" s="1250"/>
      <c r="M306" s="1250"/>
      <c r="N306" s="1250"/>
      <c r="O306" s="1250"/>
      <c r="P306" s="1250"/>
      <c r="Q306" s="1250"/>
      <c r="R306" s="1250"/>
      <c r="S306" s="1259"/>
      <c r="T306" s="1259"/>
      <c r="U306" s="1259"/>
      <c r="V306" s="1259"/>
      <c r="W306" s="1259"/>
      <c r="X306" s="1259"/>
      <c r="Y306" s="1250"/>
      <c r="Z306" s="1250"/>
      <c r="AA306" s="1250"/>
      <c r="AB306" s="1259"/>
      <c r="AC306" s="1259"/>
      <c r="AD306" s="1259"/>
      <c r="AE306" s="1259"/>
      <c r="AF306" s="1259"/>
      <c r="AG306" s="1342"/>
      <c r="AH306" s="1342"/>
      <c r="AI306" s="1342"/>
      <c r="AJ306" s="1342"/>
      <c r="AK306" s="1342"/>
      <c r="AL306" s="1342"/>
      <c r="AM306" s="1342"/>
      <c r="AN306" s="1342"/>
      <c r="AO306" s="1342"/>
      <c r="AP306" s="1342"/>
      <c r="AQ306" s="1342"/>
      <c r="AR306" s="1342"/>
      <c r="AS306" s="1342"/>
      <c r="AT306" s="1342"/>
      <c r="AU306" s="1342"/>
      <c r="AV306" s="1342"/>
      <c r="AW306" s="1342"/>
      <c r="AX306" s="1342"/>
      <c r="AY306" s="1342"/>
      <c r="AZ306" s="1342"/>
      <c r="BA306" s="1342"/>
      <c r="BB306" s="1342"/>
      <c r="BC306" s="1261"/>
      <c r="BD306" s="1261"/>
    </row>
    <row r="307" spans="1:56" ht="47.4" customHeight="1">
      <c r="A307" s="1341"/>
      <c r="B307" s="1341"/>
      <c r="C307" s="1341"/>
      <c r="D307" s="1250"/>
      <c r="E307" s="1250"/>
      <c r="F307" s="1250"/>
      <c r="G307" s="1250"/>
      <c r="H307" s="1250"/>
      <c r="I307" s="1250"/>
      <c r="J307" s="1250"/>
      <c r="K307" s="1250"/>
      <c r="L307" s="1250"/>
      <c r="M307" s="1250"/>
      <c r="N307" s="1250"/>
      <c r="O307" s="1250"/>
      <c r="P307" s="1250"/>
      <c r="Q307" s="1250"/>
      <c r="R307" s="1250"/>
      <c r="S307" s="1259"/>
      <c r="T307" s="1259"/>
      <c r="U307" s="1259"/>
      <c r="V307" s="1259"/>
      <c r="W307" s="1259"/>
      <c r="X307" s="1259"/>
      <c r="Y307" s="1250"/>
      <c r="Z307" s="1250"/>
      <c r="AA307" s="1250"/>
      <c r="AB307" s="1259"/>
      <c r="AC307" s="1259"/>
      <c r="AD307" s="1259"/>
      <c r="AE307" s="1259"/>
      <c r="AF307" s="1259"/>
      <c r="AG307" s="1342"/>
      <c r="AH307" s="1342"/>
      <c r="AI307" s="1342"/>
      <c r="AJ307" s="1342"/>
      <c r="AK307" s="1342"/>
      <c r="AL307" s="1342"/>
      <c r="AM307" s="1342"/>
      <c r="AN307" s="1342"/>
      <c r="AO307" s="1342"/>
      <c r="AP307" s="1342"/>
      <c r="AQ307" s="1342"/>
      <c r="AR307" s="1342"/>
      <c r="AS307" s="1342"/>
      <c r="AT307" s="1342"/>
      <c r="AU307" s="1342"/>
      <c r="AV307" s="1342"/>
      <c r="AW307" s="1342"/>
      <c r="AX307" s="1342"/>
      <c r="AY307" s="1342"/>
      <c r="AZ307" s="1342"/>
      <c r="BA307" s="1342"/>
      <c r="BB307" s="1342"/>
      <c r="BC307" s="1261"/>
      <c r="BD307" s="1261"/>
    </row>
    <row r="308" spans="1:56" ht="47.4" customHeight="1">
      <c r="A308" s="1341"/>
      <c r="B308" s="1341"/>
      <c r="C308" s="1341"/>
      <c r="D308" s="1250"/>
      <c r="E308" s="1250"/>
      <c r="F308" s="1250"/>
      <c r="G308" s="1250"/>
      <c r="H308" s="1250"/>
      <c r="I308" s="1250"/>
      <c r="J308" s="1250"/>
      <c r="K308" s="1250"/>
      <c r="L308" s="1250"/>
      <c r="M308" s="1250"/>
      <c r="N308" s="1250"/>
      <c r="O308" s="1250"/>
      <c r="P308" s="1250"/>
      <c r="Q308" s="1250"/>
      <c r="R308" s="1250"/>
      <c r="S308" s="1259"/>
      <c r="T308" s="1259"/>
      <c r="U308" s="1259"/>
      <c r="V308" s="1259"/>
      <c r="W308" s="1259"/>
      <c r="X308" s="1259"/>
      <c r="Y308" s="1250"/>
      <c r="Z308" s="1250"/>
      <c r="AA308" s="1250"/>
      <c r="AB308" s="1259"/>
      <c r="AC308" s="1259"/>
      <c r="AD308" s="1259"/>
      <c r="AE308" s="1259"/>
      <c r="AF308" s="1259"/>
      <c r="AG308" s="1342"/>
      <c r="AH308" s="1342"/>
      <c r="AI308" s="1342"/>
      <c r="AJ308" s="1342"/>
      <c r="AK308" s="1342"/>
      <c r="AL308" s="1342"/>
      <c r="AM308" s="1342"/>
      <c r="AN308" s="1342"/>
      <c r="AO308" s="1342"/>
      <c r="AP308" s="1342"/>
      <c r="AQ308" s="1342"/>
      <c r="AR308" s="1342"/>
      <c r="AS308" s="1342"/>
      <c r="AT308" s="1342"/>
      <c r="AU308" s="1342"/>
      <c r="AV308" s="1342"/>
      <c r="AW308" s="1342"/>
      <c r="AX308" s="1342"/>
      <c r="AY308" s="1342"/>
      <c r="AZ308" s="1342"/>
      <c r="BA308" s="1342"/>
      <c r="BB308" s="1342"/>
      <c r="BC308" s="1261"/>
      <c r="BD308" s="1261"/>
    </row>
    <row r="309" spans="1:56" ht="47.4" customHeight="1">
      <c r="A309" s="1341"/>
      <c r="B309" s="1341"/>
      <c r="C309" s="1341"/>
      <c r="D309" s="1250"/>
      <c r="E309" s="1250"/>
      <c r="F309" s="1250"/>
      <c r="G309" s="1250"/>
      <c r="H309" s="1250"/>
      <c r="I309" s="1250"/>
      <c r="J309" s="1250"/>
      <c r="K309" s="1250"/>
      <c r="L309" s="1250"/>
      <c r="M309" s="1250"/>
      <c r="N309" s="1250"/>
      <c r="O309" s="1250"/>
      <c r="P309" s="1250"/>
      <c r="Q309" s="1250"/>
      <c r="R309" s="1250"/>
      <c r="S309" s="1259"/>
      <c r="T309" s="1259"/>
      <c r="U309" s="1259"/>
      <c r="V309" s="1259"/>
      <c r="W309" s="1259"/>
      <c r="X309" s="1259"/>
      <c r="Y309" s="1250"/>
      <c r="Z309" s="1250"/>
      <c r="AA309" s="1250"/>
      <c r="AB309" s="1259"/>
      <c r="AC309" s="1259"/>
      <c r="AD309" s="1259"/>
      <c r="AE309" s="1259"/>
      <c r="AF309" s="1259"/>
      <c r="AG309" s="1342"/>
      <c r="AH309" s="1342"/>
      <c r="AI309" s="1342"/>
      <c r="AJ309" s="1342"/>
      <c r="AK309" s="1342"/>
      <c r="AL309" s="1342"/>
      <c r="AM309" s="1342"/>
      <c r="AN309" s="1342"/>
      <c r="AO309" s="1342"/>
      <c r="AP309" s="1342"/>
      <c r="AQ309" s="1342"/>
      <c r="AR309" s="1342"/>
      <c r="AS309" s="1342"/>
      <c r="AT309" s="1342"/>
      <c r="AU309" s="1342"/>
      <c r="AV309" s="1342"/>
      <c r="AW309" s="1342"/>
      <c r="AX309" s="1342"/>
      <c r="AY309" s="1342"/>
      <c r="AZ309" s="1342"/>
      <c r="BA309" s="1342"/>
      <c r="BB309" s="1342"/>
      <c r="BC309" s="1261"/>
      <c r="BD309" s="1261"/>
    </row>
    <row r="310" spans="1:56" ht="47.4" customHeight="1">
      <c r="A310" s="1341"/>
      <c r="B310" s="1341"/>
      <c r="C310" s="1341"/>
      <c r="D310" s="1250"/>
      <c r="E310" s="1250"/>
      <c r="F310" s="1250"/>
      <c r="G310" s="1250"/>
      <c r="H310" s="1250"/>
      <c r="I310" s="1250"/>
      <c r="J310" s="1250"/>
      <c r="K310" s="1250"/>
      <c r="L310" s="1250"/>
      <c r="M310" s="1250"/>
      <c r="N310" s="1250"/>
      <c r="O310" s="1250"/>
      <c r="P310" s="1250"/>
      <c r="Q310" s="1250"/>
      <c r="R310" s="1250"/>
      <c r="S310" s="1259"/>
      <c r="T310" s="1259"/>
      <c r="U310" s="1259"/>
      <c r="V310" s="1259"/>
      <c r="W310" s="1259"/>
      <c r="X310" s="1259"/>
      <c r="Y310" s="1250"/>
      <c r="Z310" s="1250"/>
      <c r="AA310" s="1250"/>
      <c r="AB310" s="1259"/>
      <c r="AC310" s="1259"/>
      <c r="AD310" s="1259"/>
      <c r="AE310" s="1259"/>
      <c r="AF310" s="1259"/>
      <c r="AG310" s="1342"/>
      <c r="AH310" s="1342"/>
      <c r="AI310" s="1342"/>
      <c r="AJ310" s="1342"/>
      <c r="AK310" s="1342"/>
      <c r="AL310" s="1342"/>
      <c r="AM310" s="1342"/>
      <c r="AN310" s="1342"/>
      <c r="AO310" s="1342"/>
      <c r="AP310" s="1342"/>
      <c r="AQ310" s="1342"/>
      <c r="AR310" s="1342"/>
      <c r="AS310" s="1342"/>
      <c r="AT310" s="1342"/>
      <c r="AU310" s="1342"/>
      <c r="AV310" s="1342"/>
      <c r="AW310" s="1342"/>
      <c r="AX310" s="1342"/>
      <c r="AY310" s="1342"/>
      <c r="AZ310" s="1342"/>
      <c r="BA310" s="1342"/>
      <c r="BB310" s="1342"/>
      <c r="BC310" s="1261"/>
      <c r="BD310" s="1261"/>
    </row>
    <row r="311" spans="1:56" ht="47.4" customHeight="1">
      <c r="A311" s="1341"/>
      <c r="B311" s="1341"/>
      <c r="C311" s="1341"/>
      <c r="D311" s="1250"/>
      <c r="E311" s="1250"/>
      <c r="F311" s="1250"/>
      <c r="G311" s="1250"/>
      <c r="H311" s="1250"/>
      <c r="I311" s="1250"/>
      <c r="J311" s="1250"/>
      <c r="K311" s="1250"/>
      <c r="L311" s="1250"/>
      <c r="M311" s="1250"/>
      <c r="N311" s="1250"/>
      <c r="O311" s="1250"/>
      <c r="P311" s="1250"/>
      <c r="Q311" s="1250"/>
      <c r="R311" s="1250"/>
      <c r="S311" s="1259"/>
      <c r="T311" s="1259"/>
      <c r="U311" s="1259"/>
      <c r="V311" s="1259"/>
      <c r="W311" s="1259"/>
      <c r="X311" s="1259"/>
      <c r="Y311" s="1250"/>
      <c r="Z311" s="1250"/>
      <c r="AA311" s="1250"/>
      <c r="AB311" s="1259"/>
      <c r="AC311" s="1259"/>
      <c r="AD311" s="1259"/>
      <c r="AE311" s="1259"/>
      <c r="AF311" s="1259"/>
      <c r="AG311" s="1342"/>
      <c r="AH311" s="1342"/>
      <c r="AI311" s="1342"/>
      <c r="AJ311" s="1342"/>
      <c r="AK311" s="1342"/>
      <c r="AL311" s="1342"/>
      <c r="AM311" s="1342"/>
      <c r="AN311" s="1342"/>
      <c r="AO311" s="1342"/>
      <c r="AP311" s="1342"/>
      <c r="AQ311" s="1342"/>
      <c r="AR311" s="1342"/>
      <c r="AS311" s="1342"/>
      <c r="AT311" s="1342"/>
      <c r="AU311" s="1342"/>
      <c r="AV311" s="1342"/>
      <c r="AW311" s="1342"/>
      <c r="AX311" s="1342"/>
      <c r="AY311" s="1342"/>
      <c r="AZ311" s="1342"/>
      <c r="BA311" s="1342"/>
      <c r="BB311" s="1342"/>
      <c r="BC311" s="1261"/>
      <c r="BD311" s="1261"/>
    </row>
    <row r="312" spans="1:56" ht="47.4" customHeight="1">
      <c r="A312" s="1341"/>
      <c r="B312" s="1341"/>
      <c r="C312" s="1341"/>
      <c r="D312" s="1250"/>
      <c r="E312" s="1250"/>
      <c r="F312" s="1250"/>
      <c r="G312" s="1250"/>
      <c r="H312" s="1250"/>
      <c r="I312" s="1250"/>
      <c r="J312" s="1250"/>
      <c r="K312" s="1250"/>
      <c r="L312" s="1250"/>
      <c r="M312" s="1250"/>
      <c r="N312" s="1250"/>
      <c r="O312" s="1250"/>
      <c r="P312" s="1250"/>
      <c r="Q312" s="1250"/>
      <c r="R312" s="1250"/>
      <c r="S312" s="1259"/>
      <c r="T312" s="1259"/>
      <c r="U312" s="1259"/>
      <c r="V312" s="1259"/>
      <c r="W312" s="1259"/>
      <c r="X312" s="1259"/>
      <c r="Y312" s="1250"/>
      <c r="Z312" s="1250"/>
      <c r="AA312" s="1250"/>
      <c r="AB312" s="1259"/>
      <c r="AC312" s="1259"/>
      <c r="AD312" s="1259"/>
      <c r="AE312" s="1259"/>
      <c r="AF312" s="1259"/>
      <c r="AG312" s="1342"/>
      <c r="AH312" s="1342"/>
      <c r="AI312" s="1342"/>
      <c r="AJ312" s="1342"/>
      <c r="AK312" s="1342"/>
      <c r="AL312" s="1342"/>
      <c r="AM312" s="1342"/>
      <c r="AN312" s="1342"/>
      <c r="AO312" s="1342"/>
      <c r="AP312" s="1342"/>
      <c r="AQ312" s="1342"/>
      <c r="AR312" s="1342"/>
      <c r="AS312" s="1342"/>
      <c r="AT312" s="1342"/>
      <c r="AU312" s="1342"/>
      <c r="AV312" s="1342"/>
      <c r="AW312" s="1342"/>
      <c r="AX312" s="1342"/>
      <c r="AY312" s="1342"/>
      <c r="AZ312" s="1342"/>
      <c r="BA312" s="1342"/>
      <c r="BB312" s="1342"/>
      <c r="BC312" s="1261"/>
      <c r="BD312" s="1261"/>
    </row>
    <row r="313" spans="1:56" ht="47.4" customHeight="1">
      <c r="A313" s="1341"/>
      <c r="B313" s="1341"/>
      <c r="C313" s="1343"/>
      <c r="D313" s="1343"/>
      <c r="E313" s="1343"/>
      <c r="F313" s="1343"/>
      <c r="G313" s="1343"/>
      <c r="H313" s="1343"/>
      <c r="I313" s="1343"/>
      <c r="J313" s="1343"/>
      <c r="K313" s="1343"/>
      <c r="L313" s="1343"/>
      <c r="M313" s="1343"/>
      <c r="N313" s="1343"/>
      <c r="O313" s="1343"/>
      <c r="P313" s="1343"/>
      <c r="Q313" s="1343"/>
      <c r="R313" s="1343"/>
      <c r="S313" s="1343"/>
      <c r="T313" s="1343"/>
      <c r="U313" s="1343"/>
      <c r="V313" s="1343"/>
      <c r="W313" s="1343"/>
      <c r="X313" s="1343"/>
      <c r="Y313" s="1343"/>
      <c r="Z313" s="1343"/>
      <c r="AA313" s="1343"/>
      <c r="AB313" s="1343"/>
      <c r="AC313" s="1343"/>
      <c r="AD313" s="1343"/>
      <c r="AE313" s="1343"/>
      <c r="AF313" s="1343"/>
      <c r="AG313" s="1343"/>
      <c r="AH313" s="1343"/>
      <c r="AI313" s="1343"/>
      <c r="AJ313" s="1343"/>
      <c r="AK313" s="1343"/>
      <c r="AL313" s="1343"/>
      <c r="AM313" s="1343"/>
      <c r="AN313" s="1343"/>
      <c r="AO313" s="1343"/>
      <c r="AP313" s="1343"/>
      <c r="AQ313" s="1343"/>
      <c r="AR313" s="1343"/>
      <c r="AS313" s="1343"/>
      <c r="AT313" s="1343"/>
      <c r="AU313" s="1343"/>
      <c r="AV313" s="1343"/>
      <c r="AW313" s="1343"/>
      <c r="AX313" s="1343"/>
      <c r="AY313" s="1343"/>
      <c r="AZ313" s="1343"/>
      <c r="BA313" s="1343"/>
      <c r="BB313" s="1343"/>
      <c r="BC313" s="1262"/>
      <c r="BD313" s="1262"/>
    </row>
  </sheetData>
  <mergeCells count="100">
    <mergeCell ref="L5:N5"/>
    <mergeCell ref="A1:BH1"/>
    <mergeCell ref="A2:BH2"/>
    <mergeCell ref="A3:BH3"/>
    <mergeCell ref="C4:AF4"/>
    <mergeCell ref="AG4:BD4"/>
    <mergeCell ref="BE4:BH4"/>
    <mergeCell ref="A5:A6"/>
    <mergeCell ref="B5:B6"/>
    <mergeCell ref="C5:C6"/>
    <mergeCell ref="D5:G5"/>
    <mergeCell ref="H5:K5"/>
    <mergeCell ref="AG5:AG6"/>
    <mergeCell ref="O5:R5"/>
    <mergeCell ref="S5:S6"/>
    <mergeCell ref="T5:T6"/>
    <mergeCell ref="U5:U6"/>
    <mergeCell ref="V5:V6"/>
    <mergeCell ref="W5:W6"/>
    <mergeCell ref="X5:X6"/>
    <mergeCell ref="Y5:Y6"/>
    <mergeCell ref="Z5:Z6"/>
    <mergeCell ref="AA5:AA6"/>
    <mergeCell ref="AC5:AF5"/>
    <mergeCell ref="AY5:AY6"/>
    <mergeCell ref="AH5:AK5"/>
    <mergeCell ref="AL5:AL6"/>
    <mergeCell ref="AM5:AP5"/>
    <mergeCell ref="AQ5:AQ6"/>
    <mergeCell ref="AR5:AR6"/>
    <mergeCell ref="AS5:AS6"/>
    <mergeCell ref="AT5:AT6"/>
    <mergeCell ref="AU5:AU6"/>
    <mergeCell ref="AV5:AV6"/>
    <mergeCell ref="AW5:AW6"/>
    <mergeCell ref="AX5:AX6"/>
    <mergeCell ref="BH15:BH17"/>
    <mergeCell ref="AZ5:AZ6"/>
    <mergeCell ref="BA5:BA6"/>
    <mergeCell ref="BB5:BB6"/>
    <mergeCell ref="BC5:BC6"/>
    <mergeCell ref="BD5:BD6"/>
    <mergeCell ref="BE5:BE6"/>
    <mergeCell ref="BF5:BF6"/>
    <mergeCell ref="BG5:BG6"/>
    <mergeCell ref="BH5:BH6"/>
    <mergeCell ref="BH10:BH11"/>
    <mergeCell ref="BH12:BH14"/>
    <mergeCell ref="BH102:BH104"/>
    <mergeCell ref="BH23:BH24"/>
    <mergeCell ref="BH26:BH29"/>
    <mergeCell ref="BH33:BH34"/>
    <mergeCell ref="BH38:BH39"/>
    <mergeCell ref="BH40:BH42"/>
    <mergeCell ref="BH46:BH47"/>
    <mergeCell ref="BH53:BH54"/>
    <mergeCell ref="BH71:BH72"/>
    <mergeCell ref="BH86:BH87"/>
    <mergeCell ref="BH90:BH91"/>
    <mergeCell ref="BH93:BH96"/>
    <mergeCell ref="BH241:BH243"/>
    <mergeCell ref="BH108:BH110"/>
    <mergeCell ref="BH115:BH116"/>
    <mergeCell ref="BH122:BH123"/>
    <mergeCell ref="BH126:BH127"/>
    <mergeCell ref="BH130:BH131"/>
    <mergeCell ref="BH136:BH139"/>
    <mergeCell ref="BH169:BH172"/>
    <mergeCell ref="BH181:BH182"/>
    <mergeCell ref="BH204:BH205"/>
    <mergeCell ref="BH221:BH225"/>
    <mergeCell ref="BH235:BH237"/>
    <mergeCell ref="A305:C305"/>
    <mergeCell ref="AG305:BB305"/>
    <mergeCell ref="BH254:BH255"/>
    <mergeCell ref="BH262:BH265"/>
    <mergeCell ref="BH274:BH276"/>
    <mergeCell ref="A296:C296"/>
    <mergeCell ref="A297:BE297"/>
    <mergeCell ref="A300:C300"/>
    <mergeCell ref="A301:C301"/>
    <mergeCell ref="A302:C302"/>
    <mergeCell ref="A303:C303"/>
    <mergeCell ref="A304:C304"/>
    <mergeCell ref="AG304:BB304"/>
    <mergeCell ref="A306:C306"/>
    <mergeCell ref="AG306:BB306"/>
    <mergeCell ref="A307:C307"/>
    <mergeCell ref="AG307:BB307"/>
    <mergeCell ref="A308:C308"/>
    <mergeCell ref="AG308:BB308"/>
    <mergeCell ref="A312:C312"/>
    <mergeCell ref="AG312:BB312"/>
    <mergeCell ref="A313:BB313"/>
    <mergeCell ref="A309:C309"/>
    <mergeCell ref="AG309:BB309"/>
    <mergeCell ref="A310:C310"/>
    <mergeCell ref="AG310:BB310"/>
    <mergeCell ref="A311:C311"/>
    <mergeCell ref="AG311:BB311"/>
  </mergeCells>
  <printOptions horizontalCentered="1" verticalCentered="1"/>
  <pageMargins left="0" right="0" top="0.98425196850393704" bottom="0.98425196850393704" header="0" footer="0"/>
  <pageSetup scale="1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F6D6A-8C55-4754-A24D-B6816B41D8D9}">
  <sheetPr>
    <pageSetUpPr fitToPage="1"/>
  </sheetPr>
  <dimension ref="A1:B44"/>
  <sheetViews>
    <sheetView topLeftCell="A43" zoomScale="110" zoomScaleNormal="110" workbookViewId="0">
      <selection activeCell="A2" sqref="A2:B2"/>
    </sheetView>
  </sheetViews>
  <sheetFormatPr baseColWidth="10" defaultColWidth="11.44140625" defaultRowHeight="13.2"/>
  <cols>
    <col min="1" max="1" width="47.44140625" style="1263" customWidth="1"/>
    <col min="2" max="2" width="84.109375" style="1263" customWidth="1"/>
    <col min="3" max="16384" width="11.44140625" style="1263"/>
  </cols>
  <sheetData>
    <row r="1" spans="1:2" ht="90.6" customHeight="1" thickBot="1">
      <c r="A1" s="1385"/>
      <c r="B1" s="1385"/>
    </row>
    <row r="2" spans="1:2" ht="27" customHeight="1" thickBot="1">
      <c r="A2" s="1386" t="s">
        <v>2580</v>
      </c>
      <c r="B2" s="1387"/>
    </row>
    <row r="3" spans="1:2" ht="24.75" customHeight="1" thickBot="1">
      <c r="A3" s="1388" t="s">
        <v>1241</v>
      </c>
      <c r="B3" s="1389"/>
    </row>
    <row r="4" spans="1:2">
      <c r="A4" s="1264" t="s">
        <v>2581</v>
      </c>
      <c r="B4" s="1264" t="s">
        <v>1242</v>
      </c>
    </row>
    <row r="5" spans="1:2">
      <c r="A5" s="1265" t="s">
        <v>2039</v>
      </c>
      <c r="B5" s="1266" t="s">
        <v>2582</v>
      </c>
    </row>
    <row r="6" spans="1:2">
      <c r="A6" s="1265" t="s">
        <v>2040</v>
      </c>
      <c r="B6" s="1266" t="s">
        <v>2583</v>
      </c>
    </row>
    <row r="7" spans="1:2" ht="34.5" customHeight="1">
      <c r="A7" s="1265" t="s">
        <v>2584</v>
      </c>
      <c r="B7" s="1266" t="s">
        <v>2585</v>
      </c>
    </row>
    <row r="8" spans="1:2" ht="39.75" customHeight="1">
      <c r="A8" s="1265" t="s">
        <v>2586</v>
      </c>
      <c r="B8" s="1266" t="s">
        <v>2587</v>
      </c>
    </row>
    <row r="9" spans="1:2" ht="32.25" customHeight="1">
      <c r="A9" s="1265" t="s">
        <v>2588</v>
      </c>
      <c r="B9" s="1266" t="s">
        <v>2589</v>
      </c>
    </row>
    <row r="10" spans="1:2" ht="32.25" customHeight="1">
      <c r="A10" s="1265" t="s">
        <v>2590</v>
      </c>
      <c r="B10" s="1266" t="s">
        <v>2591</v>
      </c>
    </row>
    <row r="11" spans="1:2" ht="57.75" customHeight="1">
      <c r="A11" s="1265" t="s">
        <v>2592</v>
      </c>
      <c r="B11" s="1266" t="s">
        <v>2593</v>
      </c>
    </row>
    <row r="12" spans="1:2" ht="21" customHeight="1">
      <c r="A12" s="1265" t="s">
        <v>2594</v>
      </c>
      <c r="B12" s="1266" t="s">
        <v>2595</v>
      </c>
    </row>
    <row r="13" spans="1:2" ht="21" customHeight="1">
      <c r="A13" s="1265" t="s">
        <v>2047</v>
      </c>
      <c r="B13" s="1266" t="s">
        <v>2596</v>
      </c>
    </row>
    <row r="14" spans="1:2" ht="21" customHeight="1">
      <c r="A14" s="1265" t="s">
        <v>2048</v>
      </c>
      <c r="B14" s="1266" t="s">
        <v>2597</v>
      </c>
    </row>
    <row r="15" spans="1:2" ht="21" customHeight="1">
      <c r="A15" s="1265" t="s">
        <v>2049</v>
      </c>
      <c r="B15" s="1266" t="s">
        <v>2598</v>
      </c>
    </row>
    <row r="16" spans="1:2" ht="21" customHeight="1">
      <c r="A16" s="1265" t="s">
        <v>2050</v>
      </c>
      <c r="B16" s="1266" t="s">
        <v>2599</v>
      </c>
    </row>
    <row r="17" spans="1:2" ht="21" customHeight="1">
      <c r="A17" s="1265" t="s">
        <v>2051</v>
      </c>
      <c r="B17" s="1266" t="s">
        <v>2600</v>
      </c>
    </row>
    <row r="18" spans="1:2" ht="21.75" customHeight="1">
      <c r="A18" s="1265" t="s">
        <v>2601</v>
      </c>
      <c r="B18" s="1266" t="s">
        <v>2602</v>
      </c>
    </row>
    <row r="19" spans="1:2" ht="21.75" customHeight="1">
      <c r="A19" s="1265" t="s">
        <v>2603</v>
      </c>
      <c r="B19" s="1266" t="s">
        <v>2604</v>
      </c>
    </row>
    <row r="20" spans="1:2" ht="21" customHeight="1">
      <c r="A20" s="1265" t="s">
        <v>2605</v>
      </c>
      <c r="B20" s="1266" t="s">
        <v>2606</v>
      </c>
    </row>
    <row r="21" spans="1:2" ht="85.5" customHeight="1">
      <c r="A21" s="1265" t="s">
        <v>2607</v>
      </c>
      <c r="B21" s="1267" t="s">
        <v>2608</v>
      </c>
    </row>
    <row r="22" spans="1:2" ht="36.75" customHeight="1">
      <c r="A22" s="1265" t="s">
        <v>2056</v>
      </c>
      <c r="B22" s="1266" t="s">
        <v>2609</v>
      </c>
    </row>
    <row r="23" spans="1:2" ht="30" customHeight="1">
      <c r="A23" s="1265" t="s">
        <v>2610</v>
      </c>
      <c r="B23" s="1268" t="s">
        <v>2611</v>
      </c>
    </row>
    <row r="24" spans="1:2" ht="39" customHeight="1">
      <c r="A24" s="1265" t="s">
        <v>2612</v>
      </c>
      <c r="B24" s="1266" t="s">
        <v>2613</v>
      </c>
    </row>
    <row r="25" spans="1:2" ht="22.5" customHeight="1">
      <c r="A25" s="1265" t="s">
        <v>2614</v>
      </c>
      <c r="B25" s="1266" t="s">
        <v>2615</v>
      </c>
    </row>
    <row r="26" spans="1:2" ht="37.5" customHeight="1">
      <c r="A26" s="1265" t="s">
        <v>2060</v>
      </c>
      <c r="B26" s="1266" t="s">
        <v>2616</v>
      </c>
    </row>
    <row r="27" spans="1:2" ht="22.5" customHeight="1">
      <c r="A27" s="1265" t="s">
        <v>2617</v>
      </c>
      <c r="B27" s="1266" t="s">
        <v>2618</v>
      </c>
    </row>
    <row r="28" spans="1:2" ht="27" customHeight="1">
      <c r="A28" s="1265" t="s">
        <v>2619</v>
      </c>
      <c r="B28" s="1266" t="s">
        <v>2620</v>
      </c>
    </row>
    <row r="29" spans="1:2" ht="22.5" customHeight="1">
      <c r="A29" s="1265" t="s">
        <v>2621</v>
      </c>
      <c r="B29" s="1266" t="s">
        <v>2622</v>
      </c>
    </row>
    <row r="30" spans="1:2" ht="22.5" customHeight="1">
      <c r="A30" s="1265" t="s">
        <v>2623</v>
      </c>
      <c r="B30" s="1266" t="s">
        <v>2624</v>
      </c>
    </row>
    <row r="31" spans="1:2" ht="22.5" customHeight="1">
      <c r="A31" s="1265" t="s">
        <v>2625</v>
      </c>
      <c r="B31" s="1266" t="s">
        <v>2626</v>
      </c>
    </row>
    <row r="32" spans="1:2" ht="22.5" customHeight="1">
      <c r="A32" s="1265" t="s">
        <v>2627</v>
      </c>
      <c r="B32" s="1266" t="s">
        <v>2628</v>
      </c>
    </row>
    <row r="33" spans="1:2" ht="22.5" customHeight="1">
      <c r="A33" s="1265" t="s">
        <v>2629</v>
      </c>
      <c r="B33" s="1266" t="s">
        <v>2626</v>
      </c>
    </row>
    <row r="34" spans="1:2" ht="22.5" customHeight="1">
      <c r="A34" s="1265" t="s">
        <v>2630</v>
      </c>
      <c r="B34" s="1266" t="s">
        <v>2631</v>
      </c>
    </row>
    <row r="35" spans="1:2" ht="22.5" customHeight="1">
      <c r="A35" s="1265" t="s">
        <v>2632</v>
      </c>
      <c r="B35" s="1266" t="s">
        <v>2633</v>
      </c>
    </row>
    <row r="36" spans="1:2" ht="21.75" customHeight="1">
      <c r="A36" s="1265" t="s">
        <v>2634</v>
      </c>
      <c r="B36" s="1266" t="s">
        <v>2635</v>
      </c>
    </row>
    <row r="37" spans="1:2" ht="25.5" customHeight="1">
      <c r="A37" s="1265" t="s">
        <v>2636</v>
      </c>
      <c r="B37" s="1266" t="s">
        <v>2637</v>
      </c>
    </row>
    <row r="38" spans="1:2" ht="25.5" customHeight="1">
      <c r="A38" s="1265" t="s">
        <v>2638</v>
      </c>
      <c r="B38" s="1266" t="s">
        <v>2639</v>
      </c>
    </row>
    <row r="39" spans="1:2" ht="25.5" customHeight="1">
      <c r="A39" s="1265" t="s">
        <v>2640</v>
      </c>
      <c r="B39" s="1266" t="s">
        <v>2641</v>
      </c>
    </row>
    <row r="40" spans="1:2" ht="25.5" customHeight="1">
      <c r="A40" s="1265" t="s">
        <v>2642</v>
      </c>
      <c r="B40" s="1266" t="s">
        <v>2643</v>
      </c>
    </row>
    <row r="41" spans="1:2" ht="21" customHeight="1">
      <c r="A41" s="1265" t="s">
        <v>2644</v>
      </c>
      <c r="B41" s="1266" t="s">
        <v>2645</v>
      </c>
    </row>
    <row r="42" spans="1:2" ht="21" customHeight="1" thickBot="1">
      <c r="A42" s="1269" t="s">
        <v>2646</v>
      </c>
      <c r="B42" s="1270" t="s">
        <v>2647</v>
      </c>
    </row>
    <row r="43" spans="1:2" ht="21" customHeight="1" thickBot="1">
      <c r="A43" s="1269" t="s">
        <v>2648</v>
      </c>
      <c r="B43" s="1270" t="s">
        <v>2649</v>
      </c>
    </row>
    <row r="44" spans="1:2" ht="24" customHeight="1" thickBot="1">
      <c r="A44" s="1269" t="s">
        <v>2650</v>
      </c>
      <c r="B44" s="1270" t="s">
        <v>2651</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T32"/>
  <sheetViews>
    <sheetView showGridLines="0" zoomScale="50" zoomScaleNormal="50" workbookViewId="0">
      <pane ySplit="5" topLeftCell="A6" activePane="bottomLeft" state="frozen"/>
      <selection activeCell="D4" sqref="D4"/>
      <selection pane="bottomLeft" activeCell="C6" sqref="C6"/>
    </sheetView>
  </sheetViews>
  <sheetFormatPr baseColWidth="10" defaultColWidth="11.44140625" defaultRowHeight="14.4"/>
  <cols>
    <col min="1" max="1" width="8.5546875" style="314" customWidth="1"/>
    <col min="2" max="2" width="62.44140625" style="314" customWidth="1"/>
    <col min="3" max="3" width="10.109375" style="314" customWidth="1"/>
    <col min="4" max="4" width="16.33203125" style="314" customWidth="1"/>
    <col min="5" max="5" width="19.33203125" style="314" customWidth="1"/>
    <col min="6" max="6" width="20" style="314" customWidth="1"/>
    <col min="7" max="7" width="9" style="314" customWidth="1"/>
    <col min="8" max="8" width="14.44140625" style="314" customWidth="1"/>
    <col min="9" max="9" width="23.44140625" style="314" customWidth="1"/>
    <col min="10" max="10" width="32" style="314" customWidth="1"/>
    <col min="11" max="11" width="15" style="314" customWidth="1"/>
    <col min="12" max="12" width="42.109375" style="314" customWidth="1"/>
    <col min="13" max="13" width="22.44140625" style="314" customWidth="1"/>
    <col min="14" max="14" width="1.88671875" style="314" customWidth="1"/>
    <col min="15" max="15" width="11.44140625" style="314"/>
    <col min="16" max="16" width="23.88671875" style="314" customWidth="1"/>
    <col min="17" max="17" width="21.33203125" style="314" customWidth="1"/>
    <col min="18" max="16384" width="11.44140625" style="314"/>
  </cols>
  <sheetData>
    <row r="1" spans="1:20" s="312" customFormat="1" ht="130.5" customHeight="1" thickBot="1">
      <c r="A1" s="1396"/>
      <c r="B1" s="1397"/>
      <c r="C1" s="1397"/>
      <c r="D1" s="1397"/>
      <c r="E1" s="1397"/>
      <c r="F1" s="1397"/>
      <c r="G1" s="1397"/>
      <c r="H1" s="1397"/>
      <c r="I1" s="1397"/>
      <c r="J1" s="1397"/>
      <c r="K1" s="1397"/>
      <c r="L1" s="1397"/>
      <c r="M1" s="1397"/>
      <c r="N1" s="1397"/>
      <c r="O1" s="1397"/>
      <c r="P1" s="1397"/>
      <c r="Q1" s="1397"/>
      <c r="R1" s="1397"/>
      <c r="S1" s="1397"/>
      <c r="T1" s="1398"/>
    </row>
    <row r="2" spans="1:20" s="313" customFormat="1" ht="16.2" thickBot="1">
      <c r="A2" s="1393">
        <f>+'Datos Generales'!A5</f>
        <v>0</v>
      </c>
      <c r="B2" s="1394"/>
      <c r="C2" s="1394"/>
      <c r="D2" s="1394"/>
      <c r="E2" s="1394"/>
      <c r="F2" s="1394"/>
      <c r="G2" s="1394"/>
      <c r="H2" s="1394"/>
      <c r="I2" s="1394"/>
      <c r="J2" s="1394"/>
      <c r="K2" s="1394"/>
      <c r="L2" s="1394"/>
      <c r="M2" s="1394"/>
      <c r="N2" s="1394"/>
      <c r="O2" s="1394"/>
      <c r="P2" s="1394"/>
      <c r="Q2" s="1394"/>
      <c r="R2" s="1394"/>
      <c r="S2" s="1394"/>
      <c r="T2" s="1395"/>
    </row>
    <row r="3" spans="1:20" s="313" customFormat="1" ht="16.5" customHeight="1" thickBot="1">
      <c r="A3" s="1338" t="s">
        <v>1293</v>
      </c>
      <c r="B3" s="1339"/>
      <c r="C3" s="1339"/>
      <c r="D3" s="1339"/>
      <c r="E3" s="1339"/>
      <c r="F3" s="1339"/>
      <c r="G3" s="1339"/>
      <c r="H3" s="1339"/>
      <c r="I3" s="1339"/>
      <c r="J3" s="1339"/>
      <c r="K3" s="1339"/>
      <c r="L3" s="1339"/>
      <c r="M3" s="1339"/>
      <c r="N3" s="1339"/>
      <c r="O3" s="1339"/>
      <c r="P3" s="1339"/>
      <c r="Q3" s="1339"/>
      <c r="R3" s="1339"/>
      <c r="S3" s="1339"/>
      <c r="T3" s="1340"/>
    </row>
    <row r="4" spans="1:20" s="313" customFormat="1" ht="30.75" customHeight="1" thickBot="1">
      <c r="A4" s="1399" t="s">
        <v>1292</v>
      </c>
      <c r="B4" s="1400"/>
      <c r="C4" s="426"/>
      <c r="D4" s="320" t="str">
        <f>+'Datos Generales'!C6</f>
        <v>2023-II</v>
      </c>
      <c r="E4" s="320"/>
      <c r="F4" s="320"/>
      <c r="G4" s="320"/>
      <c r="H4" s="1393">
        <v>2021</v>
      </c>
      <c r="I4" s="1394"/>
      <c r="J4" s="1395"/>
      <c r="K4" s="1338">
        <v>2022</v>
      </c>
      <c r="L4" s="1339"/>
      <c r="M4" s="1339"/>
      <c r="N4" s="1339"/>
      <c r="O4" s="1340"/>
      <c r="P4" s="1338">
        <v>2023</v>
      </c>
      <c r="Q4" s="1339"/>
      <c r="R4" s="1339"/>
      <c r="S4" s="1339"/>
      <c r="T4" s="1340"/>
    </row>
    <row r="5" spans="1:20" ht="30" customHeight="1">
      <c r="A5" s="304" t="s">
        <v>18</v>
      </c>
      <c r="B5" s="304" t="s">
        <v>1176</v>
      </c>
      <c r="C5" s="305">
        <v>2020</v>
      </c>
      <c r="D5" s="427">
        <v>2021</v>
      </c>
      <c r="E5" s="427">
        <v>2022</v>
      </c>
      <c r="F5" s="427">
        <v>2023</v>
      </c>
      <c r="H5" s="745" t="s">
        <v>1237</v>
      </c>
      <c r="I5" s="746" t="s">
        <v>1238</v>
      </c>
      <c r="J5" s="747" t="s">
        <v>54</v>
      </c>
      <c r="K5" s="733" t="s">
        <v>1235</v>
      </c>
      <c r="L5" s="734" t="s">
        <v>1239</v>
      </c>
      <c r="M5" s="735" t="s">
        <v>54</v>
      </c>
      <c r="N5" s="736" t="s">
        <v>876</v>
      </c>
      <c r="O5" s="737"/>
      <c r="P5" s="733" t="s">
        <v>1235</v>
      </c>
      <c r="Q5" s="734" t="s">
        <v>1239</v>
      </c>
      <c r="R5" s="735" t="s">
        <v>54</v>
      </c>
      <c r="S5" s="736" t="s">
        <v>876</v>
      </c>
      <c r="T5" s="737"/>
    </row>
    <row r="6" spans="1:20" ht="45" customHeight="1">
      <c r="A6" s="428" t="s">
        <v>1141</v>
      </c>
      <c r="B6" s="429" t="s">
        <v>1142</v>
      </c>
      <c r="C6" s="435">
        <v>0.98</v>
      </c>
      <c r="D6" s="430">
        <v>0.98</v>
      </c>
      <c r="E6" s="435" t="str">
        <f ca="1">+'1POMCAS'!I60</f>
        <v>N.A.</v>
      </c>
      <c r="F6" s="435">
        <f ca="1">+'1POMCAS'!J60</f>
        <v>1</v>
      </c>
      <c r="H6" s="748">
        <f>'1POMCAS'!F10</f>
        <v>0</v>
      </c>
      <c r="I6" s="431" t="str">
        <f>+'1POMCAS'!E12</f>
        <v>Línea Estratégica no. 1. Sostenibilidad del recurso hídrico; Programa 1.1. Planificación, administración y gestión del recurso hídrico para la protección de los ecosistemas. Proyecto 1.1.1. Regulación y reglamentación del recurso hídrico. Actividades: 1.1.1.1; 1.1.1.2 y 1.1.1.7.</v>
      </c>
      <c r="J6" s="749">
        <f>+'1POMCAS'!E13</f>
        <v>0</v>
      </c>
      <c r="K6" s="738" t="str">
        <f t="shared" ref="K6:K32" si="0">IF(ISNUMBER(D6),"",H6)</f>
        <v/>
      </c>
      <c r="L6" s="432" t="str">
        <f t="shared" ref="L6:L32" si="1">IF(ISNUMBER(I6),"",I6)</f>
        <v>Línea Estratégica no. 1. Sostenibilidad del recurso hídrico; Programa 1.1. Planificación, administración y gestión del recurso hídrico para la protección de los ecosistemas. Proyecto 1.1.1. Regulación y reglamentación del recurso hídrico. Actividades: 1.1.1.1; 1.1.1.2 y 1.1.1.7.</v>
      </c>
      <c r="M6" s="433" t="str">
        <f t="shared" ref="M6:M32" si="2">IF(ISNUMBER(J6),"",J6)</f>
        <v/>
      </c>
      <c r="N6" s="434" t="s">
        <v>876</v>
      </c>
      <c r="O6" s="739"/>
      <c r="P6" s="738" t="str">
        <f t="shared" ref="P6:P32" si="3">IF(ISNUMBER(I6),"",L6)</f>
        <v>Línea Estratégica no. 1. Sostenibilidad del recurso hídrico; Programa 1.1. Planificación, administración y gestión del recurso hídrico para la protección de los ecosistemas. Proyecto 1.1.1. Regulación y reglamentación del recurso hídrico. Actividades: 1.1.1.1; 1.1.1.2 y 1.1.1.7.</v>
      </c>
      <c r="Q6" s="432" t="str">
        <f t="shared" ref="Q6" si="4">IF(ISNUMBER(M6),"",M6)</f>
        <v/>
      </c>
      <c r="R6" s="1390" t="str">
        <f t="shared" ref="R6:R32" si="5">IF(ISNUMBER(N6),"",N6)</f>
        <v xml:space="preserve"> </v>
      </c>
      <c r="S6" s="1391"/>
      <c r="T6" s="1392"/>
    </row>
    <row r="7" spans="1:20" ht="228">
      <c r="A7" s="428" t="s">
        <v>1143</v>
      </c>
      <c r="B7" s="429" t="s">
        <v>130</v>
      </c>
      <c r="C7" s="436">
        <f>+'2PORH'!E23</f>
        <v>0</v>
      </c>
      <c r="D7" s="436">
        <f>+'2PORH'!F23</f>
        <v>3</v>
      </c>
      <c r="E7" s="436" t="str">
        <f>+'2PORH'!G23</f>
        <v>N.A.</v>
      </c>
      <c r="F7" s="436">
        <f>+'2PORH'!H23</f>
        <v>1</v>
      </c>
      <c r="H7" s="748" t="str">
        <f>+'2PORH'!F10</f>
        <v/>
      </c>
      <c r="I7" s="431" t="str">
        <f>+'2PORH'!E12</f>
        <v>Línea Estratégica no. 1. Sostenibilidad del recurso hídrico; Programa 1.1. Planificación, administración y gestión del recurso hídrico para la protección de los ecosistemas. Proyecto 1.1.1. Regulación y reglamentación del recurso hídrico. Actividades: 1.1.1.11.</v>
      </c>
      <c r="J7" s="749" t="str">
        <f>+'2PORH'!E13</f>
        <v xml:space="preserve">Durante el 2021, a través de Resolución 691 del 2021 se adoptaron los PORH de las ciénagas de Sabanagrande, Santo Tomás y Palmar de Varela que se formularon en el 2020
Para la vigencia 2022, se formuló el PORH Ciénaga de Malambo, el cual tenía programación de ejecución para vigencia 2021, siendo adoptado en el 2023 cumpliéndose en rezago (Res.0589 de 2023). 
Para la vigencia 2023, se formuló y se adoptó el PORH de la Ciénaga La Bahía (Res 01095 de 2023). </v>
      </c>
      <c r="K7" s="738" t="str">
        <f t="shared" si="0"/>
        <v/>
      </c>
      <c r="L7" s="432" t="str">
        <f t="shared" si="1"/>
        <v>Línea Estratégica no. 1. Sostenibilidad del recurso hídrico; Programa 1.1. Planificación, administración y gestión del recurso hídrico para la protección de los ecosistemas. Proyecto 1.1.1. Regulación y reglamentación del recurso hídrico. Actividades: 1.1.1.11.</v>
      </c>
      <c r="M7" s="433" t="str">
        <f t="shared" si="2"/>
        <v xml:space="preserve">Durante el 2021, a través de Resolución 691 del 2021 se adoptaron los PORH de las ciénagas de Sabanagrande, Santo Tomás y Palmar de Varela que se formularon en el 2020
Para la vigencia 2022, se formuló el PORH Ciénaga de Malambo, el cual tenía programación de ejecución para vigencia 2021, siendo adoptado en el 2023 cumpliéndose en rezago (Res.0589 de 2023). 
Para la vigencia 2023, se formuló y se adoptó el PORH de la Ciénaga La Bahía (Res 01095 de 2023). </v>
      </c>
      <c r="N7" s="434" t="s">
        <v>876</v>
      </c>
      <c r="O7" s="739"/>
      <c r="P7" s="738" t="str">
        <f t="shared" si="3"/>
        <v>Línea Estratégica no. 1. Sostenibilidad del recurso hídrico; Programa 1.1. Planificación, administración y gestión del recurso hídrico para la protección de los ecosistemas. Proyecto 1.1.1. Regulación y reglamentación del recurso hídrico. Actividades: 1.1.1.11.</v>
      </c>
      <c r="Q7" s="432"/>
      <c r="R7" s="433" t="str">
        <f t="shared" si="5"/>
        <v xml:space="preserve"> </v>
      </c>
      <c r="S7" s="434" t="s">
        <v>876</v>
      </c>
      <c r="T7" s="739"/>
    </row>
    <row r="8" spans="1:20" ht="300">
      <c r="A8" s="428" t="s">
        <v>1144</v>
      </c>
      <c r="B8" s="429" t="s">
        <v>161</v>
      </c>
      <c r="C8" s="435">
        <f>+'3PSMV'!E22</f>
        <v>1</v>
      </c>
      <c r="D8" s="435">
        <f>+'3PSMV'!F22</f>
        <v>1</v>
      </c>
      <c r="E8" s="435">
        <f>+'3PSMV'!G22</f>
        <v>1</v>
      </c>
      <c r="F8" s="435">
        <f>+'3PSMV'!H22</f>
        <v>1</v>
      </c>
      <c r="H8" s="748" t="str">
        <f>+'3PSMV'!F10</f>
        <v/>
      </c>
      <c r="I8" s="431" t="str">
        <f>+'3PSMV'!E12</f>
        <v>Línea Estratégica N°. 1. Sostenibilidad del recurso hídrico; Programa N° 1.2. Caracterización, cuantificación y recuperación del recurso agua como articulador de los bienes y servicios ambientales. Proyecto 1.2.3. Reducción de la contaminación del recurso hídrico</v>
      </c>
      <c r="J8" s="749" t="str">
        <f>+'3PSMV'!E13</f>
        <v>El seguimiento se realiza a los 23 municipios incluido el municipio de Barranquilla, para efectos del IMG se hace seguimiento a los PSMV que estan aprobados, los cuales corresponden a 22 municipios para la vigencia 2023.
Se adelantó seguimiento al estado de cumplimiento de los 23 municipios objeto de aplicación del plan de saneamiento y manejo de vertimientos - PSMV, de los cuales 22 se encuentran vigentes (Soledad, Galapa, Puerto Colombia, Santo Tomás, Sabanagrande, Polonuevo, Sabanalarga, Baranoa, Tubará, Palmar de Varela, Barranquilla, Usiacurí, Campo de la Cruz, Candelaria, Santa Lucía, Piojó , Juan de Acosta, Manatí, Repelón, Luruaco, Malambo, Ponedera).</v>
      </c>
      <c r="K8" s="738" t="str">
        <f t="shared" si="0"/>
        <v/>
      </c>
      <c r="L8" s="432" t="str">
        <f t="shared" si="1"/>
        <v>Línea Estratégica N°. 1. Sostenibilidad del recurso hídrico; Programa N° 1.2. Caracterización, cuantificación y recuperación del recurso agua como articulador de los bienes y servicios ambientales. Proyecto 1.2.3. Reducción de la contaminación del recurso hídrico</v>
      </c>
      <c r="M8" s="433" t="str">
        <f t="shared" si="2"/>
        <v>El seguimiento se realiza a los 23 municipios incluido el municipio de Barranquilla, para efectos del IMG se hace seguimiento a los PSMV que estan aprobados, los cuales corresponden a 22 municipios para la vigencia 2023.
Se adelantó seguimiento al estado de cumplimiento de los 23 municipios objeto de aplicación del plan de saneamiento y manejo de vertimientos - PSMV, de los cuales 22 se encuentran vigentes (Soledad, Galapa, Puerto Colombia, Santo Tomás, Sabanagrande, Polonuevo, Sabanalarga, Baranoa, Tubará, Palmar de Varela, Barranquilla, Usiacurí, Campo de la Cruz, Candelaria, Santa Lucía, Piojó , Juan de Acosta, Manatí, Repelón, Luruaco, Malambo, Ponedera).</v>
      </c>
      <c r="N8" s="434" t="s">
        <v>876</v>
      </c>
      <c r="O8" s="739"/>
      <c r="P8" s="738" t="str">
        <f t="shared" si="3"/>
        <v>Línea Estratégica N°. 1. Sostenibilidad del recurso hídrico; Programa N° 1.2. Caracterización, cuantificación y recuperación del recurso agua como articulador de los bienes y servicios ambientales. Proyecto 1.2.3. Reducción de la contaminación del recurso hídrico</v>
      </c>
      <c r="Q8" s="432"/>
      <c r="R8" s="433" t="str">
        <f t="shared" si="5"/>
        <v xml:space="preserve"> </v>
      </c>
      <c r="S8" s="434" t="s">
        <v>876</v>
      </c>
      <c r="T8" s="739"/>
    </row>
    <row r="9" spans="1:20" ht="96">
      <c r="A9" s="428" t="s">
        <v>1145</v>
      </c>
      <c r="B9" s="429" t="s">
        <v>182</v>
      </c>
      <c r="C9" s="435" t="s">
        <v>1803</v>
      </c>
      <c r="D9" s="435" t="s">
        <v>1803</v>
      </c>
      <c r="E9" s="435" t="s">
        <v>1803</v>
      </c>
      <c r="F9" s="754" t="str">
        <f>+'4UsoAguas'!D8</f>
        <v>SIN INFORMACION</v>
      </c>
      <c r="H9" s="748" t="str">
        <f>+'4UsoAguas'!F11</f>
        <v>Acuerdo 004 de 2020. Por medio del cual se aprueba y adopta el PAI-Atlántico Sostenible y Resiliente 2020 -2023</v>
      </c>
      <c r="I9" s="431">
        <f>+'4UsoAguas'!E12</f>
        <v>0</v>
      </c>
      <c r="J9" s="749" t="str">
        <f>+'4UsoAguas'!E13</f>
        <v xml:space="preserve"> El Departamento del Atlantico no tiene corrientes permanentes con excepción del Rio Magdalena.Se actualizará el índice del Uso de Agua para el Departamento del Atlántico, ya que éste fue construido en el año 2013.</v>
      </c>
      <c r="K9" s="738" t="str">
        <f t="shared" si="0"/>
        <v>Acuerdo 004 de 2020. Por medio del cual se aprueba y adopta el PAI-Atlántico Sostenible y Resiliente 2020 -2023</v>
      </c>
      <c r="L9" s="432" t="str">
        <f t="shared" si="1"/>
        <v/>
      </c>
      <c r="M9" s="433" t="str">
        <f t="shared" si="2"/>
        <v xml:space="preserve"> El Departamento del Atlantico no tiene corrientes permanentes con excepción del Rio Magdalena.Se actualizará el índice del Uso de Agua para el Departamento del Atlántico, ya que éste fue construido en el año 2013.</v>
      </c>
      <c r="N9" s="434" t="s">
        <v>876</v>
      </c>
      <c r="O9" s="739"/>
      <c r="P9" s="738" t="str">
        <f t="shared" si="3"/>
        <v/>
      </c>
      <c r="Q9" s="432"/>
      <c r="R9" s="433" t="str">
        <f t="shared" si="5"/>
        <v xml:space="preserve"> </v>
      </c>
      <c r="S9" s="434" t="s">
        <v>876</v>
      </c>
      <c r="T9" s="739"/>
    </row>
    <row r="10" spans="1:20" ht="120">
      <c r="A10" s="428" t="s">
        <v>1146</v>
      </c>
      <c r="B10" s="429" t="s">
        <v>199</v>
      </c>
      <c r="C10" s="435">
        <f>+'5PUEAA'!E22</f>
        <v>1</v>
      </c>
      <c r="D10" s="435">
        <f>+'5PUEAA'!F22</f>
        <v>1</v>
      </c>
      <c r="E10" s="435">
        <f>+'5PUEAA'!G22</f>
        <v>0.875</v>
      </c>
      <c r="F10" s="435">
        <f>+'5PUEAA'!H22</f>
        <v>0.56896551724137934</v>
      </c>
      <c r="H10" s="748" t="str">
        <f>+'5PUEAA'!F10</f>
        <v/>
      </c>
      <c r="I10" s="431" t="str">
        <f>+'5PUEAA'!E12</f>
        <v>Línea Estratégica N°. 1. Sostenibilidad del recurso hídrico; Programa N° 1.2. Caracterización, cuantificación y recuperación del recurso agua como articulador de los bienes y servicios ambientales. Proyecto 1.2.1. Uso eficiente y sostenible del agua. Actividad 1.2.1.2</v>
      </c>
      <c r="J10" s="749" t="str">
        <f>+'5PUEAA'!E13</f>
        <v>Se hace el ajuste de la meta de seguimiento teniendo en cuenta los PUEAA´s aprobados, sin contabilizar los requeridos y los que se encuentran en evaluación finalizada la vigencia 2023, treinta y cuatro seguimientos realizado Programas de Uso Eficiente y Ahorro del Agua.</v>
      </c>
      <c r="K10" s="738" t="str">
        <f t="shared" si="0"/>
        <v/>
      </c>
      <c r="L10" s="432" t="str">
        <f t="shared" si="1"/>
        <v>Línea Estratégica N°. 1. Sostenibilidad del recurso hídrico; Programa N° 1.2. Caracterización, cuantificación y recuperación del recurso agua como articulador de los bienes y servicios ambientales. Proyecto 1.2.1. Uso eficiente y sostenible del agua. Actividad 1.2.1.2</v>
      </c>
      <c r="M10" s="433" t="str">
        <f t="shared" si="2"/>
        <v>Se hace el ajuste de la meta de seguimiento teniendo en cuenta los PUEAA´s aprobados, sin contabilizar los requeridos y los que se encuentran en evaluación finalizada la vigencia 2023, treinta y cuatro seguimientos realizado Programas de Uso Eficiente y Ahorro del Agua.</v>
      </c>
      <c r="N10" s="434" t="s">
        <v>876</v>
      </c>
      <c r="O10" s="739"/>
      <c r="P10" s="738" t="str">
        <f t="shared" si="3"/>
        <v>Línea Estratégica N°. 1. Sostenibilidad del recurso hídrico; Programa N° 1.2. Caracterización, cuantificación y recuperación del recurso agua como articulador de los bienes y servicios ambientales. Proyecto 1.2.1. Uso eficiente y sostenible del agua. Actividad 1.2.1.2</v>
      </c>
      <c r="Q10" s="432"/>
      <c r="R10" s="433" t="str">
        <f t="shared" si="5"/>
        <v xml:space="preserve"> </v>
      </c>
      <c r="S10" s="434" t="s">
        <v>876</v>
      </c>
      <c r="T10" s="739"/>
    </row>
    <row r="11" spans="1:20" ht="120">
      <c r="A11" s="428" t="s">
        <v>1147</v>
      </c>
      <c r="B11" s="429" t="s">
        <v>219</v>
      </c>
      <c r="C11" s="435" t="str">
        <f>+'6POMCASejec'!E27</f>
        <v>N.A.</v>
      </c>
      <c r="D11" s="435">
        <f>+'6POMCASejec'!F27</f>
        <v>1</v>
      </c>
      <c r="E11" s="435">
        <f>+'6POMCASejec'!G27</f>
        <v>1</v>
      </c>
      <c r="F11" s="435">
        <f>+'6POMCASejec'!H27</f>
        <v>1</v>
      </c>
      <c r="H11" s="748" t="str">
        <f>+'6POMCASejec'!F10</f>
        <v/>
      </c>
      <c r="I11" s="431" t="str">
        <f>+'6POMCASejec'!E12</f>
        <v>Línea Estratégica N°. 1. Sostenibilidad del recurso hídrico; Programa N° 1.1. Planificación, administración y gestión del recurso hídrico para la protección de los ecosistemas. Proyecto 1.1.1 regulación y reglamentación del recurso hídrico. Actividad 1.1.1.3., 1.1.1.4., 1.1.1.5 y 1.1.2.2.</v>
      </c>
      <c r="J11" s="749" t="str">
        <f>+'6POMCASejec'!E13</f>
        <v>Mediante acuerdo de consejo directivo de agosto de 2022 (Acuerdo No. 11) se ajustaron las acciones estrategicas 1.1.1.3 - 1.1.1.4 - 1.1.1.5- 1.1.2.2</v>
      </c>
      <c r="K11" s="738" t="str">
        <f t="shared" si="0"/>
        <v/>
      </c>
      <c r="L11" s="432" t="str">
        <f t="shared" si="1"/>
        <v>Línea Estratégica N°. 1. Sostenibilidad del recurso hídrico; Programa N° 1.1. Planificación, administración y gestión del recurso hídrico para la protección de los ecosistemas. Proyecto 1.1.1 regulación y reglamentación del recurso hídrico. Actividad 1.1.1.3., 1.1.1.4., 1.1.1.5 y 1.1.2.2.</v>
      </c>
      <c r="M11" s="433" t="str">
        <f t="shared" si="2"/>
        <v>Mediante acuerdo de consejo directivo de agosto de 2022 (Acuerdo No. 11) se ajustaron las acciones estrategicas 1.1.1.3 - 1.1.1.4 - 1.1.1.5- 1.1.2.2</v>
      </c>
      <c r="N11" s="434" t="s">
        <v>876</v>
      </c>
      <c r="O11" s="739"/>
      <c r="P11" s="738" t="str">
        <f t="shared" si="3"/>
        <v>Línea Estratégica N°. 1. Sostenibilidad del recurso hídrico; Programa N° 1.1. Planificación, administración y gestión del recurso hídrico para la protección de los ecosistemas. Proyecto 1.1.1 regulación y reglamentación del recurso hídrico. Actividad 1.1.1.3., 1.1.1.4., 1.1.1.5 y 1.1.2.2.</v>
      </c>
      <c r="Q11" s="432"/>
      <c r="R11" s="433" t="str">
        <f t="shared" si="5"/>
        <v xml:space="preserve"> </v>
      </c>
      <c r="S11" s="434" t="s">
        <v>876</v>
      </c>
      <c r="T11" s="739"/>
    </row>
    <row r="12" spans="1:20" ht="145.19999999999999" customHeight="1">
      <c r="A12" s="428" t="s">
        <v>1148</v>
      </c>
      <c r="B12" s="429" t="s">
        <v>279</v>
      </c>
      <c r="C12" s="435">
        <f>+'7Clima'!E19</f>
        <v>1</v>
      </c>
      <c r="D12" s="435">
        <f>+'7Clima'!F19</f>
        <v>1</v>
      </c>
      <c r="E12" s="435">
        <f>+'7Clima'!G19</f>
        <v>1</v>
      </c>
      <c r="F12" s="435">
        <f>+'7Clima'!H19</f>
        <v>1</v>
      </c>
      <c r="H12" s="748" t="str">
        <f>+'7Clima'!F10</f>
        <v/>
      </c>
      <c r="I12" s="431" t="str">
        <f>+'7Clima'!E12</f>
        <v>Programa 4.6 - COMUNIDADES Y TERRITORIOS CON CONOCIMIENTO Y ADAPTACIÓN A LA GESTIÓN DEL RIESGO
Proyecto: 4.6.1: Conocimiento y adaptación a la Gestión del Riesgo
A.E- 4.6.1.3. Promover asesorías para el conocimiento y reducción del riesgo de desastres e incorporación de la gestión del riesgo en el ordenamiento territorial de los municipios</v>
      </c>
      <c r="J12" s="749" t="str">
        <f>+'7Clima'!E13</f>
        <v>Con las actividades desarrolladas para asesorar a los municipios del departamento del Atlántico en lo que corresponde a la incorporación del componente de gestión de riesgos a sus instrumentos de planificación, podemos indicar que al 31 de diciembre de 2023 la meta presenta se cumplió en el 100% de municipios asesorados.</v>
      </c>
      <c r="K12" s="738" t="str">
        <f t="shared" si="0"/>
        <v/>
      </c>
      <c r="L12" s="432" t="str">
        <f t="shared" si="1"/>
        <v>Programa 4.6 - COMUNIDADES Y TERRITORIOS CON CONOCIMIENTO Y ADAPTACIÓN A LA GESTIÓN DEL RIESGO
Proyecto: 4.6.1: Conocimiento y adaptación a la Gestión del Riesgo
A.E- 4.6.1.3. Promover asesorías para el conocimiento y reducción del riesgo de desastres e incorporación de la gestión del riesgo en el ordenamiento territorial de los municipios</v>
      </c>
      <c r="M12" s="433" t="str">
        <f t="shared" si="2"/>
        <v>Con las actividades desarrolladas para asesorar a los municipios del departamento del Atlántico en lo que corresponde a la incorporación del componente de gestión de riesgos a sus instrumentos de planificación, podemos indicar que al 31 de diciembre de 2023 la meta presenta se cumplió en el 100% de municipios asesorados.</v>
      </c>
      <c r="N12" s="434" t="s">
        <v>876</v>
      </c>
      <c r="O12" s="739"/>
      <c r="P12" s="738" t="str">
        <f t="shared" si="3"/>
        <v>Programa 4.6 - COMUNIDADES Y TERRITORIOS CON CONOCIMIENTO Y ADAPTACIÓN A LA GESTIÓN DEL RIESGO
Proyecto: 4.6.1: Conocimiento y adaptación a la Gestión del Riesgo
A.E- 4.6.1.3. Promover asesorías para el conocimiento y reducción del riesgo de desastres e incorporación de la gestión del riesgo en el ordenamiento territorial de los municipios</v>
      </c>
      <c r="Q12" s="432"/>
      <c r="R12" s="433" t="str">
        <f t="shared" si="5"/>
        <v xml:space="preserve"> </v>
      </c>
      <c r="S12" s="434" t="s">
        <v>876</v>
      </c>
      <c r="T12" s="739"/>
    </row>
    <row r="13" spans="1:20" ht="260.39999999999998" customHeight="1">
      <c r="A13" s="428" t="s">
        <v>1149</v>
      </c>
      <c r="B13" s="429" t="s">
        <v>313</v>
      </c>
      <c r="C13" s="435" t="str">
        <f>+'8Suelo'!E19</f>
        <v>N.A.</v>
      </c>
      <c r="D13" s="435" t="str">
        <f>+'8Suelo'!F19</f>
        <v>N.A.</v>
      </c>
      <c r="E13" s="435">
        <f>+'8Suelo'!G19</f>
        <v>1</v>
      </c>
      <c r="F13" s="435">
        <f>+'8Suelo'!H19</f>
        <v>1</v>
      </c>
      <c r="H13" s="748" t="str">
        <f>+'8Suelo'!F11</f>
        <v>Acuerdo 004 de 2020. Por medio del cual se aprueba y adopta el PAI-Atlántico Sostenible y Resiliente 2020 -2023</v>
      </c>
      <c r="I13" s="431">
        <f>+'8Suelo'!E12</f>
        <v>0</v>
      </c>
      <c r="J13" s="749" t="str">
        <f>+'8Suelo'!E13</f>
        <v xml:space="preserve">Teniendo en cuenta el Plan de Acción Institucional 2020-2023, la meta está contemplada para cumplirse en las vigencias 2022 y 2023 (Acuerdo de aprobación del Consejo Directivo N°004 del 20 de mayo de 2020) ; a traves del programa:
Programa 2.1- BIODIVERSIDAD Y RIQUEZAS DE LOS ESCOSISTEMAS TERRESTRES
Proyecto: 2.1.1 Desarrollo Forestal Sostenile
2.1.1.5 Implementar un programa de conservación de suelos y promoción de sistemas sostenibles de producción
</v>
      </c>
      <c r="K13" s="738" t="str">
        <f t="shared" si="0"/>
        <v>Acuerdo 004 de 2020. Por medio del cual se aprueba y adopta el PAI-Atlántico Sostenible y Resiliente 2020 -2023</v>
      </c>
      <c r="L13" s="432" t="str">
        <f t="shared" si="1"/>
        <v/>
      </c>
      <c r="M13" s="433" t="str">
        <f t="shared" si="2"/>
        <v xml:space="preserve">Teniendo en cuenta el Plan de Acción Institucional 2020-2023, la meta está contemplada para cumplirse en las vigencias 2022 y 2023 (Acuerdo de aprobación del Consejo Directivo N°004 del 20 de mayo de 2020) ; a traves del programa:
Programa 2.1- BIODIVERSIDAD Y RIQUEZAS DE LOS ESCOSISTEMAS TERRESTRES
Proyecto: 2.1.1 Desarrollo Forestal Sostenile
2.1.1.5 Implementar un programa de conservación de suelos y promoción de sistemas sostenibles de producción
</v>
      </c>
      <c r="N13" s="434" t="s">
        <v>876</v>
      </c>
      <c r="O13" s="739"/>
      <c r="P13" s="738" t="str">
        <f t="shared" si="3"/>
        <v/>
      </c>
      <c r="Q13" s="432"/>
      <c r="R13" s="433" t="str">
        <f t="shared" si="5"/>
        <v xml:space="preserve"> </v>
      </c>
      <c r="S13" s="434" t="s">
        <v>876</v>
      </c>
      <c r="T13" s="739"/>
    </row>
    <row r="14" spans="1:20" ht="409.6">
      <c r="A14" s="428" t="s">
        <v>1150</v>
      </c>
      <c r="B14" s="429" t="s">
        <v>347</v>
      </c>
      <c r="C14" s="435" t="str">
        <f>+'9RUNAP'!E84</f>
        <v>N.A.</v>
      </c>
      <c r="D14" s="435" t="str">
        <f>+'9RUNAP'!F84</f>
        <v>N.A.</v>
      </c>
      <c r="E14" s="435" t="str">
        <f>+'9RUNAP'!G84</f>
        <v>N.A.</v>
      </c>
      <c r="F14" s="435">
        <f>+'9RUNAP'!H84</f>
        <v>0</v>
      </c>
      <c r="H14" s="748" t="str">
        <f>+'9RUNAP'!F12</f>
        <v>Acuerdo 004 de 2020. Por medio del cual se aprueba y adopta el PAI-Atlántico Sostenible y Resiliente 2020 -2023</v>
      </c>
      <c r="I14" s="431" t="str">
        <f>+'9RUNAP'!E13</f>
        <v>La meta se estableció para cumplirse en la vigencia 2023 (Acuerdo de aprobación del Consejo Directivo N°004 del 20 de mayo de 2020), mediante el programa:
Programa 2.3- Estrategias Regionales de Conservación, Proyecto 2.3.1: Areas Protegidas, Acción Estratégica 2.3.1.5. Declarar nuevas Áreas Protegidas en el Departamento con registro ante el RUNAP.
La Meta se ajustó mediante Acuerdo No. 008 de 2023 del Consejo Directivo - Documento síntesis del proceso de declaratoria de áreas protegidas según el Decreto 1076 de 2015</v>
      </c>
      <c r="J14" s="749" t="str">
        <f>+'9RUNAP'!E14</f>
        <v>Con la ejecución del Convenio No. 001 de 2023 cuyo objeto es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Dentro de las actividades planteadas en el proyecto se encuentra declarar nuevas áreas protegidas en el departamento con registro ante el RUNAP, para ello se realizó la elaboración de un documento que presente una caracterización de la zona con información detallada en los aspectos climáticos, bióticos, abióticos, sociales, productivos, económicos y jurídicos elaborando la línea base relacionada con las problemáticas, restricciones y potencialidades del Cerro la Vieja.
Se registra como meta 1300 ha, teniendo en cuenta que el área protegida que se contempla declarar tiene esa extensión; sin embargo, esta queda en fase de aprestamiento dado que por trámites administrativos se espra su declaratoria para la vigencia del siguiente PAI (2024-2027)</v>
      </c>
      <c r="K14" s="738" t="str">
        <f t="shared" si="0"/>
        <v>Acuerdo 004 de 2020. Por medio del cual se aprueba y adopta el PAI-Atlántico Sostenible y Resiliente 2020 -2023</v>
      </c>
      <c r="L14" s="432" t="str">
        <f t="shared" si="1"/>
        <v>La meta se estableció para cumplirse en la vigencia 2023 (Acuerdo de aprobación del Consejo Directivo N°004 del 20 de mayo de 2020), mediante el programa:
Programa 2.3- Estrategias Regionales de Conservación, Proyecto 2.3.1: Areas Protegidas, Acción Estratégica 2.3.1.5. Declarar nuevas Áreas Protegidas en el Departamento con registro ante el RUNAP.
La Meta se ajustó mediante Acuerdo No. 008 de 2023 del Consejo Directivo - Documento síntesis del proceso de declaratoria de áreas protegidas según el Decreto 1076 de 2015</v>
      </c>
      <c r="M14" s="433" t="str">
        <f t="shared" si="2"/>
        <v>Con la ejecución del Convenio No. 001 de 2023 cuyo objeto es “DESARROLLO CONJUNTO DE ESTRATEGIAS DE EDUCACIÓN AMBIENTAL EN RELACIÓN CON LA CONSERVACIÓN DE LA BIODIVERSIDAD EN EL DEPARTAMENTO DEL ATLÁNTICO Y PROMOVER UN PROGRAMA DE CONSERVACIÓN DE ESPECIES DE FAUNA Y FLORA SILVESTRE CON ALGÚN RANGO DE AMENAZA CON LA PARTICIPACIÓN DE LAS COMUNIDADES LOCALES” 
Dentro de las actividades planteadas en el proyecto se encuentra declarar nuevas áreas protegidas en el departamento con registro ante el RUNAP, para ello se realizó la elaboración de un documento que presente una caracterización de la zona con información detallada en los aspectos climáticos, bióticos, abióticos, sociales, productivos, económicos y jurídicos elaborando la línea base relacionada con las problemáticas, restricciones y potencialidades del Cerro la Vieja.
Se registra como meta 1300 ha, teniendo en cuenta que el área protegida que se contempla declarar tiene esa extensión; sin embargo, esta queda en fase de aprestamiento dado que por trámites administrativos se espra su declaratoria para la vigencia del siguiente PAI (2024-2027)</v>
      </c>
      <c r="N14" s="434" t="s">
        <v>876</v>
      </c>
      <c r="O14" s="739"/>
      <c r="P14" s="738" t="str">
        <f t="shared" si="3"/>
        <v>La meta se estableció para cumplirse en la vigencia 2023 (Acuerdo de aprobación del Consejo Directivo N°004 del 20 de mayo de 2020), mediante el programa:
Programa 2.3- Estrategias Regionales de Conservación, Proyecto 2.3.1: Areas Protegidas, Acción Estratégica 2.3.1.5. Declarar nuevas Áreas Protegidas en el Departamento con registro ante el RUNAP.
La Meta se ajustó mediante Acuerdo No. 008 de 2023 del Consejo Directivo - Documento síntesis del proceso de declaratoria de áreas protegidas según el Decreto 1076 de 2015</v>
      </c>
      <c r="Q14" s="432"/>
      <c r="R14" s="433" t="str">
        <f t="shared" si="5"/>
        <v xml:space="preserve"> </v>
      </c>
      <c r="S14" s="434" t="s">
        <v>876</v>
      </c>
      <c r="T14" s="739"/>
    </row>
    <row r="15" spans="1:20" ht="84">
      <c r="A15" s="428" t="s">
        <v>1151</v>
      </c>
      <c r="B15" s="429" t="s">
        <v>395</v>
      </c>
      <c r="C15" s="435" t="s">
        <v>1230</v>
      </c>
      <c r="D15" s="435" t="s">
        <v>1230</v>
      </c>
      <c r="E15" s="435" t="str">
        <f>'10Paramos'!D8</f>
        <v>NO APLICA</v>
      </c>
      <c r="F15" s="435" t="str">
        <f>'10Paramos'!D8</f>
        <v>NO APLICA</v>
      </c>
      <c r="H15" s="748" t="str">
        <f>+'11Forest'!F11</f>
        <v>Acuerdo 004 de 2020. Por medio del cual se aprueba y adopta el PAI-Atlántico Sostenible y Resiliente 2020 -2023</v>
      </c>
      <c r="I15" s="431">
        <f>'10Paramos'!E12</f>
        <v>0</v>
      </c>
      <c r="J15" s="749" t="str">
        <f>'10Paramos'!E13</f>
        <v>NO APLICA PARA LA JURISDICCIÓN DE LA CRA.</v>
      </c>
      <c r="K15" s="738" t="str">
        <f t="shared" si="0"/>
        <v>Acuerdo 004 de 2020. Por medio del cual se aprueba y adopta el PAI-Atlántico Sostenible y Resiliente 2020 -2023</v>
      </c>
      <c r="L15" s="432" t="str">
        <f t="shared" si="1"/>
        <v/>
      </c>
      <c r="M15" s="433" t="str">
        <f t="shared" si="2"/>
        <v>NO APLICA PARA LA JURISDICCIÓN DE LA CRA.</v>
      </c>
      <c r="N15" s="434" t="s">
        <v>876</v>
      </c>
      <c r="O15" s="739"/>
      <c r="P15" s="738" t="str">
        <f t="shared" si="3"/>
        <v/>
      </c>
      <c r="Q15" s="432"/>
      <c r="R15" s="433" t="str">
        <f t="shared" si="5"/>
        <v xml:space="preserve"> </v>
      </c>
      <c r="S15" s="434" t="s">
        <v>876</v>
      </c>
      <c r="T15" s="739"/>
    </row>
    <row r="16" spans="1:20" ht="120">
      <c r="A16" s="428" t="s">
        <v>1152</v>
      </c>
      <c r="B16" s="429" t="s">
        <v>417</v>
      </c>
      <c r="C16" s="435" t="e">
        <f>+'11Forest'!M34</f>
        <v>#DIV/0!</v>
      </c>
      <c r="D16" s="435">
        <f>+'11Forest'!N34</f>
        <v>0</v>
      </c>
      <c r="E16" s="435">
        <f>+'11Forest'!O34</f>
        <v>0</v>
      </c>
      <c r="F16" s="435">
        <f>+'11Forest'!P34</f>
        <v>0</v>
      </c>
      <c r="H16" s="748" t="str">
        <f>+'11Forest'!F11</f>
        <v>Acuerdo 004 de 2020. Por medio del cual se aprueba y adopta el PAI-Atlántico Sostenible y Resiliente 2020 -2023</v>
      </c>
      <c r="I16" s="431">
        <f>+'11Forest'!E12</f>
        <v>0</v>
      </c>
      <c r="J16" s="749" t="str">
        <f>+'11Forest'!E13</f>
        <v>El Plan de Ordenamiento Forestal fue adoptado a través de la Resolución No.859 del 2018 de la C.R.A., se contempló actualizar el mismo durante la vigencia del próximo Plan de Acción 2024-2027.(Acuerdo de aprobación del Consejo Directivo N°004 del 20 de mayo de 2020)</v>
      </c>
      <c r="K16" s="738" t="str">
        <f t="shared" si="0"/>
        <v/>
      </c>
      <c r="L16" s="432" t="str">
        <f t="shared" si="1"/>
        <v/>
      </c>
      <c r="M16" s="433" t="str">
        <f t="shared" si="2"/>
        <v>El Plan de Ordenamiento Forestal fue adoptado a través de la Resolución No.859 del 2018 de la C.R.A., se contempló actualizar el mismo durante la vigencia del próximo Plan de Acción 2024-2027.(Acuerdo de aprobación del Consejo Directivo N°004 del 20 de mayo de 2020)</v>
      </c>
      <c r="N16" s="434" t="s">
        <v>876</v>
      </c>
      <c r="O16" s="739"/>
      <c r="P16" s="738" t="str">
        <f t="shared" si="3"/>
        <v/>
      </c>
      <c r="Q16" s="432"/>
      <c r="R16" s="433" t="str">
        <f t="shared" si="5"/>
        <v xml:space="preserve"> </v>
      </c>
      <c r="S16" s="434" t="s">
        <v>876</v>
      </c>
      <c r="T16" s="739"/>
    </row>
    <row r="17" spans="1:20" ht="108">
      <c r="A17" s="428" t="s">
        <v>1153</v>
      </c>
      <c r="B17" s="429" t="s">
        <v>448</v>
      </c>
      <c r="C17" s="435">
        <v>1</v>
      </c>
      <c r="D17" s="435">
        <v>1</v>
      </c>
      <c r="E17" s="435">
        <v>1</v>
      </c>
      <c r="F17" s="435">
        <f>+'12PlanesAP'!D8</f>
        <v>1</v>
      </c>
      <c r="H17" s="748" t="str">
        <f>+'12PlanesAP'!F10</f>
        <v/>
      </c>
      <c r="I17" s="431" t="str">
        <f>+'12PlanesAP'!E12</f>
        <v>Línea estratégica N°. 2. Sostenibilidad del recurso natural; Programa N° 2.3. Estrategias regionales de conservación. Proyecto 2.3.1. Áreas protegidas
Acciones Estrategicas: 2.3.1.2 - 2.3.1.6 - 2.3.1.7 - 2.3.1.8- 2.3.1.9 - 2.3.1.10</v>
      </c>
      <c r="J17" s="749">
        <f>+'12PlanesAP'!E13</f>
        <v>0</v>
      </c>
      <c r="K17" s="738" t="str">
        <f t="shared" si="0"/>
        <v/>
      </c>
      <c r="L17" s="432" t="str">
        <f t="shared" si="1"/>
        <v>Línea estratégica N°. 2. Sostenibilidad del recurso natural; Programa N° 2.3. Estrategias regionales de conservación. Proyecto 2.3.1. Áreas protegidas
Acciones Estrategicas: 2.3.1.2 - 2.3.1.6 - 2.3.1.7 - 2.3.1.8- 2.3.1.9 - 2.3.1.10</v>
      </c>
      <c r="M17" s="433" t="str">
        <f t="shared" si="2"/>
        <v/>
      </c>
      <c r="N17" s="434" t="s">
        <v>876</v>
      </c>
      <c r="O17" s="739"/>
      <c r="P17" s="738" t="str">
        <f t="shared" si="3"/>
        <v>Línea estratégica N°. 2. Sostenibilidad del recurso natural; Programa N° 2.3. Estrategias regionales de conservación. Proyecto 2.3.1. Áreas protegidas
Acciones Estrategicas: 2.3.1.2 - 2.3.1.6 - 2.3.1.7 - 2.3.1.8- 2.3.1.9 - 2.3.1.10</v>
      </c>
      <c r="Q17" s="432"/>
      <c r="R17" s="433" t="str">
        <f t="shared" si="5"/>
        <v xml:space="preserve"> </v>
      </c>
      <c r="S17" s="434" t="s">
        <v>876</v>
      </c>
      <c r="T17" s="739"/>
    </row>
    <row r="18" spans="1:20" ht="284.39999999999998" customHeight="1">
      <c r="A18" s="428" t="s">
        <v>1154</v>
      </c>
      <c r="B18" s="429" t="s">
        <v>479</v>
      </c>
      <c r="C18" s="435" t="s">
        <v>1802</v>
      </c>
      <c r="D18" s="435" t="s">
        <v>1802</v>
      </c>
      <c r="E18" s="435" t="s">
        <v>1802</v>
      </c>
      <c r="F18" s="754" t="str">
        <f>+'13Amenaz'!D8</f>
        <v>N.A.</v>
      </c>
      <c r="H18" s="748" t="str">
        <f>+'13Amenaz'!F10</f>
        <v/>
      </c>
      <c r="I18" s="431" t="str">
        <f>+'13Amenaz'!E12</f>
        <v>Línea estratégica N°. 2. Sostenibilidad del recurso natural; Programa N° 2 1. Gestión de especies. Proyecto 2.1.2. Gestión de especies. Actividad 2.1.2.3 - 2.1.2.5.</v>
      </c>
      <c r="J18" s="749" t="str">
        <f>+'13Amenaz'!E13</f>
        <v xml:space="preserve"> Según la priorización de las especies amenazadas en la jurisdicción, reportada de acuerdo  a Resolución No. 0346 del 24 de Marzo 2022 se tiene: 
Fauna Continental
• Oso hormiguero  (Myrmecophaga tridactyla)
• Mono nocturno (Aotus griseimembra)
• Chavarrí (Chauna chavaria)
• Colibrí ventrizafiro (Chrysuronia lilliae)
• Garza rojiza (Egretta rufescens)  
• Chamón caribeño (Molothrus aeneus)  
• Morrocoy (Chelonoidis carbonarius)
• Reinita celulea (Setophaga cerúlea)
 Fauna Marina
• Cocodrilo americano (Crocodylus acutus)
• Tortuga del río Magdalena (Podocnemis lewyana)
Flora Continental
• Carreto (Aspidosperma  polyneuron)  
• Ceiba roja (Pachira quinata) 
• Cedro (Cedrela odorata) 
• Guayacan (Bulnesia arborea)
• Guayacan de cartagena (Guaiacum officinale)
</v>
      </c>
      <c r="K18" s="738" t="str">
        <f t="shared" si="0"/>
        <v/>
      </c>
      <c r="L18" s="432" t="str">
        <f t="shared" si="1"/>
        <v>Línea estratégica N°. 2. Sostenibilidad del recurso natural; Programa N° 2 1. Gestión de especies. Proyecto 2.1.2. Gestión de especies. Actividad 2.1.2.3 - 2.1.2.5.</v>
      </c>
      <c r="M18" s="433" t="str">
        <f t="shared" si="2"/>
        <v xml:space="preserve"> Según la priorización de las especies amenazadas en la jurisdicción, reportada de acuerdo  a Resolución No. 0346 del 24 de Marzo 2022 se tiene: 
Fauna Continental
• Oso hormiguero  (Myrmecophaga tridactyla)
• Mono nocturno (Aotus griseimembra)
• Chavarrí (Chauna chavaria)
• Colibrí ventrizafiro (Chrysuronia lilliae)
• Garza rojiza (Egretta rufescens)  
• Chamón caribeño (Molothrus aeneus)  
• Morrocoy (Chelonoidis carbonarius)
• Reinita celulea (Setophaga cerúlea)
 Fauna Marina
• Cocodrilo americano (Crocodylus acutus)
• Tortuga del río Magdalena (Podocnemis lewyana)
Flora Continental
• Carreto (Aspidosperma  polyneuron)  
• Ceiba roja (Pachira quinata) 
• Cedro (Cedrela odorata) 
• Guayacan (Bulnesia arborea)
• Guayacan de cartagena (Guaiacum officinale)
</v>
      </c>
      <c r="N18" s="434" t="s">
        <v>876</v>
      </c>
      <c r="O18" s="739"/>
      <c r="P18" s="738" t="str">
        <f t="shared" si="3"/>
        <v>Línea estratégica N°. 2. Sostenibilidad del recurso natural; Programa N° 2 1. Gestión de especies. Proyecto 2.1.2. Gestión de especies. Actividad 2.1.2.3 - 2.1.2.5.</v>
      </c>
      <c r="Q18" s="432"/>
      <c r="R18" s="433" t="str">
        <f t="shared" si="5"/>
        <v xml:space="preserve"> </v>
      </c>
      <c r="S18" s="434" t="s">
        <v>876</v>
      </c>
      <c r="T18" s="739"/>
    </row>
    <row r="19" spans="1:20" ht="312">
      <c r="A19" s="428" t="s">
        <v>1155</v>
      </c>
      <c r="B19" s="429" t="s">
        <v>525</v>
      </c>
      <c r="C19" s="435" t="s">
        <v>1803</v>
      </c>
      <c r="D19" s="435">
        <v>1</v>
      </c>
      <c r="E19" s="435">
        <v>1</v>
      </c>
      <c r="F19" s="435">
        <f>+'14Invasor'!D8</f>
        <v>1</v>
      </c>
      <c r="H19" s="748" t="str">
        <f>+'14Invasor'!F10</f>
        <v/>
      </c>
      <c r="I19" s="431" t="str">
        <f>+'14Invasor'!E12</f>
        <v>Línea estratégica N°. 2. Sostenibilidad del recurso natural; Programa N° 2 1. Gestión de especies. Proyecto 2.1.2. Gestión de especies. Actividad 2.1.2.2</v>
      </c>
      <c r="J19" s="749" t="str">
        <f>+'14Invasor'!E13</f>
        <v xml:space="preserve">Según la priorización de las 6 especies invasoras reportada de acuerdo  a Resolución No. 0346 del 24 de Marzo 2022, la corporación determinó realizar medidas de prevención, control y manejo a 2 de ellas, para lo cual se realizó en su totalidad a estas 2, cumpliendo 100% a la meta establecida en el PAI 2020-2023.
Estas 6 especies son: 
Flora continental:
• Buchon (Eichornia crassipes)
Fauna continental:
• Caracol Gigante Africano (Achatina áulica); 
• Rana Coqui (Eleutherodactylus coquí),
Fauna Marina:
• Camarón de Asia (Penaeus monodon);
• Tilapia negra (Oreochromis mossaambicus);
• Pez Leon (Pterois volitans) 
</v>
      </c>
      <c r="K19" s="738" t="str">
        <f t="shared" si="0"/>
        <v/>
      </c>
      <c r="L19" s="432" t="str">
        <f t="shared" si="1"/>
        <v>Línea estratégica N°. 2. Sostenibilidad del recurso natural; Programa N° 2 1. Gestión de especies. Proyecto 2.1.2. Gestión de especies. Actividad 2.1.2.2</v>
      </c>
      <c r="M19" s="433" t="str">
        <f t="shared" si="2"/>
        <v xml:space="preserve">Según la priorización de las 6 especies invasoras reportada de acuerdo  a Resolución No. 0346 del 24 de Marzo 2022, la corporación determinó realizar medidas de prevención, control y manejo a 2 de ellas, para lo cual se realizó en su totalidad a estas 2, cumpliendo 100% a la meta establecida en el PAI 2020-2023.
Estas 6 especies son: 
Flora continental:
• Buchon (Eichornia crassipes)
Fauna continental:
• Caracol Gigante Africano (Achatina áulica); 
• Rana Coqui (Eleutherodactylus coquí),
Fauna Marina:
• Camarón de Asia (Penaeus monodon);
• Tilapia negra (Oreochromis mossaambicus);
• Pez Leon (Pterois volitans) 
</v>
      </c>
      <c r="N19" s="434" t="s">
        <v>876</v>
      </c>
      <c r="O19" s="739"/>
      <c r="P19" s="738" t="str">
        <f t="shared" si="3"/>
        <v>Línea estratégica N°. 2. Sostenibilidad del recurso natural; Programa N° 2 1. Gestión de especies. Proyecto 2.1.2. Gestión de especies. Actividad 2.1.2.2</v>
      </c>
      <c r="Q19" s="432"/>
      <c r="R19" s="433" t="str">
        <f t="shared" si="5"/>
        <v xml:space="preserve"> </v>
      </c>
      <c r="S19" s="434" t="s">
        <v>876</v>
      </c>
      <c r="T19" s="739"/>
    </row>
    <row r="20" spans="1:20" ht="84">
      <c r="A20" s="428" t="s">
        <v>1156</v>
      </c>
      <c r="B20" s="429" t="s">
        <v>556</v>
      </c>
      <c r="C20" s="436" t="s">
        <v>1803</v>
      </c>
      <c r="D20" s="436" t="s">
        <v>1803</v>
      </c>
      <c r="E20" s="435">
        <f>+'15Restaura'!G22</f>
        <v>1</v>
      </c>
      <c r="F20" s="435">
        <f>+'15Restaura'!H22</f>
        <v>0.68571428571428572</v>
      </c>
      <c r="H20" s="748" t="str">
        <f>+'15Restaura'!F11</f>
        <v>Acuerdo 004 de 2020. Por medio del cual se aprueba y adopta el PAI-Atlántico Sostenible y Resiliente 2020 -2023</v>
      </c>
      <c r="I20" s="431">
        <f>+'15Restaura'!E12</f>
        <v>0</v>
      </c>
      <c r="J20" s="749" t="str">
        <f>+'15Restaura'!E13</f>
        <v>Se programó la meta para avance en la vigencia 2022 y cumplimiento en la vigencia 2023, mediante el Programa 2.3 - Proyecto 2.3.1 - Acción Estrategica 2.3.1.3</v>
      </c>
      <c r="K20" s="738" t="str">
        <f t="shared" si="0"/>
        <v>Acuerdo 004 de 2020. Por medio del cual se aprueba y adopta el PAI-Atlántico Sostenible y Resiliente 2020 -2023</v>
      </c>
      <c r="L20" s="432" t="str">
        <f t="shared" si="1"/>
        <v/>
      </c>
      <c r="M20" s="433" t="str">
        <f t="shared" si="2"/>
        <v>Se programó la meta para avance en la vigencia 2022 y cumplimiento en la vigencia 2023, mediante el Programa 2.3 - Proyecto 2.3.1 - Acción Estrategica 2.3.1.3</v>
      </c>
      <c r="N20" s="434" t="s">
        <v>876</v>
      </c>
      <c r="O20" s="739"/>
      <c r="P20" s="738" t="str">
        <f t="shared" si="3"/>
        <v/>
      </c>
      <c r="Q20" s="432"/>
      <c r="R20" s="433" t="str">
        <f t="shared" si="5"/>
        <v xml:space="preserve"> </v>
      </c>
      <c r="S20" s="434" t="s">
        <v>876</v>
      </c>
      <c r="T20" s="739"/>
    </row>
    <row r="21" spans="1:20" ht="120">
      <c r="A21" s="428" t="s">
        <v>1157</v>
      </c>
      <c r="B21" s="429" t="s">
        <v>584</v>
      </c>
      <c r="C21" s="435">
        <v>0.9</v>
      </c>
      <c r="D21" s="435">
        <v>0.9</v>
      </c>
      <c r="E21" s="435">
        <f>+'16MIZC'!D8</f>
        <v>0.99999999999999989</v>
      </c>
      <c r="F21" s="435">
        <f>+'16MIZC'!D8</f>
        <v>0.99999999999999989</v>
      </c>
      <c r="H21" s="748" t="str">
        <f>+'16MIZC'!F10</f>
        <v/>
      </c>
      <c r="I21" s="431" t="str">
        <f>+'16MIZC'!E12</f>
        <v>Línea estratégica N°. 2. Sostenibilidad del recurso natural
Programa N° 2 2.. Biodiversidad y Riqueza de los Ecosistemas Marino Costeros. 
Proyecto 2.2.1 Ordenamiento Ambiental de la Unidad Costera
Proyecto 2.2.3. Conservación de ecosistemas Marinos y Costeros</v>
      </c>
      <c r="J21" s="749" t="str">
        <f>+'16MIZC'!E13</f>
        <v>Seis (6) Acciones Estrategicas para el cuatrienio: 2.2.1.1-2.2.1.2-2.2.2.1-2.2.3.1-.2.2.3.2</v>
      </c>
      <c r="K21" s="738" t="str">
        <f t="shared" si="0"/>
        <v/>
      </c>
      <c r="L21" s="432" t="str">
        <f t="shared" si="1"/>
        <v>Línea estratégica N°. 2. Sostenibilidad del recurso natural
Programa N° 2 2.. Biodiversidad y Riqueza de los Ecosistemas Marino Costeros. 
Proyecto 2.2.1 Ordenamiento Ambiental de la Unidad Costera
Proyecto 2.2.3. Conservación de ecosistemas Marinos y Costeros</v>
      </c>
      <c r="M21" s="433" t="str">
        <f t="shared" si="2"/>
        <v>Seis (6) Acciones Estrategicas para el cuatrienio: 2.2.1.1-2.2.1.2-2.2.2.1-2.2.3.1-.2.2.3.2</v>
      </c>
      <c r="N21" s="434" t="s">
        <v>876</v>
      </c>
      <c r="O21" s="739"/>
      <c r="P21" s="738" t="str">
        <f t="shared" si="3"/>
        <v>Línea estratégica N°. 2. Sostenibilidad del recurso natural
Programa N° 2 2.. Biodiversidad y Riqueza de los Ecosistemas Marino Costeros. 
Proyecto 2.2.1 Ordenamiento Ambiental de la Unidad Costera
Proyecto 2.2.3. Conservación de ecosistemas Marinos y Costeros</v>
      </c>
      <c r="Q21" s="432"/>
      <c r="R21" s="433" t="str">
        <f t="shared" si="5"/>
        <v xml:space="preserve"> </v>
      </c>
      <c r="S21" s="434" t="s">
        <v>876</v>
      </c>
      <c r="T21" s="739"/>
    </row>
    <row r="22" spans="1:20" ht="180">
      <c r="A22" s="428" t="s">
        <v>1158</v>
      </c>
      <c r="B22" s="429" t="s">
        <v>629</v>
      </c>
      <c r="C22" s="435">
        <f>+'17PGIRS'!E22</f>
        <v>1</v>
      </c>
      <c r="D22" s="435">
        <f>+'17PGIRS'!F22</f>
        <v>0.95652173913043481</v>
      </c>
      <c r="E22" s="435">
        <f>+'17PGIRS'!G22</f>
        <v>1</v>
      </c>
      <c r="F22" s="435">
        <f>+'17PGIRS'!H22</f>
        <v>1</v>
      </c>
      <c r="H22" s="748" t="str">
        <f>+'17PGIRS'!F10</f>
        <v/>
      </c>
      <c r="I22" s="431" t="str">
        <f>+'17PGIRS'!E12</f>
        <v>Línea estratégica N°. 4. Sostenibilidad sectorial; Programa N° programa no 4.4. Prevención, control y monitoreo del aire y suelo. Proyecto No 4.4.4. Residuos y economía circular. Actividad 4.4.4.2.</v>
      </c>
      <c r="J22" s="749" t="str">
        <f>+'17PGIRS'!E13</f>
        <v>Es importante mencionar que, la CRA tiene jurisdicción en el área rural del distrito de Barranquilla; sin embargo, el PGIRS del distrito en su mayoría va dirigido al área urbana del mismo, razón por la cual el seguimiento ambiental del instrumento es realizado por EPA Barranquilla Verde. En consecuencia, se aprobó en consejo directivo mediante el Acuerdo No.11 de 2022 la modificación de este indicador de 23 a 22.</v>
      </c>
      <c r="K22" s="738" t="str">
        <f t="shared" si="0"/>
        <v/>
      </c>
      <c r="L22" s="432" t="str">
        <f t="shared" si="1"/>
        <v>Línea estratégica N°. 4. Sostenibilidad sectorial; Programa N° programa no 4.4. Prevención, control y monitoreo del aire y suelo. Proyecto No 4.4.4. Residuos y economía circular. Actividad 4.4.4.2.</v>
      </c>
      <c r="M22" s="433" t="str">
        <f t="shared" si="2"/>
        <v>Es importante mencionar que, la CRA tiene jurisdicción en el área rural del distrito de Barranquilla; sin embargo, el PGIRS del distrito en su mayoría va dirigido al área urbana del mismo, razón por la cual el seguimiento ambiental del instrumento es realizado por EPA Barranquilla Verde. En consecuencia, se aprobó en consejo directivo mediante el Acuerdo No.11 de 2022 la modificación de este indicador de 23 a 22.</v>
      </c>
      <c r="N22" s="434" t="s">
        <v>876</v>
      </c>
      <c r="O22" s="739"/>
      <c r="P22" s="738" t="str">
        <f t="shared" si="3"/>
        <v>Línea estratégica N°. 4. Sostenibilidad sectorial; Programa N° programa no 4.4. Prevención, control y monitoreo del aire y suelo. Proyecto No 4.4.4. Residuos y economía circular. Actividad 4.4.4.2.</v>
      </c>
      <c r="Q22" s="432"/>
      <c r="R22" s="433" t="str">
        <f t="shared" si="5"/>
        <v xml:space="preserve"> </v>
      </c>
      <c r="S22" s="434" t="s">
        <v>876</v>
      </c>
      <c r="T22" s="739"/>
    </row>
    <row r="23" spans="1:20" ht="240">
      <c r="A23" s="428" t="s">
        <v>1159</v>
      </c>
      <c r="B23" s="429" t="s">
        <v>649</v>
      </c>
      <c r="C23" s="435">
        <f>+'18Sector'!E20</f>
        <v>1</v>
      </c>
      <c r="D23" s="435">
        <f>+'18Sector'!F20</f>
        <v>1</v>
      </c>
      <c r="E23" s="435">
        <f>+'18Sector'!G20</f>
        <v>1</v>
      </c>
      <c r="F23" s="435">
        <f>+'18Sector'!H20</f>
        <v>1</v>
      </c>
      <c r="H23" s="748" t="str">
        <f>+'18Sector'!F10</f>
        <v/>
      </c>
      <c r="I23" s="431" t="str">
        <f>+'18Sector'!E12</f>
        <v>Línea estratégica N°.2. Sostenibilidad del recurso natural; Programa N° 2.1. Biodiversidad y riqueza de los ecosistemas terrestres, Proyecto No 2.1.1. Desarrollo forestal sostenible, Actividad 2.1.1.4.
Línea estratégica N°. 4. Sostenibilidad sectorial; Programa N° 4.1. Equipamiento sostenibles. Proyecto No 4.1.1. Producción más limpia. Actividad 4.1.1.1.; Programa N° 4.2. Por un departamento con energías renovables, Proyecto N° 4.2.1. Energía de biogás-biomasa, Actividad 4.2.1.1; Proyecto N° 4.2.2. Energía solar, Actividad 4.2.2.1</v>
      </c>
      <c r="J23" s="749">
        <f>+'18Sector'!E13</f>
        <v>0</v>
      </c>
      <c r="K23" s="738" t="str">
        <f t="shared" si="0"/>
        <v/>
      </c>
      <c r="L23" s="432" t="str">
        <f t="shared" si="1"/>
        <v>Línea estratégica N°.2. Sostenibilidad del recurso natural; Programa N° 2.1. Biodiversidad y riqueza de los ecosistemas terrestres, Proyecto No 2.1.1. Desarrollo forestal sostenible, Actividad 2.1.1.4.
Línea estratégica N°. 4. Sostenibilidad sectorial; Programa N° 4.1. Equipamiento sostenibles. Proyecto No 4.1.1. Producción más limpia. Actividad 4.1.1.1.; Programa N° 4.2. Por un departamento con energías renovables, Proyecto N° 4.2.1. Energía de biogás-biomasa, Actividad 4.2.1.1; Proyecto N° 4.2.2. Energía solar, Actividad 4.2.2.1</v>
      </c>
      <c r="M23" s="433" t="str">
        <f t="shared" si="2"/>
        <v/>
      </c>
      <c r="N23" s="434" t="s">
        <v>876</v>
      </c>
      <c r="O23" s="739"/>
      <c r="P23" s="738" t="str">
        <f t="shared" si="3"/>
        <v>Línea estratégica N°.2. Sostenibilidad del recurso natural; Programa N° 2.1. Biodiversidad y riqueza de los ecosistemas terrestres, Proyecto No 2.1.1. Desarrollo forestal sostenible, Actividad 2.1.1.4.
Línea estratégica N°. 4. Sostenibilidad sectorial; Programa N° 4.1. Equipamiento sostenibles. Proyecto No 4.1.1. Producción más limpia. Actividad 4.1.1.1.; Programa N° 4.2. Por un departamento con energías renovables, Proyecto N° 4.2.1. Energía de biogás-biomasa, Actividad 4.2.1.1; Proyecto N° 4.2.2. Energía solar, Actividad 4.2.2.1</v>
      </c>
      <c r="Q23" s="432"/>
      <c r="R23" s="433" t="str">
        <f t="shared" si="5"/>
        <v xml:space="preserve"> </v>
      </c>
      <c r="S23" s="434" t="s">
        <v>876</v>
      </c>
      <c r="T23" s="739"/>
    </row>
    <row r="24" spans="1:20" ht="186" customHeight="1">
      <c r="A24" s="428" t="s">
        <v>1160</v>
      </c>
      <c r="B24" s="429" t="s">
        <v>697</v>
      </c>
      <c r="C24" s="435">
        <v>0.55000000000000004</v>
      </c>
      <c r="D24" s="435">
        <v>0.94549999999999979</v>
      </c>
      <c r="E24" s="435">
        <v>1</v>
      </c>
      <c r="F24" s="435">
        <f>+'19GAU'!D8</f>
        <v>1</v>
      </c>
      <c r="H24" s="748" t="str">
        <f>+'19GAU'!F10</f>
        <v/>
      </c>
      <c r="I24" s="431" t="str">
        <f>+'19GAU'!E12</f>
        <v>Línea Estratégica N°. 1. Sostenibilidad del recurso hídrico; Programa N° 1.2. Caracterización, cuantificación y recuperación del recurso agua como articulador de los bienes y servicios ambientales. Proyecto 1.2.3. Reducción de la contaminación del recurso hídrico.; Programa N°1.3. Gestión integral de los riesgos asociados al recurso hídrico, Proyecto 1.3.1. Generación de conocimiento y reducción del riesgo asociado al recurso hídrico.
Línea Estratégica N°. 1. 3. Sostenibilidad democrática; Programa N° 3.1. La educación ambiental como proceso de transformación cultural para la sostenibilidad ambientales. Proyecto 3.1.3. Inclusión del tema ambiental en la educación no formal.; Proyecto 3.1.4. Impulso de las estrategias educativas para la construcción de una cultura de prevención y gestión del riesgo
Línea Estratégica N°. 4. Sostenibilidad sectorial, Programa N° 4.4. Prevención, control y monitoreo del aire y suelo, Proyecto N° 4.4.3. Ruido</v>
      </c>
      <c r="J24" s="749">
        <f>+'19GAU'!E13</f>
        <v>0</v>
      </c>
      <c r="K24" s="738" t="str">
        <f t="shared" si="0"/>
        <v/>
      </c>
      <c r="L24" s="432" t="str">
        <f t="shared" si="1"/>
        <v>Línea Estratégica N°. 1. Sostenibilidad del recurso hídrico; Programa N° 1.2. Caracterización, cuantificación y recuperación del recurso agua como articulador de los bienes y servicios ambientales. Proyecto 1.2.3. Reducción de la contaminación del recurso hídrico.; Programa N°1.3. Gestión integral de los riesgos asociados al recurso hídrico, Proyecto 1.3.1. Generación de conocimiento y reducción del riesgo asociado al recurso hídrico.
Línea Estratégica N°. 1. 3. Sostenibilidad democrática; Programa N° 3.1. La educación ambiental como proceso de transformación cultural para la sostenibilidad ambientales. Proyecto 3.1.3. Inclusión del tema ambiental en la educación no formal.; Proyecto 3.1.4. Impulso de las estrategias educativas para la construcción de una cultura de prevención y gestión del riesgo
Línea Estratégica N°. 4. Sostenibilidad sectorial, Programa N° 4.4. Prevención, control y monitoreo del aire y suelo, Proyecto N° 4.4.3. Ruido</v>
      </c>
      <c r="M24" s="433" t="str">
        <f t="shared" si="2"/>
        <v/>
      </c>
      <c r="N24" s="434" t="s">
        <v>876</v>
      </c>
      <c r="O24" s="739"/>
      <c r="P24" s="738" t="str">
        <f t="shared" si="3"/>
        <v>Línea Estratégica N°. 1. Sostenibilidad del recurso hídrico; Programa N° 1.2. Caracterización, cuantificación y recuperación del recurso agua como articulador de los bienes y servicios ambientales. Proyecto 1.2.3. Reducción de la contaminación del recurso hídrico.; Programa N°1.3. Gestión integral de los riesgos asociados al recurso hídrico, Proyecto 1.3.1. Generación de conocimiento y reducción del riesgo asociado al recurso hídrico.
Línea Estratégica N°. 1. 3. Sostenibilidad democrática; Programa N° 3.1. La educación ambiental como proceso de transformación cultural para la sostenibilidad ambientales. Proyecto 3.1.3. Inclusión del tema ambiental en la educación no formal.; Proyecto 3.1.4. Impulso de las estrategias educativas para la construcción de una cultura de prevención y gestión del riesgo
Línea Estratégica N°. 4. Sostenibilidad sectorial, Programa N° 4.4. Prevención, control y monitoreo del aire y suelo, Proyecto N° 4.4.3. Ruido</v>
      </c>
      <c r="Q24" s="432"/>
      <c r="R24" s="433" t="str">
        <f t="shared" si="5"/>
        <v xml:space="preserve"> </v>
      </c>
      <c r="S24" s="434" t="s">
        <v>876</v>
      </c>
      <c r="T24" s="739"/>
    </row>
    <row r="25" spans="1:20" ht="72">
      <c r="A25" s="428" t="s">
        <v>1161</v>
      </c>
      <c r="B25" s="429" t="s">
        <v>767</v>
      </c>
      <c r="C25" s="435" t="s">
        <v>1803</v>
      </c>
      <c r="D25" s="435">
        <v>0.98573623934632049</v>
      </c>
      <c r="E25" s="435">
        <v>1</v>
      </c>
      <c r="F25" s="435">
        <f>+'20Negoc'!D8</f>
        <v>1</v>
      </c>
      <c r="H25" s="748" t="str">
        <f>+'20Negoc'!F10</f>
        <v/>
      </c>
      <c r="I25" s="431" t="str">
        <f>+'20Negoc'!E12</f>
        <v>Línea Estratégica N°. 2. Sostenibilidad del recurso natural; Programa N° 2.3. Estrategias regionales de conservación. Proyecto No 2.3.2. Negocios verdes.</v>
      </c>
      <c r="J25" s="749">
        <f>+'20Negoc'!E13</f>
        <v>0</v>
      </c>
      <c r="K25" s="738" t="str">
        <f t="shared" si="0"/>
        <v/>
      </c>
      <c r="L25" s="432" t="str">
        <f t="shared" si="1"/>
        <v>Línea Estratégica N°. 2. Sostenibilidad del recurso natural; Programa N° 2.3. Estrategias regionales de conservación. Proyecto No 2.3.2. Negocios verdes.</v>
      </c>
      <c r="M25" s="433" t="str">
        <f t="shared" si="2"/>
        <v/>
      </c>
      <c r="N25" s="434" t="s">
        <v>876</v>
      </c>
      <c r="O25" s="739"/>
      <c r="P25" s="738" t="str">
        <f t="shared" si="3"/>
        <v>Línea Estratégica N°. 2. Sostenibilidad del recurso natural; Programa N° 2.3. Estrategias regionales de conservación. Proyecto No 2.3.2. Negocios verdes.</v>
      </c>
      <c r="Q25" s="432"/>
      <c r="R25" s="433" t="str">
        <f t="shared" si="5"/>
        <v xml:space="preserve"> </v>
      </c>
      <c r="S25" s="434" t="s">
        <v>876</v>
      </c>
      <c r="T25" s="739"/>
    </row>
    <row r="26" spans="1:20" ht="156">
      <c r="A26" s="428" t="s">
        <v>1162</v>
      </c>
      <c r="B26" s="429" t="s">
        <v>828</v>
      </c>
      <c r="C26" s="435">
        <v>0.85818392134181598</v>
      </c>
      <c r="D26" s="435">
        <v>0.98166666666666669</v>
      </c>
      <c r="E26" s="435">
        <v>0.81</v>
      </c>
      <c r="F26" s="435">
        <f>+'21TiempoT'!D8</f>
        <v>0.90873563218390818</v>
      </c>
      <c r="H26" s="748" t="str">
        <f>+'21TiempoT'!F10</f>
        <v/>
      </c>
      <c r="I26" s="431" t="str">
        <f>+'21TiempoT'!E12</f>
        <v>Línea Estratégica N°. 4. Sostenibilidad sectorial, Programa N° Instrumenos económicos y de control ambiental. ACCIÓN ESTRATÉGICA No. 4.5.1.1. Promover la eficiencia en la evaluación, seguimiento y control de trámites ambientales</v>
      </c>
      <c r="J26" s="749" t="str">
        <f>+'21TiempoT'!E13</f>
        <v>La información contenida en la base de datos corresponde al total de dias hábiles del trámite sin descontar los tiempos correspondientes al usuario. Para efectos de la variable se ha descontando estos tiempos, por lo tanto, puede no haber coincidencia completa entre la base de datos y la información consignada en las variables que integran este indicador.</v>
      </c>
      <c r="K26" s="738" t="str">
        <f t="shared" si="0"/>
        <v/>
      </c>
      <c r="L26" s="432" t="str">
        <f t="shared" si="1"/>
        <v>Línea Estratégica N°. 4. Sostenibilidad sectorial, Programa N° Instrumenos económicos y de control ambiental. ACCIÓN ESTRATÉGICA No. 4.5.1.1. Promover la eficiencia en la evaluación, seguimiento y control de trámites ambientales</v>
      </c>
      <c r="M26" s="433" t="str">
        <f t="shared" si="2"/>
        <v>La información contenida en la base de datos corresponde al total de dias hábiles del trámite sin descontar los tiempos correspondientes al usuario. Para efectos de la variable se ha descontando estos tiempos, por lo tanto, puede no haber coincidencia completa entre la base de datos y la información consignada en las variables que integran este indicador.</v>
      </c>
      <c r="N26" s="434" t="s">
        <v>876</v>
      </c>
      <c r="O26" s="739"/>
      <c r="P26" s="738" t="str">
        <f t="shared" si="3"/>
        <v>Línea Estratégica N°. 4. Sostenibilidad sectorial, Programa N° Instrumenos económicos y de control ambiental. ACCIÓN ESTRATÉGICA No. 4.5.1.1. Promover la eficiencia en la evaluación, seguimiento y control de trámites ambientales</v>
      </c>
      <c r="Q26" s="432"/>
      <c r="R26" s="433" t="str">
        <f t="shared" si="5"/>
        <v xml:space="preserve"> </v>
      </c>
      <c r="S26" s="434" t="s">
        <v>876</v>
      </c>
      <c r="T26" s="739"/>
    </row>
    <row r="27" spans="1:20" ht="108">
      <c r="A27" s="428" t="s">
        <v>1163</v>
      </c>
      <c r="B27" s="429" t="s">
        <v>875</v>
      </c>
      <c r="C27" s="435">
        <v>0.62349623978823254</v>
      </c>
      <c r="D27" s="435">
        <v>0.93123876123876126</v>
      </c>
      <c r="E27" s="435">
        <v>0.85</v>
      </c>
      <c r="F27" s="754">
        <f>+'22Autor'!D8</f>
        <v>0.51725670191619921</v>
      </c>
      <c r="H27" s="748" t="str">
        <f>+'22Autor'!F10</f>
        <v/>
      </c>
      <c r="I27" s="431" t="str">
        <f>+'22Autor'!E12</f>
        <v>Línea Estratégica N°. 4. Sostenibilidad sectorial, Programa N° Instrumenos económicos y de control ambiental. ACCIÓN ESTRATÉGICA No. 4.5.1.1. Promover la eficiencia en la evaluación, seguimiento y control de trámites ambientales</v>
      </c>
      <c r="J27" s="749">
        <f>+'22Autor'!E13</f>
        <v>0</v>
      </c>
      <c r="K27" s="738" t="str">
        <f t="shared" si="0"/>
        <v/>
      </c>
      <c r="L27" s="432" t="str">
        <f t="shared" si="1"/>
        <v>Línea Estratégica N°. 4. Sostenibilidad sectorial, Programa N° Instrumenos económicos y de control ambiental. ACCIÓN ESTRATÉGICA No. 4.5.1.1. Promover la eficiencia en la evaluación, seguimiento y control de trámites ambientales</v>
      </c>
      <c r="M27" s="433" t="str">
        <f t="shared" si="2"/>
        <v/>
      </c>
      <c r="N27" s="434" t="s">
        <v>876</v>
      </c>
      <c r="O27" s="739"/>
      <c r="P27" s="738" t="str">
        <f t="shared" si="3"/>
        <v>Línea Estratégica N°. 4. Sostenibilidad sectorial, Programa N° Instrumenos económicos y de control ambiental. ACCIÓN ESTRATÉGICA No. 4.5.1.1. Promover la eficiencia en la evaluación, seguimiento y control de trámites ambientales</v>
      </c>
      <c r="Q27" s="432"/>
      <c r="R27" s="433" t="str">
        <f t="shared" si="5"/>
        <v xml:space="preserve"> </v>
      </c>
      <c r="S27" s="434" t="s">
        <v>876</v>
      </c>
      <c r="T27" s="739"/>
    </row>
    <row r="28" spans="1:20" ht="108">
      <c r="A28" s="428" t="s">
        <v>1164</v>
      </c>
      <c r="B28" s="429" t="s">
        <v>939</v>
      </c>
      <c r="C28" s="435">
        <f>+'23Sanc'!E21</f>
        <v>0.13026052104208416</v>
      </c>
      <c r="D28" s="435">
        <f>+'23Sanc'!F21</f>
        <v>0.21621621621621623</v>
      </c>
      <c r="E28" s="435">
        <f>+'23Sanc'!G21</f>
        <v>3.1830238726790451E-2</v>
      </c>
      <c r="F28" s="435">
        <f>+'23Sanc'!H21</f>
        <v>2.4271844660194174E-2</v>
      </c>
      <c r="H28" s="748" t="str">
        <f>+'22Autor'!F10</f>
        <v/>
      </c>
      <c r="I28" s="431" t="str">
        <f>+'22Autor'!E12</f>
        <v>Línea Estratégica N°. 4. Sostenibilidad sectorial, Programa N° Instrumenos económicos y de control ambiental. ACCIÓN ESTRATÉGICA No. 4.5.1.1. Promover la eficiencia en la evaluación, seguimiento y control de trámites ambientales</v>
      </c>
      <c r="J28" s="749">
        <f>+'22Autor'!E13</f>
        <v>0</v>
      </c>
      <c r="K28" s="738" t="str">
        <f t="shared" si="0"/>
        <v/>
      </c>
      <c r="L28" s="432" t="str">
        <f t="shared" si="1"/>
        <v>Línea Estratégica N°. 4. Sostenibilidad sectorial, Programa N° Instrumenos económicos y de control ambiental. ACCIÓN ESTRATÉGICA No. 4.5.1.1. Promover la eficiencia en la evaluación, seguimiento y control de trámites ambientales</v>
      </c>
      <c r="M28" s="433" t="str">
        <f t="shared" si="2"/>
        <v/>
      </c>
      <c r="N28" s="434" t="s">
        <v>876</v>
      </c>
      <c r="O28" s="739"/>
      <c r="P28" s="738" t="str">
        <f t="shared" si="3"/>
        <v>Línea Estratégica N°. 4. Sostenibilidad sectorial, Programa N° Instrumenos económicos y de control ambiental. ACCIÓN ESTRATÉGICA No. 4.5.1.1. Promover la eficiencia en la evaluación, seguimiento y control de trámites ambientales</v>
      </c>
      <c r="Q28" s="432"/>
      <c r="R28" s="433" t="str">
        <f t="shared" si="5"/>
        <v xml:space="preserve"> </v>
      </c>
      <c r="S28" s="434" t="s">
        <v>876</v>
      </c>
      <c r="T28" s="739"/>
    </row>
    <row r="29" spans="1:20" ht="72">
      <c r="A29" s="428" t="s">
        <v>1165</v>
      </c>
      <c r="B29" s="429" t="s">
        <v>960</v>
      </c>
      <c r="C29" s="435">
        <f>+'24POT'!E17</f>
        <v>1</v>
      </c>
      <c r="D29" s="435">
        <f>+'24POT'!F17</f>
        <v>1</v>
      </c>
      <c r="E29" s="435">
        <f>+'24POT'!G17</f>
        <v>1</v>
      </c>
      <c r="F29" s="435">
        <f>+'24POT'!H17</f>
        <v>1</v>
      </c>
      <c r="H29" s="748" t="str">
        <f>+'24POT'!F9</f>
        <v/>
      </c>
      <c r="I29" s="431" t="str">
        <f>'24POT'!E11</f>
        <v xml:space="preserve">Línea Estratégica N°. 4. Sostenibilidad sectorial, Programa N° 4.3. Territorios con planificación ambiental, Proyecto N° 4.3.1. Instrumentos de planificación. Actividad 4.3.1.1 </v>
      </c>
      <c r="J29" s="749">
        <f>'24POT'!E12</f>
        <v>0</v>
      </c>
      <c r="K29" s="738" t="str">
        <f t="shared" si="0"/>
        <v/>
      </c>
      <c r="L29" s="432" t="str">
        <f t="shared" si="1"/>
        <v xml:space="preserve">Línea Estratégica N°. 4. Sostenibilidad sectorial, Programa N° 4.3. Territorios con planificación ambiental, Proyecto N° 4.3.1. Instrumentos de planificación. Actividad 4.3.1.1 </v>
      </c>
      <c r="M29" s="433" t="str">
        <f t="shared" si="2"/>
        <v/>
      </c>
      <c r="N29" s="434" t="s">
        <v>876</v>
      </c>
      <c r="O29" s="739"/>
      <c r="P29" s="738" t="str">
        <f t="shared" si="3"/>
        <v xml:space="preserve">Línea Estratégica N°. 4. Sostenibilidad sectorial, Programa N° 4.3. Territorios con planificación ambiental, Proyecto N° 4.3.1. Instrumentos de planificación. Actividad 4.3.1.1 </v>
      </c>
      <c r="Q29" s="432"/>
      <c r="R29" s="433" t="str">
        <f t="shared" si="5"/>
        <v xml:space="preserve"> </v>
      </c>
      <c r="S29" s="434" t="s">
        <v>876</v>
      </c>
      <c r="T29" s="739"/>
    </row>
    <row r="30" spans="1:20" ht="192" customHeight="1">
      <c r="A30" s="428" t="s">
        <v>1166</v>
      </c>
      <c r="B30" s="429" t="s">
        <v>989</v>
      </c>
      <c r="C30" s="435">
        <v>0</v>
      </c>
      <c r="D30" s="435">
        <v>0</v>
      </c>
      <c r="E30" s="435" t="str">
        <f>+'25Redes'!D8</f>
        <v>SIN INFORMACION</v>
      </c>
      <c r="F30" s="754" t="str">
        <f>+'25Redes'!D8</f>
        <v>SIN INFORMACION</v>
      </c>
      <c r="H30" s="748" t="str">
        <f>+'25Redes'!F10</f>
        <v xml:space="preserve">      ESCRIBA EL NÚMERO DEL ACUERDO DEL CONSEJO DIRECTIVO EN LA CUAL SE APRUEBA LA AGENDA DE IMPLEMENTACION DEL INDICADOR</v>
      </c>
      <c r="I30" s="431" t="str">
        <f>+'25Redes'!E12</f>
        <v>Línea Estratégica N°. 4. Sostenibilidad sectorial, Programa N° 4.4. Prevención, control y monitoreo del aire y suelo, Proyecto N° 4.4.1. Aire. Actividad 4.4.1.1</v>
      </c>
      <c r="J30" s="749" t="str">
        <f>+'25Redes'!E13</f>
        <v>La CRA no cuenta con estaciones hidrometeorológicas.
Contamos con 2 estaciones meteorológicas las cuales fueron entregadas en funcionamiento al finalizar la vigencia 2023, por lo cual la información relacionada con los datos de la calidad del aire se medirán a partir de la vigencia 2024.</v>
      </c>
      <c r="K30" s="738" t="str">
        <f t="shared" si="0"/>
        <v/>
      </c>
      <c r="L30" s="432" t="str">
        <f t="shared" si="1"/>
        <v>Línea Estratégica N°. 4. Sostenibilidad sectorial, Programa N° 4.4. Prevención, control y monitoreo del aire y suelo, Proyecto N° 4.4.1. Aire. Actividad 4.4.1.1</v>
      </c>
      <c r="M30" s="433" t="str">
        <f t="shared" si="2"/>
        <v>La CRA no cuenta con estaciones hidrometeorológicas.
Contamos con 2 estaciones meteorológicas las cuales fueron entregadas en funcionamiento al finalizar la vigencia 2023, por lo cual la información relacionada con los datos de la calidad del aire se medirán a partir de la vigencia 2024.</v>
      </c>
      <c r="N30" s="434" t="s">
        <v>876</v>
      </c>
      <c r="O30" s="739"/>
      <c r="P30" s="738" t="str">
        <f t="shared" si="3"/>
        <v>Línea Estratégica N°. 4. Sostenibilidad sectorial, Programa N° 4.4. Prevención, control y monitoreo del aire y suelo, Proyecto N° 4.4.1. Aire. Actividad 4.4.1.1</v>
      </c>
      <c r="Q30" s="432"/>
      <c r="R30" s="433" t="str">
        <f t="shared" si="5"/>
        <v xml:space="preserve"> </v>
      </c>
      <c r="S30" s="434" t="s">
        <v>876</v>
      </c>
      <c r="T30" s="739"/>
    </row>
    <row r="31" spans="1:20" ht="324">
      <c r="A31" s="428" t="s">
        <v>1167</v>
      </c>
      <c r="B31" s="429" t="s">
        <v>1060</v>
      </c>
      <c r="C31" s="435">
        <v>0.73150453066602128</v>
      </c>
      <c r="D31" s="435">
        <v>1</v>
      </c>
      <c r="E31" s="435">
        <v>1</v>
      </c>
      <c r="F31" s="435">
        <f>+'26SIAC'!D8</f>
        <v>1</v>
      </c>
      <c r="H31" s="748" t="str">
        <f>+'26SIAC'!F10</f>
        <v/>
      </c>
      <c r="I31" s="431" t="str">
        <f>+'26SIAC'!E12</f>
        <v>Línea Estratégica N°. 1. Sostenibilidad hídrica; Programa N° 2.3. 1.2. Caracterización, cuantificación y recuperación del recurso agua como articulador de los bienes y servicios ambientales. Proyecto No 1.2.2. Control y prevención de la contaminación del recurso hídrico. Actividad 1.2.2.1.
Línea Estratégica N°. 4. Sostenibilidad sectorial, Programa N° 4.4. Prevención, control y monitoreo del aire y suelo, Proyecto N° 4.4.1. Aire. Actividad 4.4.1.3.; Proyecto N° 4.4.4. Residuos y economía circular, Actividad 4.4.4.4
Línea Estratégica N°. 5. Sostenibilidad institucional; Programa N° 5.6. Sistemas de información ambiental. Proyecto 5.6.2. Sistemas de información ambiental (SIAC). Actividad 5.6.2.2</v>
      </c>
      <c r="J31" s="749" t="str">
        <f>+'26SIAC'!E13</f>
        <v>* SISAIRE: El SVCA consta de ocho estaciones, pero debido a fallos del sistema eléctrico se retiró la estación Luruaco, y sólo están instaladas siete estaciones, y la estación FONDO02 Bomberos, se encuentra instalada pero sufrió una avería por daño en la tarjeta electrónica y no reporta datos para el caso de SISAIRE.</v>
      </c>
      <c r="K31" s="738" t="str">
        <f t="shared" si="0"/>
        <v/>
      </c>
      <c r="L31" s="432" t="str">
        <f t="shared" si="1"/>
        <v>Línea Estratégica N°. 1. Sostenibilidad hídrica; Programa N° 2.3. 1.2. Caracterización, cuantificación y recuperación del recurso agua como articulador de los bienes y servicios ambientales. Proyecto No 1.2.2. Control y prevención de la contaminación del recurso hídrico. Actividad 1.2.2.1.
Línea Estratégica N°. 4. Sostenibilidad sectorial, Programa N° 4.4. Prevención, control y monitoreo del aire y suelo, Proyecto N° 4.4.1. Aire. Actividad 4.4.1.3.; Proyecto N° 4.4.4. Residuos y economía circular, Actividad 4.4.4.4
Línea Estratégica N°. 5. Sostenibilidad institucional; Programa N° 5.6. Sistemas de información ambiental. Proyecto 5.6.2. Sistemas de información ambiental (SIAC). Actividad 5.6.2.2</v>
      </c>
      <c r="M31" s="433" t="str">
        <f t="shared" si="2"/>
        <v>* SISAIRE: El SVCA consta de ocho estaciones, pero debido a fallos del sistema eléctrico se retiró la estación Luruaco, y sólo están instaladas siete estaciones, y la estación FONDO02 Bomberos, se encuentra instalada pero sufrió una avería por daño en la tarjeta electrónica y no reporta datos para el caso de SISAIRE.</v>
      </c>
      <c r="N31" s="434" t="s">
        <v>876</v>
      </c>
      <c r="O31" s="739"/>
      <c r="P31" s="738" t="str">
        <f t="shared" si="3"/>
        <v>Línea Estratégica N°. 1. Sostenibilidad hídrica; Programa N° 2.3. 1.2. Caracterización, cuantificación y recuperación del recurso agua como articulador de los bienes y servicios ambientales. Proyecto No 1.2.2. Control y prevención de la contaminación del recurso hídrico. Actividad 1.2.2.1.
Línea Estratégica N°. 4. Sostenibilidad sectorial, Programa N° 4.4. Prevención, control y monitoreo del aire y suelo, Proyecto N° 4.4.1. Aire. Actividad 4.4.1.3.; Proyecto N° 4.4.4. Residuos y economía circular, Actividad 4.4.4.4
Línea Estratégica N°. 5. Sostenibilidad institucional; Programa N° 5.6. Sistemas de información ambiental. Proyecto 5.6.2. Sistemas de información ambiental (SIAC). Actividad 5.6.2.2</v>
      </c>
      <c r="Q31" s="432"/>
      <c r="R31" s="433" t="str">
        <f t="shared" si="5"/>
        <v xml:space="preserve"> </v>
      </c>
      <c r="S31" s="434" t="s">
        <v>876</v>
      </c>
      <c r="T31" s="739"/>
    </row>
    <row r="32" spans="1:20" ht="204.6" thickBot="1">
      <c r="A32" s="428" t="s">
        <v>1168</v>
      </c>
      <c r="B32" s="429" t="s">
        <v>1107</v>
      </c>
      <c r="C32" s="435">
        <v>0.22551773664309277</v>
      </c>
      <c r="D32" s="435">
        <v>0.91000000000000025</v>
      </c>
      <c r="E32" s="435">
        <f>+'27Educa'!D8</f>
        <v>1.0000000000000002</v>
      </c>
      <c r="F32" s="435">
        <f>+'27Educa'!D8</f>
        <v>1.0000000000000002</v>
      </c>
      <c r="H32" s="750" t="str">
        <f>+'27Educa'!F10</f>
        <v/>
      </c>
      <c r="I32" s="751" t="str">
        <f>+'27Educa'!E12</f>
        <v>Línea Estratégica N°. 3. Sostenibilidad democrática, Programa N° 3.1. La educación ambiental como proceso de transformación cultural para la sostenibilidad; Programa N° 3.2. La participación social como fundamento de la gestión ambiental territorial; Programa N° 3.3. La diversidad etnocultural del departamento del atlántico como potencial estratégico para la sostenibilidad ambiental; Programa N° 3.4. Participación para el seguimientos ods municipales del compenente ambiental</v>
      </c>
      <c r="J32" s="752">
        <f>+'27Educa'!E13</f>
        <v>0</v>
      </c>
      <c r="K32" s="740" t="str">
        <f t="shared" si="0"/>
        <v/>
      </c>
      <c r="L32" s="741" t="str">
        <f t="shared" si="1"/>
        <v>Línea Estratégica N°. 3. Sostenibilidad democrática, Programa N° 3.1. La educación ambiental como proceso de transformación cultural para la sostenibilidad; Programa N° 3.2. La participación social como fundamento de la gestión ambiental territorial; Programa N° 3.3. La diversidad etnocultural del departamento del atlántico como potencial estratégico para la sostenibilidad ambiental; Programa N° 3.4. Participación para el seguimientos ods municipales del compenente ambiental</v>
      </c>
      <c r="M32" s="742" t="str">
        <f t="shared" si="2"/>
        <v/>
      </c>
      <c r="N32" s="743" t="s">
        <v>876</v>
      </c>
      <c r="O32" s="744"/>
      <c r="P32" s="740" t="str">
        <f t="shared" si="3"/>
        <v>Línea Estratégica N°. 3. Sostenibilidad democrática, Programa N° 3.1. La educación ambiental como proceso de transformación cultural para la sostenibilidad; Programa N° 3.2. La participación social como fundamento de la gestión ambiental territorial; Programa N° 3.3. La diversidad etnocultural del departamento del atlántico como potencial estratégico para la sostenibilidad ambiental; Programa N° 3.4. Participación para el seguimientos ods municipales del compenente ambiental</v>
      </c>
      <c r="Q32" s="741" t="str">
        <f t="shared" ref="Q32" si="6">IF(ISNUMBER(M32),"",M32)</f>
        <v/>
      </c>
      <c r="R32" s="742" t="str">
        <f t="shared" si="5"/>
        <v xml:space="preserve"> </v>
      </c>
      <c r="S32" s="743" t="s">
        <v>876</v>
      </c>
      <c r="T32" s="744"/>
    </row>
  </sheetData>
  <mergeCells count="8">
    <mergeCell ref="R6:T6"/>
    <mergeCell ref="P4:T4"/>
    <mergeCell ref="A3:T3"/>
    <mergeCell ref="A2:T2"/>
    <mergeCell ref="A1:T1"/>
    <mergeCell ref="A4:B4"/>
    <mergeCell ref="K4:O4"/>
    <mergeCell ref="H4:J4"/>
  </mergeCells>
  <conditionalFormatting sqref="C6:C16 D7:F8 D13:D15 D10:F12 C21 E13:F14 D16:F16 C18:C19 C26:C28 D28:F28 C30:C32">
    <cfRule type="colorScale" priority="23">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onditionalFormatting>
  <conditionalFormatting sqref="C17">
    <cfRule type="colorScale" priority="10">
      <colorScale>
        <cfvo type="min"/>
        <cfvo type="percentile" val="50"/>
        <cfvo type="max"/>
        <color rgb="FFF8696B"/>
        <color rgb="FFFFEB84"/>
        <color rgb="FF63BE7B"/>
      </colorScale>
    </cfRule>
  </conditionalFormatting>
  <conditionalFormatting sqref="C20">
    <cfRule type="colorScale" priority="12">
      <colorScale>
        <cfvo type="min"/>
        <cfvo type="percentile" val="50"/>
        <cfvo type="max"/>
        <color rgb="FFF8696B"/>
        <color rgb="FFFFEB84"/>
        <color rgb="FF63BE7B"/>
      </colorScale>
    </cfRule>
  </conditionalFormatting>
  <conditionalFormatting sqref="C22:F22">
    <cfRule type="colorScale" priority="5">
      <colorScale>
        <cfvo type="min"/>
        <cfvo type="percentile" val="50"/>
        <cfvo type="max"/>
        <color rgb="FFF8696B"/>
        <color rgb="FFFFEB84"/>
        <color rgb="FF63BE7B"/>
      </colorScale>
    </cfRule>
  </conditionalFormatting>
  <conditionalFormatting sqref="C23:F23">
    <cfRule type="colorScale" priority="4">
      <colorScale>
        <cfvo type="min"/>
        <cfvo type="percentile" val="50"/>
        <cfvo type="max"/>
        <color rgb="FFF8696B"/>
        <color rgb="FFFFEB84"/>
        <color rgb="FF63BE7B"/>
      </colorScale>
    </cfRule>
  </conditionalFormatting>
  <conditionalFormatting sqref="C24:F24">
    <cfRule type="colorScale" priority="3">
      <colorScale>
        <cfvo type="min"/>
        <cfvo type="percentile" val="50"/>
        <cfvo type="max"/>
        <color rgb="FFF8696B"/>
        <color rgb="FFFFEB84"/>
        <color rgb="FF63BE7B"/>
      </colorScale>
    </cfRule>
  </conditionalFormatting>
  <conditionalFormatting sqref="C25:F25">
    <cfRule type="colorScale" priority="2">
      <colorScale>
        <cfvo type="min"/>
        <cfvo type="percentile" val="50"/>
        <cfvo type="max"/>
        <color rgb="FFF8696B"/>
        <color rgb="FFFFEB84"/>
        <color rgb="FF63BE7B"/>
      </colorScale>
    </cfRule>
  </conditionalFormatting>
  <conditionalFormatting sqref="C29:F29">
    <cfRule type="colorScale" priority="1">
      <colorScale>
        <cfvo type="min"/>
        <cfvo type="percentile" val="50"/>
        <cfvo type="max"/>
        <color rgb="FFF8696B"/>
        <color rgb="FFFFEB84"/>
        <color rgb="FF63BE7B"/>
      </colorScale>
    </cfRule>
  </conditionalFormatting>
  <conditionalFormatting sqref="D6 D9 D17:D21 D26:D27 D30:D32">
    <cfRule type="colorScale" priority="51">
      <colorScale>
        <cfvo type="min"/>
        <cfvo type="percentile" val="50"/>
        <cfvo type="max"/>
        <color rgb="FFF8696B"/>
        <color rgb="FFFFEB84"/>
        <color rgb="FF63BE7B"/>
      </colorScale>
    </cfRule>
  </conditionalFormatting>
  <conditionalFormatting sqref="E18">
    <cfRule type="colorScale" priority="8">
      <colorScale>
        <cfvo type="min"/>
        <cfvo type="percentile" val="50"/>
        <cfvo type="max"/>
        <color rgb="FFF8696B"/>
        <color rgb="FFFFEB84"/>
        <color rgb="FF63BE7B"/>
      </colorScale>
    </cfRule>
  </conditionalFormatting>
  <conditionalFormatting sqref="E19">
    <cfRule type="colorScale" priority="7">
      <colorScale>
        <cfvo type="min"/>
        <cfvo type="percentile" val="50"/>
        <cfvo type="max"/>
        <color rgb="FFF8696B"/>
        <color rgb="FFFFEB84"/>
        <color rgb="FF63BE7B"/>
      </colorScale>
    </cfRule>
  </conditionalFormatting>
  <conditionalFormatting sqref="E20">
    <cfRule type="colorScale" priority="11">
      <colorScale>
        <cfvo type="min"/>
        <cfvo type="percentile" val="50"/>
        <cfvo type="max"/>
        <color rgb="FFF8696B"/>
        <color rgb="FFFFEB84"/>
        <color rgb="FF63BE7B"/>
      </colorScale>
    </cfRule>
  </conditionalFormatting>
  <conditionalFormatting sqref="E6:F6">
    <cfRule type="colorScale" priority="26">
      <colorScale>
        <cfvo type="min"/>
        <cfvo type="percentile" val="50"/>
        <cfvo type="max"/>
        <color rgb="FFF8696B"/>
        <color rgb="FFFFEB84"/>
        <color rgb="FF63BE7B"/>
      </colorScale>
    </cfRule>
  </conditionalFormatting>
  <conditionalFormatting sqref="E9:F9 E15:F15 E26:F27 F18:F20 E30:F32">
    <cfRule type="colorScale" priority="27">
      <colorScale>
        <cfvo type="min"/>
        <cfvo type="percentile" val="50"/>
        <cfvo type="max"/>
        <color rgb="FFF8696B"/>
        <color rgb="FFFFEB84"/>
        <color rgb="FF63BE7B"/>
      </colorScale>
    </cfRule>
  </conditionalFormatting>
  <conditionalFormatting sqref="E17:F17">
    <cfRule type="colorScale" priority="9">
      <colorScale>
        <cfvo type="min"/>
        <cfvo type="percentile" val="50"/>
        <cfvo type="max"/>
        <color rgb="FFF8696B"/>
        <color rgb="FFFFEB84"/>
        <color rgb="FF63BE7B"/>
      </colorScale>
    </cfRule>
  </conditionalFormatting>
  <conditionalFormatting sqref="E21:F21">
    <cfRule type="colorScale" priority="6">
      <colorScale>
        <cfvo type="min"/>
        <cfvo type="percentile" val="50"/>
        <cfvo type="max"/>
        <color rgb="FFF8696B"/>
        <color rgb="FFFFEB84"/>
        <color rgb="FF63BE7B"/>
      </colorScale>
    </cfRule>
  </conditionalFormatting>
  <conditionalFormatting sqref="H6:I6">
    <cfRule type="colorScale" priority="36">
      <colorScale>
        <cfvo type="min"/>
        <cfvo type="percentile" val="50"/>
        <cfvo type="max"/>
        <color rgb="FFF8696B"/>
        <color rgb="FFFFEB84"/>
        <color rgb="FF63BE7B"/>
      </colorScale>
    </cfRule>
  </conditionalFormatting>
  <conditionalFormatting sqref="H7:I32">
    <cfRule type="colorScale" priority="48">
      <colorScale>
        <cfvo type="min"/>
        <cfvo type="percentile" val="50"/>
        <cfvo type="max"/>
        <color rgb="FFF8696B"/>
        <color rgb="FFFFEB84"/>
        <color rgb="FF63BE7B"/>
      </colorScale>
    </cfRule>
  </conditionalFormatting>
  <conditionalFormatting sqref="J6">
    <cfRule type="colorScale" priority="35">
      <colorScale>
        <cfvo type="min"/>
        <cfvo type="percentile" val="50"/>
        <cfvo type="max"/>
        <color rgb="FFF8696B"/>
        <color rgb="FFFFEB84"/>
        <color rgb="FF63BE7B"/>
      </colorScale>
    </cfRule>
  </conditionalFormatting>
  <conditionalFormatting sqref="J7:J32">
    <cfRule type="colorScale" priority="37">
      <colorScale>
        <cfvo type="min"/>
        <cfvo type="percentile" val="50"/>
        <cfvo type="max"/>
        <color rgb="FFF8696B"/>
        <color rgb="FFFFEB84"/>
        <color rgb="FF63BE7B"/>
      </colorScale>
    </cfRule>
  </conditionalFormatting>
  <conditionalFormatting sqref="K6:K7">
    <cfRule type="colorScale" priority="44">
      <colorScale>
        <cfvo type="min"/>
        <cfvo type="percentile" val="50"/>
        <cfvo type="max"/>
        <color rgb="FFF8696B"/>
        <color rgb="FFFFEB84"/>
        <color rgb="FF63BE7B"/>
      </colorScale>
    </cfRule>
  </conditionalFormatting>
  <conditionalFormatting sqref="K8:K32">
    <cfRule type="colorScale" priority="43">
      <colorScale>
        <cfvo type="min"/>
        <cfvo type="percentile" val="50"/>
        <cfvo type="max"/>
        <color rgb="FFF8696B"/>
        <color rgb="FFFFEB84"/>
        <color rgb="FF63BE7B"/>
      </colorScale>
    </cfRule>
  </conditionalFormatting>
  <conditionalFormatting sqref="L6:L32">
    <cfRule type="colorScale" priority="42">
      <colorScale>
        <cfvo type="min"/>
        <cfvo type="percentile" val="50"/>
        <cfvo type="max"/>
        <color rgb="FFF8696B"/>
        <color rgb="FFFFEB84"/>
        <color rgb="FF63BE7B"/>
      </colorScale>
    </cfRule>
  </conditionalFormatting>
  <conditionalFormatting sqref="M6">
    <cfRule type="colorScale" priority="40">
      <colorScale>
        <cfvo type="min"/>
        <cfvo type="percentile" val="50"/>
        <cfvo type="max"/>
        <color rgb="FFF8696B"/>
        <color rgb="FFFFEB84"/>
        <color rgb="FF63BE7B"/>
      </colorScale>
    </cfRule>
  </conditionalFormatting>
  <conditionalFormatting sqref="M7:M32">
    <cfRule type="colorScale" priority="38">
      <colorScale>
        <cfvo type="min"/>
        <cfvo type="percentile" val="50"/>
        <cfvo type="max"/>
        <color rgb="FFF8696B"/>
        <color rgb="FFFFEB84"/>
        <color rgb="FF63BE7B"/>
      </colorScale>
    </cfRule>
  </conditionalFormatting>
  <conditionalFormatting sqref="N6">
    <cfRule type="colorScale" priority="32">
      <colorScale>
        <cfvo type="min"/>
        <cfvo type="percentile" val="50"/>
        <cfvo type="max"/>
        <color rgb="FFF8696B"/>
        <color rgb="FFFFEB84"/>
        <color rgb="FF63BE7B"/>
      </colorScale>
    </cfRule>
  </conditionalFormatting>
  <conditionalFormatting sqref="N7:N32">
    <cfRule type="colorScale" priority="31">
      <colorScale>
        <cfvo type="min"/>
        <cfvo type="percentile" val="50"/>
        <cfvo type="max"/>
        <color rgb="FFF8696B"/>
        <color rgb="FFFFEB84"/>
        <color rgb="FF63BE7B"/>
      </colorScale>
    </cfRule>
  </conditionalFormatting>
  <conditionalFormatting sqref="P6:P7">
    <cfRule type="colorScale" priority="19">
      <colorScale>
        <cfvo type="min"/>
        <cfvo type="percentile" val="50"/>
        <cfvo type="max"/>
        <color rgb="FFF8696B"/>
        <color rgb="FFFFEB84"/>
        <color rgb="FF63BE7B"/>
      </colorScale>
    </cfRule>
  </conditionalFormatting>
  <conditionalFormatting sqref="P8:P32">
    <cfRule type="colorScale" priority="18">
      <colorScale>
        <cfvo type="min"/>
        <cfvo type="percentile" val="50"/>
        <cfvo type="max"/>
        <color rgb="FFF8696B"/>
        <color rgb="FFFFEB84"/>
        <color rgb="FF63BE7B"/>
      </colorScale>
    </cfRule>
  </conditionalFormatting>
  <conditionalFormatting sqref="Q6:Q32">
    <cfRule type="colorScale" priority="17">
      <colorScale>
        <cfvo type="min"/>
        <cfvo type="percentile" val="50"/>
        <cfvo type="max"/>
        <color rgb="FFF8696B"/>
        <color rgb="FFFFEB84"/>
        <color rgb="FF63BE7B"/>
      </colorScale>
    </cfRule>
  </conditionalFormatting>
  <conditionalFormatting sqref="R6">
    <cfRule type="colorScale" priority="16">
      <colorScale>
        <cfvo type="min"/>
        <cfvo type="percentile" val="50"/>
        <cfvo type="max"/>
        <color rgb="FFF8696B"/>
        <color rgb="FFFFEB84"/>
        <color rgb="FF63BE7B"/>
      </colorScale>
    </cfRule>
  </conditionalFormatting>
  <conditionalFormatting sqref="R7:R32">
    <cfRule type="colorScale" priority="15">
      <colorScale>
        <cfvo type="min"/>
        <cfvo type="percentile" val="50"/>
        <cfvo type="max"/>
        <color rgb="FFF8696B"/>
        <color rgb="FFFFEB84"/>
        <color rgb="FF63BE7B"/>
      </colorScale>
    </cfRule>
  </conditionalFormatting>
  <conditionalFormatting sqref="S7:S32">
    <cfRule type="colorScale" priority="13">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xr:uid="{00000000-0004-0000-0400-000000000000}"/>
    <hyperlink ref="B7" location="'2PORH'!A1" display="Porcentaje de cuerpos de agua con planes de ordenamiento del recurso hídrico (PORH) adoptados" xr:uid="{00000000-0004-0000-0400-000001000000}"/>
    <hyperlink ref="B8" location="'3PSMV'!_Toc467769470" display="Porcentaje de Planes de Saneamiento y Manejo de Vertimientos (PSMV) con seguimiento" xr:uid="{00000000-0004-0000-0400-000002000000}"/>
    <hyperlink ref="B9" location="'4UsoAguas'!_Toc467769471" display="Porcentaje de cuerpos de agua con reglamentación del uso de las aguas" xr:uid="{00000000-0004-0000-0400-000003000000}"/>
    <hyperlink ref="B10" location="'5PUEAA'!_Toc467769472" display="Porcentaje de Programas de Uso Eficiente y Ahorro del Agua (PUEAA) con seguimiento" xr:uid="{00000000-0004-0000-0400-000004000000}"/>
    <hyperlink ref="B11" location="'6POMCASejec'!_Toc467769473" display="Porcentaje de Planes de Ordenación y Manejo de Cuencas (POMCAS), Planes de Manejo de Acuíferos (PMA) y Planes de Manejo de Microcuencas (PMM) en ejecución" xr:uid="{00000000-0004-0000-0400-000005000000}"/>
    <hyperlink ref="B12" location="'7Clima'!_Toc467769474" display="Porcentaje de entes territoriales asesorados en la incorporación, planificación y ejecución de acciones relacionadas con cambio climático en el marco de los instrumentos de planificación territorial" xr:uid="{00000000-0004-0000-0400-000006000000}"/>
    <hyperlink ref="B13" location="'8Suelo'!_Toc467769475" display="Porcentaje de suelos degradados en recuperación o rehabilitación" xr:uid="{00000000-0004-0000-0400-000007000000}"/>
    <hyperlink ref="B14" location="'9RUNAP'!_Toc467769476" display="Porcentaje de la superficie de áreas protegidas regionales declaradas, homologadas o recategorizadas, inscritas en el RUNAP" xr:uid="{00000000-0004-0000-0400-000008000000}"/>
    <hyperlink ref="B15" location="'10Paramos'!_Toc467769477" display="Porcentaje de páramos delimitados por el MADS, con zonificación y régimen de usos adoptados por la CAR" xr:uid="{00000000-0004-0000-0400-000009000000}"/>
    <hyperlink ref="B16" location="'11Forest'!_Toc467769478" display="Porcentaje de avance en la formulación del Plan de Ordenación Forestal" xr:uid="{00000000-0004-0000-0400-00000A000000}"/>
    <hyperlink ref="B17" location="'12PlanesAP'!_Toc467769479" display="Porcentaje de áreas protegidas con planes de manejo en ejecución" xr:uid="{00000000-0004-0000-0400-00000B000000}"/>
    <hyperlink ref="B18" location="'13Amenaz'!_Toc467769480" display="Porcentaje de especies amenazadas con medidas de conservación y manejo en ejecución" xr:uid="{00000000-0004-0000-0400-00000C000000}"/>
    <hyperlink ref="B19" location="'14Invasor'!_Toc467769481" display="Porcentaje de especies invasoras con medidas de prevención, control y manejo en ejecución" xr:uid="{00000000-0004-0000-0400-00000D000000}"/>
    <hyperlink ref="B20" location="'15Restaura'!_Toc467769482" display="Porcentaje de áreas de ecosistemas en restauración, rehabilitación y reforestación" xr:uid="{00000000-0004-0000-0400-00000E000000}"/>
    <hyperlink ref="B21" location="'16MIZC'!_Toc467769483" display="Implementación de acciones en manejo integrado de zonas costeras" xr:uid="{00000000-0004-0000-0400-00000F000000}"/>
    <hyperlink ref="B22" location="'17PGIRS'!_Toc467769484" display="Porcentaje de Planes de Gestión Integral de Residuos Sólidos (PGIRS) con seguimiento a metas de aprovechamiento" xr:uid="{00000000-0004-0000-0400-000010000000}"/>
    <hyperlink ref="B23" location="'18Sector'!_Toc467769485" display="Porcentaje de sectores con acompañamiento para la reconversión hacia sistemas sostenibles de producción" xr:uid="{00000000-0004-0000-0400-000011000000}"/>
    <hyperlink ref="B24" location="'19GAU'!_Toc467769486" display="Porcentaje de ejecución de acciones en Gestión Ambiental Urbana" xr:uid="{00000000-0004-0000-0400-000012000000}"/>
    <hyperlink ref="B25" location="'20Negoc'!_Toc467769487" display="Implementación del Programa Regional de Negocios Verdes por la autoridad ambiental" xr:uid="{00000000-0004-0000-0400-000013000000}"/>
    <hyperlink ref="B27" location="'22Autor'!_Toc467769489" display="Porcentaje de autorizaciones ambientales con seguimiento" xr:uid="{00000000-0004-0000-0400-000014000000}"/>
    <hyperlink ref="B28" location="'23Sanc'!_Toc467769490" display="Porcentaje de Procesos Sancionatorios Resueltos" xr:uid="{00000000-0004-0000-0400-000015000000}"/>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00000000-0004-0000-0400-000016000000}"/>
    <hyperlink ref="B30" location="'25Redes'!_Toc467769492" display="Porcentaje de redes y estaciones de monitoreo en operación" xr:uid="{00000000-0004-0000-0400-000017000000}"/>
    <hyperlink ref="B31" location="'26SIAC'!_Toc467769493" display="Porcentaje de actualización y reporte de la información en el SIAC" xr:uid="{00000000-0004-0000-0400-000018000000}"/>
    <hyperlink ref="B32" location="'27Educa'!_Toc467769494" display="Ejecución de Acciones en Educación Ambiental" xr:uid="{00000000-0004-0000-0400-000019000000}"/>
    <hyperlink ref="B26" location="'21TiempoT'!_Toc467769488" display="Tiempo promedio de trámite para la resolución de autorizaciones ambientales otorgadas por la corporación" xr:uid="{00000000-0004-0000-0400-00001A000000}"/>
  </hyperlinks>
  <pageMargins left="0.7" right="0.7" top="0.75" bottom="0.75" header="0.3" footer="0.3"/>
  <pageSetup paperSize="178" orientation="portrait" horizontalDpi="1200" verticalDpi="12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1">
    <tabColor rgb="FF92D050"/>
  </sheetPr>
  <dimension ref="A1:U175"/>
  <sheetViews>
    <sheetView showGridLines="0" topLeftCell="D21" zoomScale="90" zoomScaleNormal="90" workbookViewId="0">
      <selection activeCell="H25" sqref="H25"/>
    </sheetView>
  </sheetViews>
  <sheetFormatPr baseColWidth="10" defaultColWidth="11.5546875" defaultRowHeight="14.4"/>
  <cols>
    <col min="1" max="1" width="1.88671875" customWidth="1"/>
    <col min="2" max="2" width="12.88671875" style="5" customWidth="1"/>
    <col min="3" max="3" width="7.6640625" style="66" customWidth="1"/>
    <col min="4" max="4" width="34.88671875" customWidth="1"/>
    <col min="5" max="5" width="19.109375" customWidth="1"/>
    <col min="6" max="6" width="22.5546875" customWidth="1"/>
    <col min="9" max="9" width="13.44140625" customWidth="1"/>
    <col min="10" max="10" width="12.88671875" customWidth="1"/>
    <col min="11" max="11" width="70.44140625" customWidth="1"/>
  </cols>
  <sheetData>
    <row r="1" spans="1:21" s="312" customFormat="1" ht="100.5" customHeight="1" thickBot="1">
      <c r="A1" s="1396"/>
      <c r="B1" s="1397"/>
      <c r="C1" s="1397"/>
      <c r="D1" s="1397"/>
      <c r="E1" s="1397"/>
      <c r="F1" s="1397"/>
      <c r="G1" s="1397"/>
      <c r="H1" s="1397"/>
      <c r="I1" s="1397"/>
      <c r="J1" s="1397"/>
      <c r="K1" s="1397"/>
      <c r="L1" s="1397"/>
      <c r="M1" s="1397"/>
      <c r="N1" s="1397"/>
      <c r="O1" s="1397"/>
      <c r="P1" s="1398"/>
      <c r="Q1"/>
      <c r="R1"/>
    </row>
    <row r="2" spans="1:21"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c r="R2"/>
    </row>
    <row r="3" spans="1:21" s="313" customFormat="1" ht="16.2" thickBot="1">
      <c r="A3" s="1401" t="s">
        <v>1293</v>
      </c>
      <c r="B3" s="1402"/>
      <c r="C3" s="1402"/>
      <c r="D3" s="1402"/>
      <c r="E3" s="1402"/>
      <c r="F3" s="1402"/>
      <c r="G3" s="1402"/>
      <c r="H3" s="1402"/>
      <c r="I3" s="1402"/>
      <c r="J3" s="1402"/>
      <c r="K3" s="1402"/>
      <c r="L3" s="1402"/>
      <c r="M3" s="1402"/>
      <c r="N3" s="1402"/>
      <c r="O3" s="1402"/>
      <c r="P3" s="1403"/>
      <c r="Q3"/>
      <c r="R3"/>
    </row>
    <row r="4" spans="1:21" s="313" customFormat="1" ht="16.2" thickBot="1">
      <c r="A4" s="1399" t="s">
        <v>1292</v>
      </c>
      <c r="B4" s="1400"/>
      <c r="C4" s="1400"/>
      <c r="D4" s="1400"/>
      <c r="E4" s="320" t="str">
        <f>+'Datos Generales'!C6</f>
        <v>2023-II</v>
      </c>
      <c r="F4" s="320"/>
      <c r="G4" s="320"/>
      <c r="H4" s="320"/>
      <c r="I4" s="320"/>
      <c r="J4" s="320"/>
      <c r="K4" s="320"/>
      <c r="L4" s="321"/>
      <c r="M4" s="321"/>
      <c r="N4" s="321"/>
      <c r="O4" s="321"/>
      <c r="P4" s="322"/>
      <c r="Q4"/>
      <c r="R4"/>
    </row>
    <row r="5" spans="1:21" ht="16.5" customHeight="1" thickBot="1">
      <c r="A5" s="1401" t="s">
        <v>0</v>
      </c>
      <c r="B5" s="1402"/>
      <c r="C5" s="1402"/>
      <c r="D5" s="1402"/>
      <c r="E5" s="1402"/>
      <c r="F5" s="1402"/>
      <c r="G5" s="1402"/>
      <c r="H5" s="1402"/>
      <c r="I5" s="1402"/>
      <c r="J5" s="1402"/>
      <c r="K5" s="1402"/>
      <c r="L5" s="1402"/>
      <c r="M5" s="1402"/>
      <c r="N5" s="1402"/>
      <c r="O5" s="1402"/>
      <c r="P5" s="1403"/>
    </row>
    <row r="6" spans="1:21">
      <c r="B6" s="1" t="s">
        <v>1</v>
      </c>
      <c r="C6" s="64"/>
      <c r="D6" s="5"/>
      <c r="E6" s="326"/>
      <c r="F6" s="5" t="s">
        <v>127</v>
      </c>
      <c r="G6" s="5"/>
      <c r="H6" s="5"/>
      <c r="I6" s="5"/>
      <c r="J6" s="5"/>
      <c r="K6" s="5"/>
      <c r="L6" s="5"/>
    </row>
    <row r="7" spans="1:21" ht="15" thickBot="1">
      <c r="B7" s="63"/>
      <c r="C7" s="65"/>
      <c r="D7" s="5"/>
      <c r="E7" s="14"/>
      <c r="F7" s="5" t="s">
        <v>128</v>
      </c>
      <c r="G7" s="5"/>
      <c r="H7" s="5"/>
      <c r="I7" s="5"/>
      <c r="J7" s="5"/>
      <c r="K7" s="5"/>
      <c r="L7" s="5"/>
    </row>
    <row r="8" spans="1:21" ht="15" thickBot="1">
      <c r="B8" s="143" t="s">
        <v>1178</v>
      </c>
      <c r="C8" s="675">
        <v>2023</v>
      </c>
      <c r="D8" s="170">
        <f ca="1">+IF(E10="NO APLICA","NO APLICA",IF(E11="NO SE REPORTA","SIN INFORMACION",+J60))</f>
        <v>1</v>
      </c>
      <c r="E8" s="184"/>
      <c r="F8" s="5" t="s">
        <v>129</v>
      </c>
      <c r="G8" s="5"/>
      <c r="H8" s="5"/>
      <c r="I8" s="5"/>
      <c r="J8" s="5"/>
      <c r="K8" s="5"/>
    </row>
    <row r="9" spans="1:21">
      <c r="B9" s="298" t="s">
        <v>1179</v>
      </c>
      <c r="C9" s="67"/>
      <c r="D9" s="5"/>
      <c r="E9" s="5"/>
      <c r="F9" s="5"/>
      <c r="G9" s="5"/>
      <c r="H9" s="5"/>
      <c r="I9" s="5"/>
      <c r="J9" s="5"/>
      <c r="K9" s="5"/>
    </row>
    <row r="10" spans="1:21">
      <c r="B10" s="1404" t="s">
        <v>1234</v>
      </c>
      <c r="C10" s="1404"/>
      <c r="D10" s="1404"/>
      <c r="E10" s="301" t="s">
        <v>1231</v>
      </c>
      <c r="F10" s="1411"/>
      <c r="G10" s="1412"/>
      <c r="H10" s="1412"/>
      <c r="I10" s="1412"/>
      <c r="J10" s="1412"/>
      <c r="K10" s="1412"/>
      <c r="L10" s="1412"/>
      <c r="M10" s="1412"/>
      <c r="N10" s="1412"/>
      <c r="O10" s="1412"/>
      <c r="P10" s="1412"/>
      <c r="Q10" s="1412"/>
      <c r="R10" s="1412"/>
      <c r="S10" s="1412"/>
      <c r="T10" s="5"/>
      <c r="U10" s="5"/>
    </row>
    <row r="11" spans="1:21" ht="14.4" customHeight="1">
      <c r="B11" s="300"/>
      <c r="C11" s="67"/>
      <c r="D11" s="144" t="str">
        <f>IF(E10="SI APLICA","¿El indicador no se reporta por limitaciones de información disponible? ","")</f>
        <v xml:space="preserve">¿El indicador no se reporta por limitaciones de información disponible? </v>
      </c>
      <c r="E11" s="302" t="s">
        <v>1233</v>
      </c>
      <c r="F11" s="1405"/>
      <c r="G11" s="1406"/>
      <c r="H11" s="1406"/>
      <c r="I11" s="1406"/>
      <c r="J11" s="1406"/>
      <c r="K11" s="1406"/>
      <c r="L11" s="1406"/>
      <c r="M11" s="1406"/>
      <c r="N11" s="1406"/>
      <c r="O11" s="1406"/>
      <c r="P11" s="1406"/>
      <c r="Q11" s="1406"/>
      <c r="R11" s="1406"/>
      <c r="S11" s="1406"/>
    </row>
    <row r="12" spans="1:21" ht="30.75" customHeight="1">
      <c r="B12" s="298"/>
      <c r="C12" s="67"/>
      <c r="D12" s="311" t="str">
        <f>IF(E11="SI SE REPORTA","¿Qué programas o proyectos del Plan de Acción están asociados al indicador? ","")</f>
        <v xml:space="preserve">¿Qué programas o proyectos del Plan de Acción están asociados al indicador? </v>
      </c>
      <c r="E12" s="1407" t="s">
        <v>1804</v>
      </c>
      <c r="F12" s="1407"/>
      <c r="G12" s="1407"/>
      <c r="H12" s="1407"/>
      <c r="I12" s="1407"/>
      <c r="J12" s="1407"/>
      <c r="K12" s="1407"/>
      <c r="L12" s="1407"/>
      <c r="M12" s="1407"/>
      <c r="N12" s="1407"/>
      <c r="O12" s="1407"/>
      <c r="P12" s="1407"/>
      <c r="Q12" s="1407"/>
      <c r="R12" s="1407"/>
    </row>
    <row r="13" spans="1:21" ht="21.9" customHeight="1">
      <c r="B13" s="298"/>
      <c r="C13" s="67"/>
      <c r="D13" s="144" t="s">
        <v>1236</v>
      </c>
      <c r="E13" s="1408"/>
      <c r="F13" s="1409"/>
      <c r="G13" s="1409"/>
      <c r="H13" s="1409"/>
      <c r="I13" s="1409"/>
      <c r="J13" s="1409"/>
      <c r="K13" s="1409"/>
      <c r="L13" s="1409"/>
      <c r="M13" s="1409"/>
      <c r="N13" s="1409"/>
      <c r="O13" s="1409"/>
      <c r="P13" s="1409"/>
      <c r="Q13" s="1409"/>
      <c r="R13" s="1410"/>
    </row>
    <row r="14" spans="1:21" ht="6.9" customHeight="1" thickBot="1">
      <c r="B14" s="298"/>
      <c r="C14" s="67"/>
      <c r="D14" s="5"/>
      <c r="E14" s="5"/>
      <c r="F14" s="5"/>
      <c r="G14" s="5"/>
      <c r="H14" s="5"/>
      <c r="I14" s="5"/>
      <c r="J14" s="5"/>
      <c r="K14" s="5"/>
    </row>
    <row r="15" spans="1:21" ht="18" customHeight="1" thickBot="1">
      <c r="B15" s="1458" t="s">
        <v>2</v>
      </c>
      <c r="C15" s="81"/>
      <c r="D15" s="1425" t="s">
        <v>3</v>
      </c>
      <c r="E15" s="1426"/>
      <c r="F15" s="1426"/>
      <c r="G15" s="1426"/>
      <c r="H15" s="1426"/>
      <c r="I15" s="1426"/>
      <c r="J15" s="1426"/>
      <c r="K15" s="1427"/>
    </row>
    <row r="16" spans="1:21" ht="51" customHeight="1" thickBot="1">
      <c r="B16" s="1459"/>
      <c r="C16" s="87"/>
      <c r="D16" s="34" t="s">
        <v>4</v>
      </c>
      <c r="E16" s="438">
        <v>4</v>
      </c>
      <c r="F16" s="720" t="s">
        <v>1948</v>
      </c>
      <c r="G16" s="5"/>
      <c r="H16" s="5"/>
      <c r="I16" s="5"/>
      <c r="J16" s="5"/>
      <c r="K16" s="17"/>
    </row>
    <row r="17" spans="2:11" ht="41.25" customHeight="1" thickBot="1">
      <c r="B17" s="1459"/>
      <c r="C17" s="87"/>
      <c r="D17" s="32" t="s">
        <v>5</v>
      </c>
      <c r="E17" s="438">
        <v>2</v>
      </c>
      <c r="F17" s="721" t="s">
        <v>1949</v>
      </c>
      <c r="G17" s="5"/>
      <c r="H17" s="5"/>
      <c r="I17" s="5"/>
      <c r="J17" s="5"/>
      <c r="K17" s="17"/>
    </row>
    <row r="18" spans="2:11" ht="36.6" thickBot="1">
      <c r="B18" s="1459"/>
      <c r="C18" s="87"/>
      <c r="D18" s="32" t="s">
        <v>1815</v>
      </c>
      <c r="E18" s="438">
        <v>1</v>
      </c>
      <c r="F18" s="722" t="s">
        <v>1950</v>
      </c>
      <c r="G18" s="5"/>
      <c r="H18" s="5"/>
      <c r="I18" s="5"/>
      <c r="J18" s="5"/>
      <c r="K18" s="17"/>
    </row>
    <row r="19" spans="2:11" ht="30.75" customHeight="1" thickBot="1">
      <c r="B19" s="1459"/>
      <c r="C19" s="87"/>
      <c r="D19" s="32" t="s">
        <v>1653</v>
      </c>
      <c r="E19" s="438">
        <v>2</v>
      </c>
      <c r="F19" s="721" t="s">
        <v>1951</v>
      </c>
      <c r="G19" s="5"/>
      <c r="H19" s="5"/>
      <c r="I19" s="5"/>
      <c r="J19" s="5"/>
      <c r="K19" s="17"/>
    </row>
    <row r="20" spans="2:11" ht="31.5" customHeight="1" thickBot="1">
      <c r="B20" s="1459"/>
      <c r="C20" s="87"/>
      <c r="D20" s="32" t="s">
        <v>1654</v>
      </c>
      <c r="E20" s="438">
        <v>1</v>
      </c>
      <c r="F20" s="723" t="s">
        <v>1952</v>
      </c>
      <c r="G20" s="758"/>
      <c r="H20" s="5"/>
      <c r="I20" s="5"/>
      <c r="J20" s="5"/>
      <c r="K20" s="17"/>
    </row>
    <row r="21" spans="2:11" ht="48" customHeight="1" thickBot="1">
      <c r="B21" s="1460"/>
      <c r="C21" s="87"/>
      <c r="D21" s="32" t="s">
        <v>1655</v>
      </c>
      <c r="E21" s="438">
        <v>0</v>
      </c>
      <c r="F21" s="724" t="s">
        <v>1805</v>
      </c>
      <c r="G21" s="5"/>
      <c r="H21" s="5"/>
      <c r="I21" s="5"/>
      <c r="J21" s="5"/>
      <c r="K21" s="17"/>
    </row>
    <row r="22" spans="2:11" ht="14.1" customHeight="1">
      <c r="B22" s="221"/>
      <c r="C22" s="82"/>
      <c r="D22" s="1428" t="s">
        <v>6</v>
      </c>
      <c r="E22" s="1429"/>
      <c r="F22" s="1429"/>
      <c r="G22" s="1429"/>
      <c r="H22" s="1429"/>
      <c r="I22" s="1429"/>
      <c r="J22" s="1429"/>
      <c r="K22" s="1430"/>
    </row>
    <row r="23" spans="2:11" ht="14.1" customHeight="1" thickBot="1">
      <c r="B23" s="221"/>
      <c r="C23" s="82"/>
      <c r="D23" s="1428" t="s">
        <v>7</v>
      </c>
      <c r="E23" s="1429"/>
      <c r="F23" s="1429"/>
      <c r="G23" s="1429"/>
      <c r="H23" s="1429"/>
      <c r="I23" s="1429"/>
      <c r="J23" s="1429"/>
      <c r="K23" s="1430"/>
    </row>
    <row r="24" spans="2:11" ht="54" customHeight="1" thickBot="1">
      <c r="B24" s="221"/>
      <c r="C24" s="175"/>
      <c r="D24" s="440" t="s">
        <v>8</v>
      </c>
      <c r="E24" s="440" t="s">
        <v>9</v>
      </c>
      <c r="F24" s="440" t="s">
        <v>10</v>
      </c>
      <c r="G24" s="440" t="s">
        <v>1180</v>
      </c>
      <c r="H24" s="440" t="s">
        <v>1958</v>
      </c>
      <c r="I24" s="440" t="s">
        <v>1957</v>
      </c>
      <c r="J24" s="1451" t="s">
        <v>54</v>
      </c>
      <c r="K24" s="1452"/>
    </row>
    <row r="25" spans="2:11" s="151" customFormat="1" ht="80.25" customHeight="1" thickBot="1">
      <c r="B25" s="178"/>
      <c r="C25" s="175">
        <v>1</v>
      </c>
      <c r="D25" s="446" t="s">
        <v>11</v>
      </c>
      <c r="E25" s="676">
        <v>2904</v>
      </c>
      <c r="F25" s="450" t="s">
        <v>1806</v>
      </c>
      <c r="G25" s="447">
        <v>113220</v>
      </c>
      <c r="H25" s="448" t="s">
        <v>1200</v>
      </c>
      <c r="I25" s="449">
        <v>0.98</v>
      </c>
      <c r="J25" s="1440" t="s">
        <v>2011</v>
      </c>
      <c r="K25" s="1441"/>
    </row>
    <row r="26" spans="2:11" s="151" customFormat="1" ht="51" customHeight="1" thickBot="1">
      <c r="B26" s="178"/>
      <c r="C26" s="175">
        <v>2</v>
      </c>
      <c r="D26" s="446" t="s">
        <v>11</v>
      </c>
      <c r="E26" s="677">
        <v>2909</v>
      </c>
      <c r="F26" s="451" t="s">
        <v>1807</v>
      </c>
      <c r="G26" s="447">
        <v>30180</v>
      </c>
      <c r="H26" s="448" t="s">
        <v>1808</v>
      </c>
      <c r="I26" s="449">
        <v>1</v>
      </c>
      <c r="J26" s="1440" t="s">
        <v>1931</v>
      </c>
      <c r="K26" s="1441"/>
    </row>
    <row r="27" spans="2:11" s="151" customFormat="1" ht="73.5" customHeight="1" thickBot="1">
      <c r="B27" s="178"/>
      <c r="C27" s="175">
        <v>3</v>
      </c>
      <c r="D27" s="446" t="s">
        <v>11</v>
      </c>
      <c r="E27" s="677">
        <v>2903</v>
      </c>
      <c r="F27" s="452" t="s">
        <v>1809</v>
      </c>
      <c r="G27" s="447">
        <v>441011</v>
      </c>
      <c r="H27" s="448" t="s">
        <v>1200</v>
      </c>
      <c r="I27" s="449">
        <v>0.98</v>
      </c>
      <c r="J27" s="1442" t="s">
        <v>1947</v>
      </c>
      <c r="K27" s="1443"/>
    </row>
    <row r="28" spans="2:11" s="151" customFormat="1" ht="194.25" customHeight="1" thickBot="1">
      <c r="B28" s="178"/>
      <c r="C28" s="175">
        <v>4</v>
      </c>
      <c r="D28" s="446" t="s">
        <v>12</v>
      </c>
      <c r="E28" s="677"/>
      <c r="F28" s="452" t="s">
        <v>1932</v>
      </c>
      <c r="G28" s="447"/>
      <c r="H28" s="448" t="s">
        <v>2667</v>
      </c>
      <c r="I28" s="449">
        <v>0.5</v>
      </c>
      <c r="J28" s="1440" t="s">
        <v>2666</v>
      </c>
      <c r="K28" s="1441"/>
    </row>
    <row r="29" spans="2:11" ht="14.1" customHeight="1">
      <c r="B29" s="221"/>
      <c r="C29" s="82"/>
      <c r="D29" s="1416" t="s">
        <v>14</v>
      </c>
      <c r="E29" s="1417"/>
      <c r="F29" s="1417"/>
      <c r="G29" s="1417"/>
      <c r="H29" s="1417"/>
      <c r="I29" s="1417"/>
      <c r="J29" s="1417"/>
      <c r="K29" s="1418"/>
    </row>
    <row r="30" spans="2:11" ht="14.1" customHeight="1">
      <c r="B30" s="221"/>
      <c r="C30" s="82"/>
      <c r="D30" s="1461" t="s">
        <v>15</v>
      </c>
      <c r="E30" s="1462"/>
      <c r="F30" s="1462"/>
      <c r="G30" s="1462"/>
      <c r="H30" s="1462"/>
      <c r="I30" s="1462"/>
      <c r="J30" s="1462"/>
      <c r="K30" s="1463"/>
    </row>
    <row r="31" spans="2:11" ht="14.1" customHeight="1">
      <c r="B31" s="221"/>
      <c r="C31" s="82"/>
      <c r="D31" s="1461" t="s">
        <v>16</v>
      </c>
      <c r="E31" s="1462"/>
      <c r="F31" s="1462"/>
      <c r="G31" s="1462"/>
      <c r="H31" s="1462"/>
      <c r="I31" s="1462"/>
      <c r="J31" s="1462"/>
      <c r="K31" s="1463"/>
    </row>
    <row r="32" spans="2:11" ht="14.1" customHeight="1">
      <c r="B32" s="221"/>
      <c r="C32" s="82"/>
      <c r="D32" s="1461" t="s">
        <v>17</v>
      </c>
      <c r="E32" s="1462"/>
      <c r="F32" s="1462"/>
      <c r="G32" s="1462"/>
      <c r="H32" s="1462"/>
      <c r="I32" s="1462"/>
      <c r="J32" s="1462"/>
      <c r="K32" s="1463"/>
    </row>
    <row r="33" spans="2:11" ht="16.5" customHeight="1" thickBot="1">
      <c r="B33" s="221"/>
      <c r="C33" s="82"/>
      <c r="D33" s="1419" t="s">
        <v>1904</v>
      </c>
      <c r="E33" s="1420"/>
      <c r="F33" s="1420"/>
      <c r="G33" s="1420"/>
      <c r="H33" s="1420"/>
      <c r="I33" s="1420"/>
      <c r="J33" s="1420"/>
      <c r="K33" s="1421"/>
    </row>
    <row r="34" spans="2:11" s="473" customFormat="1" ht="38.25" customHeight="1" thickBot="1">
      <c r="B34" s="558"/>
      <c r="C34" s="439" t="s">
        <v>18</v>
      </c>
      <c r="D34" s="439" t="s">
        <v>8</v>
      </c>
      <c r="E34" s="439" t="s">
        <v>9</v>
      </c>
      <c r="F34" s="439" t="s">
        <v>10</v>
      </c>
      <c r="G34" s="680" t="s">
        <v>19</v>
      </c>
      <c r="H34" s="680" t="s">
        <v>20</v>
      </c>
      <c r="I34" s="680" t="s">
        <v>21</v>
      </c>
      <c r="J34" s="680" t="s">
        <v>22</v>
      </c>
      <c r="K34" s="559"/>
    </row>
    <row r="35" spans="2:11" s="453" customFormat="1" ht="56.25" customHeight="1" thickBot="1">
      <c r="B35" s="454"/>
      <c r="C35" s="455">
        <v>1</v>
      </c>
      <c r="D35" s="446" t="s">
        <v>11</v>
      </c>
      <c r="E35" s="441"/>
      <c r="F35" s="450" t="s">
        <v>1806</v>
      </c>
      <c r="G35" s="459">
        <v>1</v>
      </c>
      <c r="H35" s="459"/>
      <c r="I35" s="459"/>
      <c r="J35" s="459"/>
      <c r="K35" s="457"/>
    </row>
    <row r="36" spans="2:11" s="453" customFormat="1" ht="63.75" customHeight="1" thickBot="1">
      <c r="B36" s="454"/>
      <c r="C36" s="455">
        <v>2</v>
      </c>
      <c r="D36" s="446" t="s">
        <v>11</v>
      </c>
      <c r="E36" s="441"/>
      <c r="F36" s="458" t="s">
        <v>1809</v>
      </c>
      <c r="G36" s="459"/>
      <c r="H36" s="459">
        <v>1</v>
      </c>
      <c r="I36" s="459"/>
      <c r="J36" s="459"/>
      <c r="K36" s="457"/>
    </row>
    <row r="37" spans="2:11" s="453" customFormat="1" ht="56.25" customHeight="1" thickBot="1">
      <c r="B37" s="454"/>
      <c r="C37" s="455">
        <v>3</v>
      </c>
      <c r="D37" s="446" t="s">
        <v>12</v>
      </c>
      <c r="E37" s="446"/>
      <c r="F37" s="452" t="s">
        <v>1810</v>
      </c>
      <c r="G37" s="459"/>
      <c r="H37" s="459"/>
      <c r="I37" s="459"/>
      <c r="J37" s="459">
        <v>0.5</v>
      </c>
      <c r="K37" s="457"/>
    </row>
    <row r="38" spans="2:11" s="453" customFormat="1" ht="56.25" hidden="1" customHeight="1" thickBot="1">
      <c r="B38" s="454"/>
      <c r="C38" s="455">
        <v>5</v>
      </c>
      <c r="D38" s="446"/>
      <c r="E38" s="446"/>
      <c r="F38" s="452"/>
      <c r="G38" s="26"/>
      <c r="H38" s="26"/>
      <c r="I38" s="26"/>
      <c r="J38" s="26"/>
      <c r="K38" s="457"/>
    </row>
    <row r="39" spans="2:11" s="453" customFormat="1" ht="27.75" hidden="1" customHeight="1" thickBot="1">
      <c r="B39" s="454"/>
      <c r="C39" s="455">
        <v>6</v>
      </c>
      <c r="D39" s="273"/>
      <c r="E39" s="273"/>
      <c r="F39" s="273"/>
      <c r="G39" s="443"/>
      <c r="H39" s="443"/>
      <c r="I39" s="443"/>
      <c r="J39" s="443"/>
      <c r="K39" s="456"/>
    </row>
    <row r="40" spans="2:11" ht="14.1" customHeight="1">
      <c r="B40" s="221"/>
      <c r="C40" s="82"/>
      <c r="D40" s="1425" t="s">
        <v>23</v>
      </c>
      <c r="E40" s="1426"/>
      <c r="F40" s="1426"/>
      <c r="G40" s="1426"/>
      <c r="H40" s="1426"/>
      <c r="I40" s="1426"/>
      <c r="J40" s="1426"/>
      <c r="K40" s="1427"/>
    </row>
    <row r="41" spans="2:11" ht="14.1" customHeight="1" thickBot="1">
      <c r="B41" s="221"/>
      <c r="C41" s="82"/>
      <c r="D41" s="1419" t="s">
        <v>24</v>
      </c>
      <c r="E41" s="1420"/>
      <c r="F41" s="1420"/>
      <c r="G41" s="1420"/>
      <c r="H41" s="1420"/>
      <c r="I41" s="1420"/>
      <c r="J41" s="1420"/>
      <c r="K41" s="1421"/>
    </row>
    <row r="42" spans="2:11" ht="33" customHeight="1" thickBot="1">
      <c r="B42" s="221"/>
      <c r="C42" s="77" t="s">
        <v>18</v>
      </c>
      <c r="D42" s="34" t="s">
        <v>8</v>
      </c>
      <c r="E42" s="34" t="s">
        <v>25</v>
      </c>
      <c r="F42" s="34" t="s">
        <v>10</v>
      </c>
      <c r="G42" s="69" t="s">
        <v>19</v>
      </c>
      <c r="H42" s="69" t="s">
        <v>20</v>
      </c>
      <c r="I42" s="69" t="s">
        <v>21</v>
      </c>
      <c r="J42" s="69" t="s">
        <v>22</v>
      </c>
      <c r="K42" s="463"/>
    </row>
    <row r="43" spans="2:11" s="453" customFormat="1" ht="48.75" customHeight="1" thickBot="1">
      <c r="B43" s="454"/>
      <c r="C43" s="455">
        <v>1</v>
      </c>
      <c r="D43" s="461" t="str">
        <f t="shared" ref="D43:F45" si="0">IF(ISBLANK(D35),"",D35)</f>
        <v>POMCA</v>
      </c>
      <c r="E43" s="461" t="str">
        <f t="shared" si="0"/>
        <v/>
      </c>
      <c r="F43" s="462" t="str">
        <f t="shared" si="0"/>
        <v>Cuenca del complejo de humedades del Rio Magdalena</v>
      </c>
      <c r="G43" s="459">
        <v>0.98</v>
      </c>
      <c r="H43" s="459">
        <v>0.98</v>
      </c>
      <c r="I43" s="459">
        <v>0.98</v>
      </c>
      <c r="J43" s="459"/>
      <c r="K43" s="444"/>
    </row>
    <row r="44" spans="2:11" s="453" customFormat="1" ht="36" customHeight="1" thickBot="1">
      <c r="B44" s="454"/>
      <c r="C44" s="455">
        <v>2</v>
      </c>
      <c r="D44" s="461" t="str">
        <f t="shared" si="0"/>
        <v>POMCA</v>
      </c>
      <c r="E44" s="461" t="str">
        <f t="shared" si="0"/>
        <v/>
      </c>
      <c r="F44" s="462" t="str">
        <f t="shared" si="0"/>
        <v>Cuencas Hidrográficas del Canal del Dique.</v>
      </c>
      <c r="G44" s="459"/>
      <c r="H44" s="459">
        <v>0.98</v>
      </c>
      <c r="I44" s="459">
        <v>0.98</v>
      </c>
      <c r="J44" s="459"/>
      <c r="K44" s="444"/>
    </row>
    <row r="45" spans="2:11" s="453" customFormat="1" ht="49.5" customHeight="1" thickBot="1">
      <c r="B45" s="454"/>
      <c r="C45" s="455">
        <v>3</v>
      </c>
      <c r="D45" s="461" t="str">
        <f t="shared" si="0"/>
        <v>PMA</v>
      </c>
      <c r="E45" s="461" t="str">
        <f t="shared" si="0"/>
        <v/>
      </c>
      <c r="F45" s="462" t="str">
        <f t="shared" si="0"/>
        <v>Sistema de acuifero de Sabanalarga- Tubara</v>
      </c>
      <c r="G45" s="678"/>
      <c r="H45" s="679"/>
      <c r="I45" s="679"/>
      <c r="J45" s="757">
        <v>0.5</v>
      </c>
      <c r="K45" s="444"/>
    </row>
    <row r="46" spans="2:11" s="151" customFormat="1" ht="24" customHeight="1" thickBot="1">
      <c r="B46" s="178"/>
      <c r="C46" s="175">
        <v>13</v>
      </c>
      <c r="D46" s="181" t="e">
        <f>IF(ISBLANK(#REF!),"",#REF!)</f>
        <v>#REF!</v>
      </c>
      <c r="E46" s="181" t="e">
        <f>IF(ISBLANK(#REF!),"",#REF!)</f>
        <v>#REF!</v>
      </c>
      <c r="F46" s="181" t="e">
        <f>IF(ISBLANK(#REF!),"",#REF!)</f>
        <v>#REF!</v>
      </c>
      <c r="G46" s="26"/>
      <c r="H46" s="26"/>
      <c r="I46" s="26"/>
      <c r="J46" s="26"/>
      <c r="K46" s="90"/>
    </row>
    <row r="47" spans="2:11" ht="14.1" customHeight="1">
      <c r="B47" s="221"/>
      <c r="C47" s="82"/>
      <c r="D47" s="1425" t="s">
        <v>14</v>
      </c>
      <c r="E47" s="1426"/>
      <c r="F47" s="1426"/>
      <c r="G47" s="1426"/>
      <c r="H47" s="1426"/>
      <c r="I47" s="1426"/>
      <c r="J47" s="1426"/>
      <c r="K47" s="1427"/>
    </row>
    <row r="48" spans="2:11" ht="14.1" customHeight="1">
      <c r="B48" s="221"/>
      <c r="C48" s="82"/>
      <c r="D48" s="1416" t="s">
        <v>26</v>
      </c>
      <c r="E48" s="1417"/>
      <c r="F48" s="1417"/>
      <c r="G48" s="1417"/>
      <c r="H48" s="1417"/>
      <c r="I48" s="1417"/>
      <c r="J48" s="1417"/>
      <c r="K48" s="1418"/>
    </row>
    <row r="49" spans="2:11" ht="14.1" customHeight="1" thickBot="1">
      <c r="B49" s="221"/>
      <c r="C49" s="82"/>
      <c r="D49" s="1419" t="s">
        <v>27</v>
      </c>
      <c r="E49" s="1420"/>
      <c r="F49" s="1420"/>
      <c r="G49" s="1420"/>
      <c r="H49" s="1420"/>
      <c r="I49" s="1420"/>
      <c r="J49" s="1420"/>
      <c r="K49" s="1421"/>
    </row>
    <row r="50" spans="2:11" ht="36.75" customHeight="1" thickBot="1">
      <c r="B50" s="221"/>
      <c r="C50" s="213" t="s">
        <v>18</v>
      </c>
      <c r="D50" s="59" t="s">
        <v>8</v>
      </c>
      <c r="E50" s="59" t="s">
        <v>25</v>
      </c>
      <c r="F50" s="59" t="s">
        <v>10</v>
      </c>
      <c r="G50" s="57" t="s">
        <v>19</v>
      </c>
      <c r="H50" s="57" t="s">
        <v>20</v>
      </c>
      <c r="I50" s="57" t="s">
        <v>21</v>
      </c>
      <c r="J50" s="57" t="s">
        <v>22</v>
      </c>
      <c r="K50" s="92"/>
    </row>
    <row r="51" spans="2:11" ht="41.25" customHeight="1" thickBot="1">
      <c r="B51" s="221"/>
      <c r="C51" s="2">
        <v>1</v>
      </c>
      <c r="D51" s="214" t="str">
        <f t="shared" ref="D51:F53" si="1">IF(ISBLANK(D43),"",D43)</f>
        <v>POMCA</v>
      </c>
      <c r="E51" s="214" t="str">
        <f t="shared" si="1"/>
        <v/>
      </c>
      <c r="F51" s="560" t="str">
        <f t="shared" si="1"/>
        <v>Cuenca del complejo de humedades del Rio Magdalena</v>
      </c>
      <c r="G51" s="409">
        <f t="shared" ref="G51:J53" si="2">IFERROR(G43/G35,"N.A.")</f>
        <v>0.98</v>
      </c>
      <c r="H51" s="215" t="str">
        <f t="shared" si="2"/>
        <v>N.A.</v>
      </c>
      <c r="I51" s="215" t="str">
        <f t="shared" si="2"/>
        <v>N.A.</v>
      </c>
      <c r="J51" s="215" t="str">
        <f t="shared" si="2"/>
        <v>N.A.</v>
      </c>
      <c r="K51" s="93"/>
    </row>
    <row r="52" spans="2:11" ht="33" customHeight="1" thickBot="1">
      <c r="B52" s="221"/>
      <c r="C52" s="2">
        <v>2</v>
      </c>
      <c r="D52" s="214" t="str">
        <f t="shared" si="1"/>
        <v>POMCA</v>
      </c>
      <c r="E52" s="214" t="str">
        <f t="shared" si="1"/>
        <v/>
      </c>
      <c r="F52" s="560" t="str">
        <f t="shared" si="1"/>
        <v>Cuencas Hidrográficas del Canal del Dique.</v>
      </c>
      <c r="G52" s="215" t="str">
        <f t="shared" si="2"/>
        <v>N.A.</v>
      </c>
      <c r="H52" s="215">
        <f t="shared" si="2"/>
        <v>0.98</v>
      </c>
      <c r="I52" s="215">
        <v>0.98</v>
      </c>
      <c r="J52" s="215" t="str">
        <f t="shared" si="2"/>
        <v>N.A.</v>
      </c>
      <c r="K52" s="93"/>
    </row>
    <row r="53" spans="2:11" ht="35.25" customHeight="1" thickBot="1">
      <c r="B53" s="221"/>
      <c r="C53" s="2">
        <v>3</v>
      </c>
      <c r="D53" s="214" t="str">
        <f t="shared" si="1"/>
        <v>PMA</v>
      </c>
      <c r="E53" s="214" t="str">
        <f t="shared" si="1"/>
        <v/>
      </c>
      <c r="F53" s="560" t="str">
        <f t="shared" si="1"/>
        <v>Sistema de acuifero de Sabanalarga- Tubara</v>
      </c>
      <c r="G53" s="215" t="str">
        <f t="shared" si="2"/>
        <v>N.A.</v>
      </c>
      <c r="H53" s="215" t="str">
        <f t="shared" si="2"/>
        <v>N.A.</v>
      </c>
      <c r="I53" s="215" t="str">
        <f t="shared" si="2"/>
        <v>N.A.</v>
      </c>
      <c r="J53" s="215">
        <f t="shared" si="2"/>
        <v>1</v>
      </c>
      <c r="K53" s="93"/>
    </row>
    <row r="54" spans="2:11" ht="14.1" customHeight="1">
      <c r="B54" s="221"/>
      <c r="C54" s="82"/>
      <c r="D54" s="1422"/>
      <c r="E54" s="1423"/>
      <c r="F54" s="1423"/>
      <c r="G54" s="1423"/>
      <c r="H54" s="1423"/>
      <c r="I54" s="1423"/>
      <c r="J54" s="1423"/>
      <c r="K54" s="1424"/>
    </row>
    <row r="55" spans="2:11" ht="14.1" customHeight="1" thickBot="1">
      <c r="B55" s="221"/>
      <c r="C55" s="82"/>
      <c r="D55" s="1419" t="s">
        <v>28</v>
      </c>
      <c r="E55" s="1420"/>
      <c r="F55" s="1420"/>
      <c r="G55" s="1420"/>
      <c r="H55" s="1420"/>
      <c r="I55" s="1420"/>
      <c r="J55" s="1420"/>
      <c r="K55" s="1421"/>
    </row>
    <row r="56" spans="2:11" ht="14.1" customHeight="1" thickBot="1">
      <c r="B56" s="221"/>
      <c r="C56" s="216" t="s">
        <v>18</v>
      </c>
      <c r="D56" s="57" t="s">
        <v>29</v>
      </c>
      <c r="E56" s="57" t="s">
        <v>30</v>
      </c>
      <c r="F56" s="57"/>
      <c r="G56" s="57" t="s">
        <v>19</v>
      </c>
      <c r="H56" s="57" t="s">
        <v>20</v>
      </c>
      <c r="I56" s="57" t="s">
        <v>21</v>
      </c>
      <c r="J56" s="57" t="s">
        <v>22</v>
      </c>
      <c r="K56" s="92"/>
    </row>
    <row r="57" spans="2:11" ht="14.1" customHeight="1" thickBot="1">
      <c r="B57" s="221"/>
      <c r="C57" s="79">
        <v>1</v>
      </c>
      <c r="D57" s="186" t="s">
        <v>31</v>
      </c>
      <c r="E57" s="26">
        <v>0</v>
      </c>
      <c r="F57" s="27"/>
      <c r="G57" s="410">
        <f ca="1">IFERROR(AVERAGEIF($D$51:$J$53,"POMCA",G$51:G$53),0)</f>
        <v>0.98</v>
      </c>
      <c r="H57" s="128">
        <f ca="1">IFERROR(AVERAGEIF($D$51:$J$53,"POMCA",H$51:H$53),0)</f>
        <v>0.98</v>
      </c>
      <c r="I57" s="128">
        <f ca="1">IFERROR(AVERAGEIF($D$51:$J$53,"POMCA",I$51:I$53),0)</f>
        <v>0.98</v>
      </c>
      <c r="J57" s="128">
        <f ca="1">IFERROR(AVERAGEIF($D$51:$J$53,"POMCA",J$51:J$53),0)</f>
        <v>0</v>
      </c>
      <c r="K57" s="90"/>
    </row>
    <row r="58" spans="2:11" ht="14.1" customHeight="1" thickBot="1">
      <c r="B58" s="221"/>
      <c r="C58" s="79">
        <v>2</v>
      </c>
      <c r="D58" s="186" t="s">
        <v>12</v>
      </c>
      <c r="E58" s="26">
        <v>1</v>
      </c>
      <c r="F58" s="27"/>
      <c r="G58" s="128">
        <f ca="1">IFERROR(AVERAGEIF($D$51:$J$53,"PMA",G$51:G$53),0)</f>
        <v>0</v>
      </c>
      <c r="H58" s="128">
        <f ca="1">IFERROR(AVERAGEIF($D$51:$J$53,"PMA",H$51:H$53),0)</f>
        <v>0</v>
      </c>
      <c r="I58" s="128">
        <f ca="1">IFERROR(AVERAGEIF($D$51:$J$53,"PMA",I$51:I$53),0)</f>
        <v>0</v>
      </c>
      <c r="J58" s="128">
        <f ca="1">IFERROR(AVERAGEIF($D$51:$J$53,"PMA",J$51:J$53),0)</f>
        <v>1</v>
      </c>
      <c r="K58" s="90"/>
    </row>
    <row r="59" spans="2:11" ht="14.1" customHeight="1" thickBot="1">
      <c r="B59" s="221"/>
      <c r="C59" s="79">
        <v>3</v>
      </c>
      <c r="D59" s="186" t="s">
        <v>13</v>
      </c>
      <c r="E59" s="26"/>
      <c r="F59" s="27"/>
      <c r="G59" s="128">
        <f ca="1">IFERROR(AVERAGEIF($D$51:$J$53,"PMM",G$51:G$53),0)</f>
        <v>0</v>
      </c>
      <c r="H59" s="128">
        <f ca="1">IFERROR(AVERAGEIF($D$51:$J$53,"PMM",H$51:H$53),0)</f>
        <v>0</v>
      </c>
      <c r="I59" s="128">
        <f ca="1">IFERROR(AVERAGEIF($D$51:$J$53,"PMM",I$51:I$53),0)</f>
        <v>0</v>
      </c>
      <c r="J59" s="128">
        <f ca="1">IFERROR(AVERAGEIF($D$51:$J$53,"PMM",J$51:J$53),0)</f>
        <v>0</v>
      </c>
      <c r="K59" s="90"/>
    </row>
    <row r="60" spans="2:11" ht="14.1" customHeight="1" thickBot="1">
      <c r="B60" s="221"/>
      <c r="D60" s="1453">
        <f>Formulas!$D$5</f>
        <v>1</v>
      </c>
      <c r="E60" s="1454"/>
      <c r="F60" s="309" t="s">
        <v>1240</v>
      </c>
      <c r="G60" s="411">
        <v>0.98</v>
      </c>
      <c r="H60" s="152">
        <v>0.98</v>
      </c>
      <c r="I60" s="152" t="str">
        <f ca="1">Formulas!G5</f>
        <v>N.A.</v>
      </c>
      <c r="J60" s="152">
        <f ca="1">Formulas!H5</f>
        <v>1</v>
      </c>
      <c r="K60" s="91"/>
    </row>
    <row r="61" spans="2:11" ht="14.1" customHeight="1">
      <c r="B61" s="221"/>
      <c r="C61" s="82"/>
      <c r="D61" s="1455"/>
      <c r="E61" s="1456"/>
      <c r="F61" s="1456"/>
      <c r="G61" s="1456"/>
      <c r="H61" s="1456"/>
      <c r="I61" s="1456"/>
      <c r="J61" s="1456"/>
      <c r="K61" s="1457"/>
    </row>
    <row r="62" spans="2:11" ht="14.1" customHeight="1">
      <c r="B62" s="221"/>
      <c r="C62" s="82"/>
      <c r="D62" s="1416" t="s">
        <v>32</v>
      </c>
      <c r="E62" s="1417"/>
      <c r="F62" s="1417"/>
      <c r="G62" s="1417"/>
      <c r="H62" s="1417"/>
      <c r="I62" s="1417"/>
      <c r="J62" s="1417"/>
      <c r="K62" s="1418"/>
    </row>
    <row r="63" spans="2:11" ht="14.1" customHeight="1" thickBot="1">
      <c r="B63" s="61"/>
      <c r="C63" s="86"/>
      <c r="D63" s="200"/>
      <c r="E63" s="103"/>
      <c r="F63" s="103"/>
      <c r="G63" s="103"/>
      <c r="H63" s="103"/>
      <c r="I63" s="103"/>
      <c r="J63" s="103"/>
      <c r="K63" s="32"/>
    </row>
    <row r="64" spans="2:11" ht="14.1" customHeight="1" thickBot="1">
      <c r="B64" s="61" t="s">
        <v>33</v>
      </c>
      <c r="C64" s="86"/>
      <c r="D64" s="1437" t="s">
        <v>34</v>
      </c>
      <c r="E64" s="1438"/>
      <c r="F64" s="1438"/>
      <c r="G64" s="1438"/>
      <c r="H64" s="1438"/>
      <c r="I64" s="1438"/>
      <c r="J64" s="1438"/>
      <c r="K64" s="1439"/>
    </row>
    <row r="65" spans="2:11" ht="39" customHeight="1" thickBot="1">
      <c r="B65" s="61" t="s">
        <v>35</v>
      </c>
      <c r="C65" s="86"/>
      <c r="D65" s="1437" t="s">
        <v>36</v>
      </c>
      <c r="E65" s="1438"/>
      <c r="F65" s="1438"/>
      <c r="G65" s="1438"/>
      <c r="H65" s="1438"/>
      <c r="I65" s="1438"/>
      <c r="J65" s="1438"/>
      <c r="K65" s="1439"/>
    </row>
    <row r="66" spans="2:11" ht="15" thickBot="1">
      <c r="B66" s="1"/>
      <c r="C66" s="64"/>
      <c r="D66" s="5"/>
      <c r="E66" s="5"/>
      <c r="F66" s="5"/>
      <c r="G66" s="5"/>
      <c r="H66" s="5"/>
      <c r="I66" s="5"/>
      <c r="J66" s="5"/>
      <c r="K66" s="5"/>
    </row>
    <row r="67" spans="2:11" ht="24" customHeight="1" thickBot="1">
      <c r="B67" s="1444" t="s">
        <v>37</v>
      </c>
      <c r="C67" s="1445"/>
      <c r="D67" s="1445"/>
      <c r="E67" s="1446"/>
      <c r="F67" s="5"/>
      <c r="G67" s="5"/>
      <c r="H67" s="5"/>
      <c r="I67" s="5"/>
      <c r="J67" s="5"/>
      <c r="K67" s="5"/>
    </row>
    <row r="68" spans="2:11" ht="15" thickBot="1">
      <c r="B68" s="1434">
        <v>1</v>
      </c>
      <c r="C68" s="73"/>
      <c r="D68" s="38" t="s">
        <v>38</v>
      </c>
      <c r="E68" s="133" t="s">
        <v>1811</v>
      </c>
      <c r="F68" s="5"/>
      <c r="G68" s="5"/>
      <c r="H68" s="5"/>
      <c r="I68" s="5"/>
      <c r="J68" s="5"/>
      <c r="K68" s="5"/>
    </row>
    <row r="69" spans="2:11" ht="24.6" thickBot="1">
      <c r="B69" s="1435"/>
      <c r="C69" s="73"/>
      <c r="D69" s="32" t="s">
        <v>39</v>
      </c>
      <c r="E69" s="281" t="s">
        <v>1959</v>
      </c>
      <c r="F69" s="5"/>
      <c r="G69" s="5"/>
      <c r="H69" s="5"/>
      <c r="I69" s="5"/>
      <c r="J69" s="5"/>
      <c r="K69" s="5"/>
    </row>
    <row r="70" spans="2:11" ht="15" thickBot="1">
      <c r="B70" s="1435"/>
      <c r="C70" s="73"/>
      <c r="D70" s="32" t="s">
        <v>40</v>
      </c>
      <c r="E70" s="133" t="s">
        <v>1812</v>
      </c>
      <c r="F70" s="5"/>
      <c r="G70" s="5"/>
      <c r="H70" s="5"/>
      <c r="I70" s="5"/>
      <c r="J70" s="5"/>
      <c r="K70" s="5"/>
    </row>
    <row r="71" spans="2:11" ht="29.25" customHeight="1" thickBot="1">
      <c r="B71" s="1435"/>
      <c r="C71" s="73"/>
      <c r="D71" s="32" t="s">
        <v>41</v>
      </c>
      <c r="E71" s="281" t="s">
        <v>1960</v>
      </c>
      <c r="F71" s="5"/>
      <c r="G71" s="5" t="s">
        <v>876</v>
      </c>
      <c r="H71" s="5"/>
      <c r="I71" s="5"/>
      <c r="J71" s="5"/>
      <c r="K71" s="5"/>
    </row>
    <row r="72" spans="2:11" ht="29.4" thickBot="1">
      <c r="B72" s="1435"/>
      <c r="C72" s="73"/>
      <c r="D72" s="32" t="s">
        <v>42</v>
      </c>
      <c r="E72" s="445" t="s">
        <v>1813</v>
      </c>
      <c r="F72" s="5"/>
      <c r="G72" s="5"/>
      <c r="H72" s="5"/>
      <c r="I72" s="5"/>
      <c r="J72" s="5"/>
      <c r="K72" s="5"/>
    </row>
    <row r="73" spans="2:11" ht="15" thickBot="1">
      <c r="B73" s="1435"/>
      <c r="C73" s="73"/>
      <c r="D73" s="32" t="s">
        <v>43</v>
      </c>
      <c r="E73" s="133">
        <v>3686626</v>
      </c>
      <c r="F73" s="5"/>
      <c r="G73" s="5"/>
      <c r="H73" s="5"/>
      <c r="I73" s="5"/>
      <c r="J73" s="5"/>
      <c r="K73" s="5"/>
    </row>
    <row r="74" spans="2:11" ht="15" thickBot="1">
      <c r="B74" s="1436"/>
      <c r="C74" s="2"/>
      <c r="D74" s="32" t="s">
        <v>44</v>
      </c>
      <c r="E74" s="281" t="s">
        <v>1814</v>
      </c>
      <c r="F74" s="5"/>
      <c r="G74" s="5"/>
      <c r="H74" s="5"/>
      <c r="I74" s="5"/>
      <c r="J74" s="5"/>
      <c r="K74" s="5"/>
    </row>
    <row r="75" spans="2:11" ht="15" thickBot="1">
      <c r="B75" s="1"/>
      <c r="C75" s="64"/>
      <c r="D75" s="5"/>
      <c r="E75" s="5"/>
      <c r="F75" s="5"/>
      <c r="G75" s="5"/>
      <c r="H75" s="5"/>
      <c r="I75" s="5"/>
      <c r="J75" s="5"/>
      <c r="K75" s="5"/>
    </row>
    <row r="76" spans="2:11" ht="15" customHeight="1" thickBot="1">
      <c r="B76" s="1444" t="s">
        <v>45</v>
      </c>
      <c r="C76" s="1445"/>
      <c r="D76" s="1445"/>
      <c r="E76" s="1446"/>
      <c r="F76" s="5"/>
      <c r="G76" s="5"/>
      <c r="H76" s="5"/>
      <c r="I76" s="5"/>
      <c r="J76" s="5"/>
      <c r="K76" s="5"/>
    </row>
    <row r="77" spans="2:11" ht="36.6" thickBot="1">
      <c r="B77" s="1434">
        <v>1</v>
      </c>
      <c r="C77" s="73"/>
      <c r="D77" s="38" t="s">
        <v>38</v>
      </c>
      <c r="E77" s="756" t="s">
        <v>46</v>
      </c>
      <c r="F77" s="5"/>
      <c r="G77" s="5"/>
      <c r="H77" s="5"/>
      <c r="I77" s="5"/>
      <c r="J77" s="5"/>
      <c r="K77" s="5"/>
    </row>
    <row r="78" spans="2:11" ht="48.6" thickBot="1">
      <c r="B78" s="1435"/>
      <c r="C78" s="73"/>
      <c r="D78" s="32" t="s">
        <v>39</v>
      </c>
      <c r="E78" s="756" t="s">
        <v>47</v>
      </c>
      <c r="F78" s="5"/>
      <c r="G78" s="5"/>
      <c r="H78" s="5"/>
      <c r="I78" s="5"/>
      <c r="J78" s="5"/>
      <c r="K78" s="5"/>
    </row>
    <row r="79" spans="2:11" ht="15" thickBot="1">
      <c r="B79" s="1435"/>
      <c r="C79" s="73"/>
      <c r="D79" s="32" t="s">
        <v>40</v>
      </c>
      <c r="E79" s="138"/>
      <c r="F79" s="5"/>
      <c r="G79" s="5"/>
      <c r="H79" s="5"/>
      <c r="I79" s="5"/>
      <c r="J79" s="5"/>
      <c r="K79" s="5"/>
    </row>
    <row r="80" spans="2:11" ht="15" thickBot="1">
      <c r="B80" s="1435"/>
      <c r="C80" s="73"/>
      <c r="D80" s="32" t="s">
        <v>41</v>
      </c>
      <c r="E80" s="138"/>
      <c r="F80" s="5"/>
      <c r="G80" s="5"/>
      <c r="H80" s="5"/>
      <c r="I80" s="5"/>
      <c r="J80" s="5"/>
      <c r="K80" s="5"/>
    </row>
    <row r="81" spans="2:11" ht="15" thickBot="1">
      <c r="B81" s="1435"/>
      <c r="C81" s="73"/>
      <c r="D81" s="32" t="s">
        <v>42</v>
      </c>
      <c r="E81" s="138"/>
      <c r="F81" s="5"/>
      <c r="G81" s="5"/>
      <c r="H81" s="5"/>
      <c r="I81" s="5"/>
      <c r="J81" s="5"/>
      <c r="K81" s="5"/>
    </row>
    <row r="82" spans="2:11" ht="15" thickBot="1">
      <c r="B82" s="1435"/>
      <c r="C82" s="73"/>
      <c r="D82" s="32" t="s">
        <v>43</v>
      </c>
      <c r="E82" s="138"/>
      <c r="F82" s="5"/>
      <c r="G82" s="5"/>
      <c r="H82" s="5"/>
      <c r="I82" s="5"/>
      <c r="J82" s="5"/>
      <c r="K82" s="5"/>
    </row>
    <row r="83" spans="2:11" ht="15" thickBot="1">
      <c r="B83" s="1436"/>
      <c r="C83" s="2"/>
      <c r="D83" s="32" t="s">
        <v>44</v>
      </c>
      <c r="E83" s="138"/>
      <c r="F83" s="5"/>
      <c r="G83" s="5"/>
      <c r="H83" s="5"/>
      <c r="I83" s="5"/>
      <c r="J83" s="5"/>
      <c r="K83" s="5"/>
    </row>
    <row r="84" spans="2:11" ht="15" thickBot="1">
      <c r="B84" s="1"/>
      <c r="C84" s="64"/>
      <c r="D84" s="5"/>
      <c r="E84" s="5"/>
      <c r="F84" s="5"/>
      <c r="G84" s="5"/>
      <c r="H84" s="5"/>
      <c r="I84" s="5"/>
      <c r="J84" s="5"/>
      <c r="K84" s="5"/>
    </row>
    <row r="85" spans="2:11" ht="15" customHeight="1" thickBot="1">
      <c r="B85" s="97" t="s">
        <v>48</v>
      </c>
      <c r="C85" s="98"/>
      <c r="D85" s="98"/>
      <c r="E85" s="217"/>
      <c r="G85" s="5"/>
      <c r="H85" s="5"/>
      <c r="I85" s="5"/>
      <c r="J85" s="5"/>
      <c r="K85" s="5"/>
    </row>
    <row r="86" spans="2:11" ht="24.6" thickBot="1">
      <c r="B86" s="37" t="s">
        <v>49</v>
      </c>
      <c r="C86" s="32" t="s">
        <v>50</v>
      </c>
      <c r="D86" s="103" t="s">
        <v>51</v>
      </c>
      <c r="E86" s="42" t="s">
        <v>52</v>
      </c>
      <c r="F86" s="5"/>
      <c r="G86" s="5"/>
      <c r="H86" s="5"/>
      <c r="I86" s="5"/>
      <c r="J86" s="5"/>
    </row>
    <row r="87" spans="2:11" ht="96.6" thickBot="1">
      <c r="B87" s="39">
        <v>42401</v>
      </c>
      <c r="C87" s="32">
        <v>1</v>
      </c>
      <c r="D87" s="58" t="s">
        <v>53</v>
      </c>
      <c r="E87" s="32"/>
      <c r="F87" s="5"/>
      <c r="G87" s="5"/>
      <c r="H87" s="5"/>
      <c r="I87" s="5"/>
      <c r="J87" s="5"/>
    </row>
    <row r="88" spans="2:11" ht="15" thickBot="1">
      <c r="B88" s="3"/>
      <c r="C88" s="74"/>
      <c r="D88" s="5"/>
      <c r="E88" s="5"/>
      <c r="F88" s="5"/>
      <c r="G88" s="5"/>
      <c r="H88" s="5"/>
      <c r="I88" s="5"/>
      <c r="J88" s="5"/>
      <c r="K88" s="5"/>
    </row>
    <row r="89" spans="2:11">
      <c r="B89" s="106" t="s">
        <v>54</v>
      </c>
      <c r="C89" s="75"/>
      <c r="D89" s="5"/>
      <c r="E89" s="5"/>
      <c r="F89" s="5"/>
      <c r="G89" s="5"/>
      <c r="H89" s="5"/>
      <c r="I89" s="5"/>
      <c r="J89" s="5"/>
      <c r="K89" s="5"/>
    </row>
    <row r="90" spans="2:11">
      <c r="B90" s="1450"/>
      <c r="C90" s="1450"/>
      <c r="D90" s="1450"/>
      <c r="E90" s="1450"/>
      <c r="F90" s="1450"/>
      <c r="G90" s="5"/>
      <c r="H90" s="5"/>
      <c r="I90" s="5"/>
      <c r="J90" s="5"/>
      <c r="K90" s="5"/>
    </row>
    <row r="91" spans="2:11" ht="44.1" customHeight="1">
      <c r="B91" s="1450"/>
      <c r="C91" s="1450"/>
      <c r="D91" s="1450"/>
      <c r="E91" s="1450"/>
      <c r="F91" s="1450"/>
      <c r="G91" s="5"/>
      <c r="H91" s="5"/>
      <c r="I91" s="5"/>
      <c r="J91" s="5"/>
      <c r="K91" s="5"/>
    </row>
    <row r="92" spans="2:11">
      <c r="B92" s="1"/>
      <c r="C92" s="64"/>
      <c r="D92" s="5"/>
      <c r="E92" s="5"/>
      <c r="F92" s="5"/>
      <c r="G92" s="5"/>
      <c r="H92" s="5"/>
      <c r="I92" s="5"/>
      <c r="J92" s="5"/>
      <c r="K92" s="5"/>
    </row>
    <row r="93" spans="2:11" ht="15" thickBot="1">
      <c r="B93" s="29"/>
      <c r="C93" s="67"/>
      <c r="D93" s="5"/>
      <c r="E93" s="5"/>
      <c r="F93" s="5"/>
      <c r="G93" s="5"/>
      <c r="H93" s="5"/>
      <c r="I93" s="5"/>
      <c r="J93" s="5"/>
      <c r="K93" s="5"/>
    </row>
    <row r="94" spans="2:11" ht="15" thickBot="1">
      <c r="B94" s="218" t="s">
        <v>55</v>
      </c>
      <c r="C94" s="76"/>
      <c r="D94" s="5"/>
      <c r="E94" s="5"/>
      <c r="F94" s="5"/>
      <c r="G94" s="5"/>
      <c r="H94" s="5"/>
      <c r="I94" s="5"/>
      <c r="J94" s="5"/>
      <c r="K94" s="5"/>
    </row>
    <row r="95" spans="2:11" ht="15" thickBot="1">
      <c r="B95" s="29"/>
      <c r="C95" s="67"/>
      <c r="D95" s="5"/>
      <c r="E95" s="5"/>
      <c r="F95" s="5"/>
      <c r="G95" s="5"/>
      <c r="H95" s="5"/>
      <c r="I95" s="5"/>
      <c r="J95" s="5"/>
      <c r="K95" s="5"/>
    </row>
    <row r="96" spans="2:11" ht="15" thickBot="1">
      <c r="B96" s="42" t="s">
        <v>56</v>
      </c>
      <c r="C96" s="187"/>
      <c r="D96" s="1437" t="s">
        <v>57</v>
      </c>
      <c r="E96" s="1438"/>
      <c r="F96" s="1439"/>
      <c r="G96" s="5"/>
      <c r="H96" s="5"/>
      <c r="I96" s="5"/>
      <c r="J96" s="5"/>
      <c r="K96" s="5"/>
    </row>
    <row r="97" spans="2:11">
      <c r="B97" s="1434" t="s">
        <v>58</v>
      </c>
      <c r="C97" s="68"/>
      <c r="D97" s="1422" t="s">
        <v>59</v>
      </c>
      <c r="E97" s="1423"/>
      <c r="F97" s="1424"/>
      <c r="G97" s="5"/>
      <c r="H97" s="5"/>
      <c r="I97" s="5"/>
      <c r="J97" s="5"/>
      <c r="K97" s="5"/>
    </row>
    <row r="98" spans="2:11">
      <c r="B98" s="1435"/>
      <c r="C98" s="71"/>
      <c r="D98" s="1416" t="s">
        <v>60</v>
      </c>
      <c r="E98" s="1417"/>
      <c r="F98" s="1418"/>
      <c r="G98" s="5"/>
      <c r="H98" s="5"/>
      <c r="I98" s="5"/>
      <c r="J98" s="5"/>
      <c r="K98" s="5"/>
    </row>
    <row r="99" spans="2:11">
      <c r="B99" s="1435"/>
      <c r="C99" s="71"/>
      <c r="D99" s="1416" t="s">
        <v>61</v>
      </c>
      <c r="E99" s="1417"/>
      <c r="F99" s="1418"/>
      <c r="G99" s="5"/>
      <c r="H99" s="5"/>
      <c r="I99" s="5"/>
      <c r="J99" s="5"/>
      <c r="K99" s="5"/>
    </row>
    <row r="100" spans="2:11">
      <c r="B100" s="1435"/>
      <c r="C100" s="71"/>
      <c r="D100" s="1428" t="s">
        <v>62</v>
      </c>
      <c r="E100" s="1429"/>
      <c r="F100" s="1430"/>
      <c r="G100" s="5"/>
      <c r="H100" s="5"/>
      <c r="I100" s="5"/>
      <c r="J100" s="5"/>
      <c r="K100" s="5"/>
    </row>
    <row r="101" spans="2:11">
      <c r="B101" s="1435"/>
      <c r="C101" s="71"/>
      <c r="D101" s="1416" t="s">
        <v>63</v>
      </c>
      <c r="E101" s="1417"/>
      <c r="F101" s="1418"/>
      <c r="G101" s="5"/>
      <c r="H101" s="5"/>
      <c r="I101" s="5"/>
      <c r="J101" s="5"/>
      <c r="K101" s="5"/>
    </row>
    <row r="102" spans="2:11">
      <c r="B102" s="1435"/>
      <c r="C102" s="71"/>
      <c r="D102" s="1416" t="s">
        <v>64</v>
      </c>
      <c r="E102" s="1417"/>
      <c r="F102" s="1418"/>
      <c r="G102" s="5"/>
      <c r="H102" s="5"/>
      <c r="I102" s="5"/>
      <c r="J102" s="5"/>
      <c r="K102" s="5"/>
    </row>
    <row r="103" spans="2:11">
      <c r="B103" s="1435"/>
      <c r="C103" s="71"/>
      <c r="D103" s="1416" t="s">
        <v>65</v>
      </c>
      <c r="E103" s="1417"/>
      <c r="F103" s="1418"/>
      <c r="G103" s="5"/>
      <c r="H103" s="5"/>
      <c r="I103" s="5"/>
      <c r="J103" s="5"/>
      <c r="K103" s="5"/>
    </row>
    <row r="104" spans="2:11">
      <c r="B104" s="1435"/>
      <c r="C104" s="71"/>
      <c r="D104" s="1416" t="s">
        <v>66</v>
      </c>
      <c r="E104" s="1417"/>
      <c r="F104" s="1418"/>
      <c r="G104" s="5"/>
      <c r="H104" s="5"/>
      <c r="I104" s="5"/>
      <c r="J104" s="5"/>
      <c r="K104" s="5"/>
    </row>
    <row r="105" spans="2:11">
      <c r="B105" s="1435"/>
      <c r="C105" s="71"/>
      <c r="D105" s="1428" t="s">
        <v>67</v>
      </c>
      <c r="E105" s="1429"/>
      <c r="F105" s="1430"/>
      <c r="G105" s="5"/>
      <c r="H105" s="5"/>
      <c r="I105" s="5"/>
      <c r="J105" s="5"/>
      <c r="K105" s="5"/>
    </row>
    <row r="106" spans="2:11">
      <c r="B106" s="1435"/>
      <c r="C106" s="71"/>
      <c r="D106" s="1416" t="s">
        <v>68</v>
      </c>
      <c r="E106" s="1417"/>
      <c r="F106" s="1418"/>
      <c r="G106" s="5"/>
      <c r="H106" s="5"/>
      <c r="I106" s="5"/>
      <c r="J106" s="5"/>
      <c r="K106" s="5"/>
    </row>
    <row r="107" spans="2:11">
      <c r="B107" s="1435"/>
      <c r="C107" s="71"/>
      <c r="D107" s="1416" t="s">
        <v>69</v>
      </c>
      <c r="E107" s="1417"/>
      <c r="F107" s="1418"/>
      <c r="G107" s="5"/>
      <c r="H107" s="5"/>
      <c r="I107" s="5"/>
      <c r="J107" s="5"/>
      <c r="K107" s="5"/>
    </row>
    <row r="108" spans="2:11" ht="15" thickBot="1">
      <c r="B108" s="1436"/>
      <c r="C108" s="72"/>
      <c r="D108" s="1447" t="s">
        <v>70</v>
      </c>
      <c r="E108" s="1448"/>
      <c r="F108" s="1449"/>
      <c r="G108" s="5"/>
      <c r="H108" s="5"/>
      <c r="I108" s="5"/>
      <c r="J108" s="5"/>
      <c r="K108" s="5"/>
    </row>
    <row r="109" spans="2:11" ht="24.6" thickBot="1">
      <c r="B109" s="37" t="s">
        <v>71</v>
      </c>
      <c r="C109" s="72"/>
      <c r="D109" s="1437"/>
      <c r="E109" s="1438"/>
      <c r="F109" s="1439"/>
      <c r="G109" s="5"/>
      <c r="H109" s="5"/>
      <c r="I109" s="5"/>
      <c r="J109" s="5"/>
      <c r="K109" s="5"/>
    </row>
    <row r="110" spans="2:11">
      <c r="B110" s="1434" t="s">
        <v>72</v>
      </c>
      <c r="C110" s="68"/>
      <c r="D110" s="1425" t="s">
        <v>73</v>
      </c>
      <c r="E110" s="1426"/>
      <c r="F110" s="1427"/>
      <c r="G110" s="5"/>
      <c r="H110" s="5"/>
      <c r="I110" s="5"/>
      <c r="J110" s="5"/>
      <c r="K110" s="5"/>
    </row>
    <row r="111" spans="2:11">
      <c r="B111" s="1435"/>
      <c r="C111" s="71"/>
      <c r="D111" s="1428" t="s">
        <v>74</v>
      </c>
      <c r="E111" s="1429"/>
      <c r="F111" s="1430"/>
      <c r="G111" s="5"/>
      <c r="H111" s="5"/>
      <c r="I111" s="5"/>
      <c r="J111" s="5"/>
      <c r="K111" s="5"/>
    </row>
    <row r="112" spans="2:11">
      <c r="B112" s="1435"/>
      <c r="C112" s="71"/>
      <c r="D112" s="1416" t="s">
        <v>75</v>
      </c>
      <c r="E112" s="1417"/>
      <c r="F112" s="1418"/>
      <c r="G112" s="5"/>
      <c r="H112" s="5"/>
      <c r="I112" s="5"/>
      <c r="J112" s="5"/>
      <c r="K112" s="5"/>
    </row>
    <row r="113" spans="2:11">
      <c r="B113" s="1435"/>
      <c r="C113" s="71"/>
      <c r="D113" s="1416" t="s">
        <v>76</v>
      </c>
      <c r="E113" s="1417"/>
      <c r="F113" s="1418"/>
      <c r="G113" s="5"/>
      <c r="H113" s="5"/>
      <c r="I113" s="5"/>
      <c r="J113" s="5"/>
      <c r="K113" s="5"/>
    </row>
    <row r="114" spans="2:11">
      <c r="B114" s="1435"/>
      <c r="C114" s="71"/>
      <c r="D114" s="1416" t="s">
        <v>77</v>
      </c>
      <c r="E114" s="1417"/>
      <c r="F114" s="1418"/>
      <c r="G114" s="5"/>
      <c r="H114" s="5"/>
      <c r="I114" s="5"/>
      <c r="J114" s="5"/>
      <c r="K114" s="5"/>
    </row>
    <row r="115" spans="2:11">
      <c r="B115" s="1435"/>
      <c r="C115" s="71"/>
      <c r="D115" s="1416" t="s">
        <v>78</v>
      </c>
      <c r="E115" s="1417"/>
      <c r="F115" s="1418"/>
      <c r="G115" s="5"/>
      <c r="H115" s="5"/>
      <c r="I115" s="5"/>
      <c r="J115" s="5"/>
      <c r="K115" s="5"/>
    </row>
    <row r="116" spans="2:11">
      <c r="B116" s="1435"/>
      <c r="C116" s="71"/>
      <c r="D116" s="1416" t="s">
        <v>79</v>
      </c>
      <c r="E116" s="1417"/>
      <c r="F116" s="1418"/>
      <c r="G116" s="5"/>
      <c r="H116" s="5"/>
      <c r="I116" s="5"/>
      <c r="J116" s="5"/>
      <c r="K116" s="5"/>
    </row>
    <row r="117" spans="2:11">
      <c r="B117" s="1435"/>
      <c r="C117" s="71"/>
      <c r="D117" s="1416" t="s">
        <v>80</v>
      </c>
      <c r="E117" s="1417"/>
      <c r="F117" s="1418"/>
      <c r="G117" s="5"/>
      <c r="H117" s="5"/>
      <c r="I117" s="5"/>
      <c r="J117" s="5"/>
      <c r="K117" s="5"/>
    </row>
    <row r="118" spans="2:11">
      <c r="B118" s="1435"/>
      <c r="C118" s="71"/>
      <c r="D118" s="1428" t="s">
        <v>81</v>
      </c>
      <c r="E118" s="1429"/>
      <c r="F118" s="1430"/>
      <c r="G118" s="5"/>
      <c r="H118" s="5"/>
      <c r="I118" s="5"/>
      <c r="J118" s="5"/>
      <c r="K118" s="5"/>
    </row>
    <row r="119" spans="2:11">
      <c r="B119" s="1435"/>
      <c r="C119" s="71"/>
      <c r="D119" s="1416" t="s">
        <v>82</v>
      </c>
      <c r="E119" s="1417"/>
      <c r="F119" s="1418"/>
      <c r="G119" s="5"/>
      <c r="H119" s="5"/>
      <c r="I119" s="5"/>
      <c r="J119" s="5"/>
      <c r="K119" s="5"/>
    </row>
    <row r="120" spans="2:11">
      <c r="B120" s="1435"/>
      <c r="C120" s="71"/>
      <c r="D120" s="1416" t="s">
        <v>83</v>
      </c>
      <c r="E120" s="1417"/>
      <c r="F120" s="1418"/>
      <c r="G120" s="5"/>
      <c r="H120" s="5"/>
      <c r="I120" s="5"/>
      <c r="J120" s="5"/>
      <c r="K120" s="5"/>
    </row>
    <row r="121" spans="2:11">
      <c r="B121" s="1435"/>
      <c r="C121" s="71"/>
      <c r="D121" s="1416" t="s">
        <v>84</v>
      </c>
      <c r="E121" s="1417"/>
      <c r="F121" s="1418"/>
      <c r="G121" s="5"/>
      <c r="H121" s="5"/>
      <c r="I121" s="5"/>
      <c r="J121" s="5"/>
      <c r="K121" s="5"/>
    </row>
    <row r="122" spans="2:11">
      <c r="B122" s="1435"/>
      <c r="C122" s="71"/>
      <c r="D122" s="1416" t="s">
        <v>85</v>
      </c>
      <c r="E122" s="1417"/>
      <c r="F122" s="1418"/>
      <c r="G122" s="5"/>
      <c r="H122" s="5"/>
      <c r="I122" s="5"/>
      <c r="J122" s="5"/>
      <c r="K122" s="5"/>
    </row>
    <row r="123" spans="2:11">
      <c r="B123" s="1435"/>
      <c r="C123" s="71"/>
      <c r="D123" s="1428" t="s">
        <v>86</v>
      </c>
      <c r="E123" s="1429"/>
      <c r="F123" s="1430"/>
      <c r="G123" s="5"/>
      <c r="H123" s="5"/>
      <c r="I123" s="5"/>
      <c r="J123" s="5"/>
      <c r="K123" s="5"/>
    </row>
    <row r="124" spans="2:11">
      <c r="B124" s="1435"/>
      <c r="C124" s="71"/>
      <c r="D124" s="1416" t="s">
        <v>87</v>
      </c>
      <c r="E124" s="1417"/>
      <c r="F124" s="1418"/>
      <c r="G124" s="5"/>
      <c r="H124" s="5"/>
      <c r="I124" s="5"/>
      <c r="J124" s="5"/>
      <c r="K124" s="5"/>
    </row>
    <row r="125" spans="2:11">
      <c r="B125" s="1435"/>
      <c r="C125" s="71"/>
      <c r="D125" s="1416" t="s">
        <v>83</v>
      </c>
      <c r="E125" s="1417"/>
      <c r="F125" s="1418"/>
      <c r="G125" s="5"/>
      <c r="H125" s="5"/>
      <c r="I125" s="5"/>
      <c r="J125" s="5"/>
      <c r="K125" s="5"/>
    </row>
    <row r="126" spans="2:11">
      <c r="B126" s="1435"/>
      <c r="C126" s="71"/>
      <c r="D126" s="1416" t="s">
        <v>84</v>
      </c>
      <c r="E126" s="1417"/>
      <c r="F126" s="1418"/>
      <c r="G126" s="5"/>
      <c r="H126" s="5"/>
      <c r="I126" s="5"/>
      <c r="J126" s="5"/>
      <c r="K126" s="5"/>
    </row>
    <row r="127" spans="2:11" ht="15" thickBot="1">
      <c r="B127" s="1436"/>
      <c r="C127" s="72"/>
      <c r="D127" s="1431" t="s">
        <v>88</v>
      </c>
      <c r="E127" s="1432"/>
      <c r="F127" s="1433"/>
      <c r="G127" s="5"/>
      <c r="H127" s="5"/>
      <c r="I127" s="5"/>
      <c r="J127" s="5"/>
      <c r="K127" s="5"/>
    </row>
    <row r="128" spans="2:11">
      <c r="B128" s="1434" t="s">
        <v>89</v>
      </c>
      <c r="C128" s="68"/>
      <c r="D128" s="1425"/>
      <c r="E128" s="1426"/>
      <c r="F128" s="1427"/>
      <c r="G128" s="5"/>
      <c r="H128" s="5"/>
      <c r="I128" s="5"/>
      <c r="J128" s="5"/>
      <c r="K128" s="5"/>
    </row>
    <row r="129" spans="2:11">
      <c r="B129" s="1435"/>
      <c r="C129" s="71"/>
      <c r="D129" s="1413"/>
      <c r="E129" s="1414"/>
      <c r="F129" s="1415"/>
      <c r="G129" s="5"/>
      <c r="H129" s="5"/>
      <c r="I129" s="5"/>
      <c r="J129" s="5"/>
      <c r="K129" s="5"/>
    </row>
    <row r="130" spans="2:11">
      <c r="B130" s="1435"/>
      <c r="C130" s="71"/>
      <c r="D130" s="1416" t="s">
        <v>90</v>
      </c>
      <c r="E130" s="1417"/>
      <c r="F130" s="1418"/>
      <c r="G130" s="5"/>
      <c r="H130" s="5"/>
      <c r="I130" s="5"/>
      <c r="J130" s="5"/>
      <c r="K130" s="5"/>
    </row>
    <row r="131" spans="2:11">
      <c r="B131" s="1435"/>
      <c r="C131" s="71"/>
      <c r="D131" s="1416" t="s">
        <v>91</v>
      </c>
      <c r="E131" s="1417"/>
      <c r="F131" s="1418"/>
      <c r="G131" s="5"/>
      <c r="H131" s="5"/>
      <c r="I131" s="5"/>
      <c r="J131" s="5"/>
      <c r="K131" s="5"/>
    </row>
    <row r="132" spans="2:11">
      <c r="B132" s="1435"/>
      <c r="C132" s="71"/>
      <c r="D132" s="1416" t="s">
        <v>92</v>
      </c>
      <c r="E132" s="1417"/>
      <c r="F132" s="1418"/>
      <c r="G132" s="5"/>
      <c r="H132" s="5"/>
      <c r="I132" s="5"/>
      <c r="J132" s="5"/>
      <c r="K132" s="5"/>
    </row>
    <row r="133" spans="2:11">
      <c r="B133" s="1435"/>
      <c r="C133" s="71"/>
      <c r="D133" s="1416" t="s">
        <v>93</v>
      </c>
      <c r="E133" s="1417"/>
      <c r="F133" s="1418"/>
      <c r="G133" s="5"/>
      <c r="H133" s="5"/>
      <c r="I133" s="5"/>
      <c r="J133" s="5"/>
      <c r="K133" s="5"/>
    </row>
    <row r="134" spans="2:11">
      <c r="B134" s="1435"/>
      <c r="C134" s="71"/>
      <c r="D134" s="1416" t="s">
        <v>94</v>
      </c>
      <c r="E134" s="1417"/>
      <c r="F134" s="1418"/>
      <c r="G134" s="5"/>
      <c r="H134" s="5"/>
      <c r="I134" s="5"/>
      <c r="J134" s="5"/>
      <c r="K134" s="5"/>
    </row>
    <row r="135" spans="2:11">
      <c r="B135" s="1435"/>
      <c r="C135" s="71"/>
      <c r="D135" s="1416" t="s">
        <v>95</v>
      </c>
      <c r="E135" s="1417"/>
      <c r="F135" s="1418"/>
      <c r="G135" s="5"/>
      <c r="H135" s="5"/>
      <c r="I135" s="5"/>
      <c r="J135" s="5"/>
      <c r="K135" s="5"/>
    </row>
    <row r="136" spans="2:11">
      <c r="B136" s="1435"/>
      <c r="C136" s="71"/>
      <c r="D136" s="1416" t="s">
        <v>96</v>
      </c>
      <c r="E136" s="1417"/>
      <c r="F136" s="1418"/>
      <c r="G136" s="5"/>
      <c r="H136" s="5"/>
      <c r="I136" s="5"/>
      <c r="J136" s="5"/>
      <c r="K136" s="5"/>
    </row>
    <row r="137" spans="2:11">
      <c r="B137" s="1435"/>
      <c r="C137" s="71"/>
      <c r="D137" s="1416" t="s">
        <v>97</v>
      </c>
      <c r="E137" s="1417"/>
      <c r="F137" s="1418"/>
      <c r="G137" s="5"/>
      <c r="H137" s="5"/>
      <c r="I137" s="5"/>
      <c r="J137" s="5"/>
      <c r="K137" s="5"/>
    </row>
    <row r="138" spans="2:11">
      <c r="B138" s="1435"/>
      <c r="C138" s="71"/>
      <c r="D138" s="1416" t="s">
        <v>98</v>
      </c>
      <c r="E138" s="1417"/>
      <c r="F138" s="1418"/>
      <c r="G138" s="5"/>
      <c r="H138" s="5"/>
      <c r="I138" s="5"/>
      <c r="J138" s="5"/>
      <c r="K138" s="5"/>
    </row>
    <row r="139" spans="2:11">
      <c r="B139" s="1435"/>
      <c r="C139" s="71"/>
      <c r="D139" s="1416" t="s">
        <v>99</v>
      </c>
      <c r="E139" s="1417"/>
      <c r="F139" s="1418"/>
      <c r="G139" s="5"/>
      <c r="H139" s="5"/>
      <c r="I139" s="5"/>
      <c r="J139" s="5"/>
      <c r="K139" s="5"/>
    </row>
    <row r="140" spans="2:11">
      <c r="B140" s="1435"/>
      <c r="C140" s="71"/>
      <c r="D140" s="1416" t="s">
        <v>100</v>
      </c>
      <c r="E140" s="1417"/>
      <c r="F140" s="1418"/>
      <c r="G140" s="5"/>
      <c r="H140" s="5"/>
      <c r="I140" s="5"/>
      <c r="J140" s="5"/>
      <c r="K140" s="5"/>
    </row>
    <row r="141" spans="2:11" ht="15" thickBot="1">
      <c r="B141" s="1435"/>
      <c r="C141" s="71"/>
      <c r="D141" s="1419" t="s">
        <v>101</v>
      </c>
      <c r="E141" s="1420"/>
      <c r="F141" s="1421"/>
      <c r="G141" s="5"/>
      <c r="H141" s="5"/>
      <c r="I141" s="5"/>
      <c r="J141" s="5"/>
      <c r="K141" s="5"/>
    </row>
    <row r="142" spans="2:11" ht="15" thickBot="1">
      <c r="B142" s="1435"/>
      <c r="C142" s="73"/>
      <c r="D142" s="34" t="s">
        <v>102</v>
      </c>
      <c r="E142" s="34" t="s">
        <v>103</v>
      </c>
      <c r="F142" s="34" t="s">
        <v>104</v>
      </c>
      <c r="G142" s="5"/>
      <c r="H142" s="5"/>
      <c r="I142" s="5"/>
      <c r="J142" s="5"/>
      <c r="K142" s="5"/>
    </row>
    <row r="143" spans="2:11" ht="15" thickBot="1">
      <c r="B143" s="1435"/>
      <c r="C143" s="73"/>
      <c r="D143" s="32" t="s">
        <v>105</v>
      </c>
      <c r="E143" s="219">
        <v>0.15</v>
      </c>
      <c r="F143" s="219">
        <v>0.15</v>
      </c>
      <c r="G143" s="5"/>
      <c r="H143" s="5"/>
      <c r="I143" s="5"/>
      <c r="J143" s="5"/>
      <c r="K143" s="5"/>
    </row>
    <row r="144" spans="2:11" ht="15" thickBot="1">
      <c r="B144" s="1435"/>
      <c r="C144" s="73"/>
      <c r="D144" s="32" t="s">
        <v>106</v>
      </c>
      <c r="E144" s="219">
        <v>0.18</v>
      </c>
      <c r="F144" s="219">
        <v>0.33</v>
      </c>
      <c r="G144" s="5"/>
      <c r="H144" s="220"/>
      <c r="I144" s="5"/>
      <c r="J144" s="5"/>
      <c r="K144" s="5"/>
    </row>
    <row r="145" spans="2:11" ht="15" thickBot="1">
      <c r="B145" s="1435"/>
      <c r="C145" s="73"/>
      <c r="D145" s="32" t="s">
        <v>107</v>
      </c>
      <c r="E145" s="219">
        <v>0.33</v>
      </c>
      <c r="F145" s="219">
        <v>0.66</v>
      </c>
      <c r="G145" s="5"/>
      <c r="H145" s="220"/>
      <c r="I145" s="5"/>
      <c r="J145" s="5"/>
      <c r="K145" s="5"/>
    </row>
    <row r="146" spans="2:11" ht="15" thickBot="1">
      <c r="B146" s="1435"/>
      <c r="C146" s="73"/>
      <c r="D146" s="32" t="s">
        <v>108</v>
      </c>
      <c r="E146" s="219">
        <v>0.16</v>
      </c>
      <c r="F146" s="219">
        <v>0.82</v>
      </c>
      <c r="G146" s="5"/>
      <c r="H146" s="220"/>
      <c r="I146" s="5"/>
      <c r="J146" s="5"/>
      <c r="K146" s="5"/>
    </row>
    <row r="147" spans="2:11" ht="15" thickBot="1">
      <c r="B147" s="1435"/>
      <c r="C147" s="73"/>
      <c r="D147" s="32" t="s">
        <v>109</v>
      </c>
      <c r="E147" s="219">
        <v>0.18</v>
      </c>
      <c r="F147" s="219">
        <v>1</v>
      </c>
      <c r="G147" s="5"/>
      <c r="H147" s="220"/>
      <c r="I147" s="5"/>
      <c r="J147" s="5"/>
      <c r="K147" s="5"/>
    </row>
    <row r="148" spans="2:11">
      <c r="B148" s="1435"/>
      <c r="C148" s="71"/>
      <c r="D148" s="1422"/>
      <c r="E148" s="1423"/>
      <c r="F148" s="1424"/>
      <c r="G148" s="5"/>
      <c r="H148" s="5"/>
      <c r="I148" s="5"/>
      <c r="J148" s="5"/>
      <c r="K148" s="5"/>
    </row>
    <row r="149" spans="2:11" ht="15" thickBot="1">
      <c r="B149" s="1435"/>
      <c r="C149" s="71"/>
      <c r="D149" s="1419" t="s">
        <v>81</v>
      </c>
      <c r="E149" s="1420"/>
      <c r="F149" s="1421"/>
      <c r="G149" s="5"/>
      <c r="H149" s="5"/>
      <c r="I149" s="5"/>
      <c r="J149" s="5"/>
      <c r="K149" s="5"/>
    </row>
    <row r="150" spans="2:11" ht="15" thickBot="1">
      <c r="B150" s="1435"/>
      <c r="C150" s="73"/>
      <c r="D150" s="34" t="s">
        <v>102</v>
      </c>
      <c r="E150" s="34" t="s">
        <v>103</v>
      </c>
      <c r="F150" s="34" t="s">
        <v>104</v>
      </c>
      <c r="G150" s="5"/>
      <c r="H150" s="5"/>
      <c r="I150" s="5"/>
      <c r="J150" s="5"/>
      <c r="K150" s="5"/>
    </row>
    <row r="151" spans="2:11" ht="15" thickBot="1">
      <c r="B151" s="1435"/>
      <c r="C151" s="73"/>
      <c r="D151" s="32" t="s">
        <v>110</v>
      </c>
      <c r="E151" s="219">
        <v>0.2</v>
      </c>
      <c r="F151" s="219">
        <v>0.2</v>
      </c>
      <c r="G151" s="5"/>
      <c r="H151" s="5"/>
      <c r="I151" s="5"/>
      <c r="J151" s="5"/>
      <c r="K151" s="5"/>
    </row>
    <row r="152" spans="2:11" ht="15" thickBot="1">
      <c r="B152" s="1435"/>
      <c r="C152" s="73"/>
      <c r="D152" s="32" t="s">
        <v>111</v>
      </c>
      <c r="E152" s="219">
        <v>0.5</v>
      </c>
      <c r="F152" s="219">
        <v>0.7</v>
      </c>
      <c r="G152" s="5"/>
      <c r="H152" s="220"/>
      <c r="I152" s="5"/>
      <c r="J152" s="5"/>
      <c r="K152" s="5"/>
    </row>
    <row r="153" spans="2:11" ht="15" thickBot="1">
      <c r="B153" s="1435"/>
      <c r="C153" s="73"/>
      <c r="D153" s="32" t="s">
        <v>112</v>
      </c>
      <c r="E153" s="219">
        <v>0.3</v>
      </c>
      <c r="F153" s="219">
        <v>1</v>
      </c>
      <c r="G153" s="5"/>
      <c r="H153" s="220"/>
      <c r="I153" s="5"/>
      <c r="J153" s="5"/>
      <c r="K153" s="5"/>
    </row>
    <row r="154" spans="2:11">
      <c r="B154" s="1435"/>
      <c r="C154" s="71"/>
      <c r="D154" s="1425"/>
      <c r="E154" s="1426"/>
      <c r="F154" s="1427"/>
      <c r="G154" s="5"/>
      <c r="H154" s="220"/>
      <c r="I154" s="5"/>
      <c r="J154" s="5"/>
      <c r="K154" s="5"/>
    </row>
    <row r="155" spans="2:11" ht="15" thickBot="1">
      <c r="B155" s="1435"/>
      <c r="C155" s="71"/>
      <c r="D155" s="1419" t="s">
        <v>113</v>
      </c>
      <c r="E155" s="1420"/>
      <c r="F155" s="1421"/>
      <c r="G155" s="5"/>
      <c r="H155" s="220"/>
      <c r="I155" s="5"/>
      <c r="J155" s="5"/>
      <c r="K155" s="5"/>
    </row>
    <row r="156" spans="2:11" ht="15" thickBot="1">
      <c r="B156" s="1435"/>
      <c r="C156" s="73"/>
      <c r="D156" s="34" t="s">
        <v>102</v>
      </c>
      <c r="E156" s="34" t="s">
        <v>103</v>
      </c>
      <c r="F156" s="34" t="s">
        <v>104</v>
      </c>
      <c r="G156" s="5"/>
      <c r="H156" s="5"/>
      <c r="I156" s="5"/>
      <c r="J156" s="5"/>
      <c r="K156" s="5"/>
    </row>
    <row r="157" spans="2:11" ht="15" thickBot="1">
      <c r="B157" s="1435"/>
      <c r="C157" s="73"/>
      <c r="D157" s="32" t="s">
        <v>114</v>
      </c>
      <c r="E157" s="219">
        <v>0.2</v>
      </c>
      <c r="F157" s="219">
        <v>0.2</v>
      </c>
      <c r="G157" s="5"/>
      <c r="H157" s="220"/>
      <c r="I157" s="5"/>
      <c r="J157" s="5"/>
      <c r="K157" s="5"/>
    </row>
    <row r="158" spans="2:11" ht="15" thickBot="1">
      <c r="B158" s="1435"/>
      <c r="C158" s="73"/>
      <c r="D158" s="32" t="s">
        <v>111</v>
      </c>
      <c r="E158" s="219">
        <v>0.5</v>
      </c>
      <c r="F158" s="219">
        <v>0.7</v>
      </c>
      <c r="G158" s="5"/>
      <c r="H158" s="220"/>
      <c r="I158" s="5"/>
      <c r="J158" s="5"/>
      <c r="K158" s="5"/>
    </row>
    <row r="159" spans="2:11" ht="15" thickBot="1">
      <c r="B159" s="1435"/>
      <c r="C159" s="73"/>
      <c r="D159" s="32" t="s">
        <v>112</v>
      </c>
      <c r="E159" s="219">
        <v>0.3</v>
      </c>
      <c r="F159" s="219">
        <v>1</v>
      </c>
      <c r="G159" s="5"/>
      <c r="H159" s="220"/>
      <c r="I159" s="5"/>
      <c r="J159" s="5"/>
      <c r="K159" s="5"/>
    </row>
    <row r="160" spans="2:11">
      <c r="B160" s="1435"/>
      <c r="C160" s="71"/>
      <c r="D160" s="1425"/>
      <c r="E160" s="1426"/>
      <c r="F160" s="1427"/>
      <c r="G160" s="5"/>
      <c r="H160" s="5"/>
      <c r="I160" s="5"/>
      <c r="J160" s="5"/>
      <c r="K160" s="5"/>
    </row>
    <row r="161" spans="2:11">
      <c r="B161" s="1435"/>
      <c r="C161" s="71"/>
      <c r="D161" s="1428" t="s">
        <v>115</v>
      </c>
      <c r="E161" s="1429"/>
      <c r="F161" s="1430"/>
      <c r="G161" s="5"/>
      <c r="H161" s="5"/>
      <c r="I161" s="5"/>
      <c r="J161" s="5"/>
      <c r="K161" s="5"/>
    </row>
    <row r="162" spans="2:11">
      <c r="B162" s="1435"/>
      <c r="C162" s="71"/>
      <c r="D162" s="1416" t="s">
        <v>116</v>
      </c>
      <c r="E162" s="1417"/>
      <c r="F162" s="1418"/>
      <c r="G162" s="5"/>
      <c r="H162" s="5"/>
      <c r="I162" s="5"/>
      <c r="J162" s="5"/>
      <c r="K162" s="5"/>
    </row>
    <row r="163" spans="2:11">
      <c r="B163" s="1435"/>
      <c r="C163" s="71"/>
      <c r="D163" s="188"/>
      <c r="E163" s="107"/>
      <c r="F163" s="36"/>
      <c r="G163" s="5"/>
      <c r="H163" s="5"/>
      <c r="I163" s="5"/>
      <c r="J163" s="5"/>
      <c r="K163" s="5"/>
    </row>
    <row r="164" spans="2:11">
      <c r="B164" s="1435"/>
      <c r="C164" s="71"/>
      <c r="D164" s="1416" t="s">
        <v>117</v>
      </c>
      <c r="E164" s="1417"/>
      <c r="F164" s="1418"/>
      <c r="G164" s="5"/>
      <c r="H164" s="5"/>
      <c r="I164" s="5"/>
      <c r="J164" s="5"/>
      <c r="K164" s="5"/>
    </row>
    <row r="165" spans="2:11">
      <c r="B165" s="1435"/>
      <c r="C165" s="71"/>
      <c r="D165" s="1416" t="s">
        <v>118</v>
      </c>
      <c r="E165" s="1417"/>
      <c r="F165" s="1418"/>
      <c r="G165" s="5"/>
      <c r="H165" s="5"/>
      <c r="I165" s="5"/>
      <c r="J165" s="5"/>
      <c r="K165" s="5"/>
    </row>
    <row r="166" spans="2:11">
      <c r="B166" s="1435"/>
      <c r="C166" s="71"/>
      <c r="D166" s="1416" t="s">
        <v>119</v>
      </c>
      <c r="E166" s="1417"/>
      <c r="F166" s="1418"/>
      <c r="G166" s="5"/>
      <c r="H166" s="5"/>
      <c r="I166" s="5"/>
      <c r="J166" s="5"/>
      <c r="K166" s="5"/>
    </row>
    <row r="167" spans="2:11">
      <c r="B167" s="1435"/>
      <c r="C167" s="71"/>
      <c r="D167" s="1416" t="s">
        <v>120</v>
      </c>
      <c r="E167" s="1417"/>
      <c r="F167" s="1418"/>
      <c r="G167" s="5"/>
      <c r="H167" s="5"/>
      <c r="I167" s="5"/>
      <c r="J167" s="5"/>
      <c r="K167" s="5"/>
    </row>
    <row r="168" spans="2:11">
      <c r="B168" s="1435"/>
      <c r="C168" s="71"/>
      <c r="D168" s="188"/>
      <c r="E168" s="107"/>
      <c r="F168" s="36"/>
      <c r="G168" s="5"/>
      <c r="H168" s="5"/>
      <c r="I168" s="5"/>
      <c r="J168" s="5"/>
      <c r="K168" s="5"/>
    </row>
    <row r="169" spans="2:11">
      <c r="B169" s="1435"/>
      <c r="C169" s="71"/>
      <c r="D169" s="1428" t="s">
        <v>121</v>
      </c>
      <c r="E169" s="1429"/>
      <c r="F169" s="1430"/>
      <c r="G169" s="5"/>
      <c r="H169" s="5"/>
      <c r="I169" s="5"/>
      <c r="J169" s="5"/>
      <c r="K169" s="5"/>
    </row>
    <row r="170" spans="2:11">
      <c r="B170" s="1435"/>
      <c r="C170" s="71"/>
      <c r="D170" s="1416" t="s">
        <v>122</v>
      </c>
      <c r="E170" s="1417"/>
      <c r="F170" s="1418"/>
      <c r="G170" s="5"/>
      <c r="H170" s="5"/>
      <c r="I170" s="5"/>
      <c r="J170" s="5"/>
      <c r="K170" s="5"/>
    </row>
    <row r="171" spans="2:11" ht="32.1" customHeight="1">
      <c r="B171" s="1435"/>
      <c r="C171" s="71"/>
      <c r="D171" s="1413"/>
      <c r="E171" s="1414"/>
      <c r="F171" s="1415"/>
      <c r="G171" s="5"/>
      <c r="H171" s="5"/>
      <c r="I171" s="5"/>
      <c r="J171" s="5"/>
      <c r="K171" s="5"/>
    </row>
    <row r="172" spans="2:11">
      <c r="B172" s="1435"/>
      <c r="C172" s="71"/>
      <c r="D172" s="1416" t="s">
        <v>123</v>
      </c>
      <c r="E172" s="1417"/>
      <c r="F172" s="1418"/>
      <c r="G172" s="5"/>
      <c r="H172" s="5"/>
      <c r="I172" s="5"/>
      <c r="J172" s="5"/>
      <c r="K172" s="5"/>
    </row>
    <row r="173" spans="2:11">
      <c r="B173" s="1435"/>
      <c r="C173" s="71"/>
      <c r="D173" s="1416" t="s">
        <v>124</v>
      </c>
      <c r="E173" s="1417"/>
      <c r="F173" s="1418"/>
      <c r="G173" s="5"/>
      <c r="H173" s="5"/>
      <c r="I173" s="5"/>
      <c r="J173" s="5"/>
      <c r="K173" s="5"/>
    </row>
    <row r="174" spans="2:11">
      <c r="B174" s="1435"/>
      <c r="C174" s="71"/>
      <c r="D174" s="1416" t="s">
        <v>125</v>
      </c>
      <c r="E174" s="1417"/>
      <c r="F174" s="1418"/>
      <c r="G174" s="5"/>
      <c r="H174" s="5"/>
      <c r="I174" s="5"/>
      <c r="J174" s="5"/>
      <c r="K174" s="5"/>
    </row>
    <row r="175" spans="2:11" ht="15" thickBot="1">
      <c r="B175" s="1436"/>
      <c r="C175" s="72"/>
      <c r="D175" s="1431" t="s">
        <v>126</v>
      </c>
      <c r="E175" s="1432"/>
      <c r="F175" s="1433"/>
      <c r="G175" s="5"/>
      <c r="H175" s="5"/>
      <c r="I175" s="5"/>
      <c r="J175" s="5"/>
      <c r="K175" s="5"/>
    </row>
  </sheetData>
  <sheetProtection insertRows="0"/>
  <mergeCells count="108">
    <mergeCell ref="J24:K24"/>
    <mergeCell ref="J28:K28"/>
    <mergeCell ref="D60:E60"/>
    <mergeCell ref="D61:K61"/>
    <mergeCell ref="D62:K62"/>
    <mergeCell ref="D64:K64"/>
    <mergeCell ref="D65:K65"/>
    <mergeCell ref="B15:B21"/>
    <mergeCell ref="D55:K55"/>
    <mergeCell ref="D15:K15"/>
    <mergeCell ref="D22:K22"/>
    <mergeCell ref="D23:K23"/>
    <mergeCell ref="D29:K29"/>
    <mergeCell ref="D30:K30"/>
    <mergeCell ref="D31:K31"/>
    <mergeCell ref="D32:K32"/>
    <mergeCell ref="D33:K33"/>
    <mergeCell ref="D40:K40"/>
    <mergeCell ref="D41:K41"/>
    <mergeCell ref="D47:K47"/>
    <mergeCell ref="D48:K48"/>
    <mergeCell ref="D49:K49"/>
    <mergeCell ref="D54:K54"/>
    <mergeCell ref="J25:K25"/>
    <mergeCell ref="J26:K26"/>
    <mergeCell ref="J27:K27"/>
    <mergeCell ref="D96:F96"/>
    <mergeCell ref="B67:E67"/>
    <mergeCell ref="B68:B74"/>
    <mergeCell ref="B97:B108"/>
    <mergeCell ref="D97:F97"/>
    <mergeCell ref="D98:F98"/>
    <mergeCell ref="D99:F99"/>
    <mergeCell ref="D100:F100"/>
    <mergeCell ref="D101:F101"/>
    <mergeCell ref="D102:F102"/>
    <mergeCell ref="D103:F103"/>
    <mergeCell ref="D104:F104"/>
    <mergeCell ref="D105:F105"/>
    <mergeCell ref="D106:F106"/>
    <mergeCell ref="D107:F107"/>
    <mergeCell ref="D108:F108"/>
    <mergeCell ref="B76:E76"/>
    <mergeCell ref="B77:B83"/>
    <mergeCell ref="B90:F91"/>
    <mergeCell ref="D109:F109"/>
    <mergeCell ref="D125:F125"/>
    <mergeCell ref="D114:F114"/>
    <mergeCell ref="D115:F115"/>
    <mergeCell ref="D116:F116"/>
    <mergeCell ref="D117:F117"/>
    <mergeCell ref="D118:F118"/>
    <mergeCell ref="D119:F119"/>
    <mergeCell ref="D120:F120"/>
    <mergeCell ref="D121:F121"/>
    <mergeCell ref="D122:F122"/>
    <mergeCell ref="D123:F123"/>
    <mergeCell ref="D124:F124"/>
    <mergeCell ref="D135:F135"/>
    <mergeCell ref="D136:F136"/>
    <mergeCell ref="D137:F137"/>
    <mergeCell ref="D138:F138"/>
    <mergeCell ref="D139:F139"/>
    <mergeCell ref="D140:F140"/>
    <mergeCell ref="D126:F126"/>
    <mergeCell ref="D127:F127"/>
    <mergeCell ref="B128:B175"/>
    <mergeCell ref="D128:F128"/>
    <mergeCell ref="D129:F129"/>
    <mergeCell ref="D130:F130"/>
    <mergeCell ref="D131:F131"/>
    <mergeCell ref="D132:F132"/>
    <mergeCell ref="D133:F133"/>
    <mergeCell ref="D134:F134"/>
    <mergeCell ref="B110:B127"/>
    <mergeCell ref="D110:F110"/>
    <mergeCell ref="D111:F111"/>
    <mergeCell ref="D112:F112"/>
    <mergeCell ref="D113:F113"/>
    <mergeCell ref="D175:F175"/>
    <mergeCell ref="D169:F169"/>
    <mergeCell ref="D170:F170"/>
    <mergeCell ref="D171:F171"/>
    <mergeCell ref="D172:F172"/>
    <mergeCell ref="D173:F173"/>
    <mergeCell ref="D174:F174"/>
    <mergeCell ref="D167:F167"/>
    <mergeCell ref="D141:F141"/>
    <mergeCell ref="D148:F148"/>
    <mergeCell ref="D149:F149"/>
    <mergeCell ref="D154:F154"/>
    <mergeCell ref="D155:F155"/>
    <mergeCell ref="D160:F160"/>
    <mergeCell ref="D161:F161"/>
    <mergeCell ref="D162:F162"/>
    <mergeCell ref="D164:F164"/>
    <mergeCell ref="D165:F165"/>
    <mergeCell ref="D166:F166"/>
    <mergeCell ref="A5:P5"/>
    <mergeCell ref="A1:P1"/>
    <mergeCell ref="A2:P2"/>
    <mergeCell ref="A3:P3"/>
    <mergeCell ref="A4:D4"/>
    <mergeCell ref="B10:D10"/>
    <mergeCell ref="F11:S11"/>
    <mergeCell ref="E12:R12"/>
    <mergeCell ref="E13:R13"/>
    <mergeCell ref="F10:S10"/>
  </mergeCells>
  <conditionalFormatting sqref="D60">
    <cfRule type="containsText" dxfId="124" priority="9" operator="containsText" text="ERROR">
      <formula>NOT(ISERROR(SEARCH("ERROR",D60)))</formula>
    </cfRule>
  </conditionalFormatting>
  <conditionalFormatting sqref="E12:R12">
    <cfRule type="expression" dxfId="123" priority="2">
      <formula>E11="SI SE REPORTA"</formula>
    </cfRule>
  </conditionalFormatting>
  <conditionalFormatting sqref="F10">
    <cfRule type="notContainsBlanks" dxfId="122" priority="8">
      <formula>LEN(TRIM(F10))&gt;0</formula>
    </cfRule>
  </conditionalFormatting>
  <conditionalFormatting sqref="F11:S11">
    <cfRule type="expression" dxfId="121" priority="5">
      <formula>E11="NO SE REPORTA"</formula>
    </cfRule>
    <cfRule type="expression" dxfId="120" priority="6">
      <formula>E10="NO APLICA"</formula>
    </cfRule>
  </conditionalFormatting>
  <dataValidations count="7">
    <dataValidation type="decimal" allowBlank="1" showInputMessage="1" showErrorMessage="1" errorTitle="ERROR" error="Escriba un valor entre 0% y 100%" sqref="E57:F59 G35:J39 H43:J44 H46:J46 G43:G46" xr:uid="{00000000-0002-0000-0500-000000000000}">
      <formula1>0</formula1>
      <formula2>1</formula2>
    </dataValidation>
    <dataValidation type="whole" operator="greaterThanOrEqual" allowBlank="1" showErrorMessage="1" errorTitle="ERROR" error="Escriba un número igual o mayor que 0" promptTitle="ERROR" prompt="Escriba un número igual o mayor que 0" sqref="E16:E21" xr:uid="{00000000-0002-0000-0500-000001000000}">
      <formula1>0</formula1>
    </dataValidation>
    <dataValidation type="textLength" allowBlank="1" showInputMessage="1" showErrorMessage="1" errorTitle="ERROR" error="Escriba POMCA, PMM o PMA" promptTitle="ESCRIBA" prompt="POMCA, PMA o PMM" sqref="D25:D28 D35:D39" xr:uid="{00000000-0002-0000-0500-000002000000}">
      <formula1>1</formula1>
      <formula2>5</formula2>
    </dataValidation>
    <dataValidation type="list" allowBlank="1" showInputMessage="1" showErrorMessage="1" sqref="E10" xr:uid="{00000000-0002-0000-0500-000003000000}">
      <formula1>SI</formula1>
    </dataValidation>
    <dataValidation type="list" allowBlank="1" showInputMessage="1" showErrorMessage="1" sqref="E11" xr:uid="{00000000-0002-0000-0500-000004000000}">
      <formula1>REPORTE</formula1>
    </dataValidation>
    <dataValidation type="whole" operator="greaterThanOrEqual" allowBlank="1" showInputMessage="1" showErrorMessage="1" errorTitle="ERROR" error="Valor en HECTAREAS (sin decimales)_x000a_" sqref="G25:G28" xr:uid="{00000000-0002-0000-0500-000005000000}">
      <formula1>0</formula1>
    </dataValidation>
    <dataValidation allowBlank="1" showInputMessage="1" showErrorMessage="1" promptTitle="ESTADO" prompt="Procesos formales previos_x000a_Aprestamiento_x000a_Diagnóstico_x000a_Prospectiva y Zonificación Ambiental_x000a_Formulación_x000a_Aprobado" sqref="H25:H28" xr:uid="{00000000-0002-0000-0500-000006000000}"/>
  </dataValidations>
  <hyperlinks>
    <hyperlink ref="B9" location="'ANEXO 3'!A1" display="VOLVER AL INDICE" xr:uid="{00000000-0004-0000-0500-000000000000}"/>
    <hyperlink ref="E72" r:id="rId1" xr:uid="{00000000-0004-0000-0500-000001000000}"/>
  </hyperlinks>
  <pageMargins left="0.25" right="0.25" top="0.75" bottom="0.75" header="0.3" footer="0.3"/>
  <pageSetup paperSize="178" orientation="landscape" horizontalDpi="1200" verticalDpi="1200"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tabColor rgb="FF92D050"/>
  </sheetPr>
  <dimension ref="A1:S74"/>
  <sheetViews>
    <sheetView showGridLines="0" topLeftCell="A7" zoomScale="98" zoomScaleNormal="98" workbookViewId="0">
      <selection activeCell="L17" sqref="L17"/>
    </sheetView>
  </sheetViews>
  <sheetFormatPr baseColWidth="10" defaultColWidth="11.44140625" defaultRowHeight="14.4"/>
  <cols>
    <col min="1" max="1" width="1.88671875" style="314" customWidth="1"/>
    <col min="2" max="2" width="12.88671875" style="314" customWidth="1"/>
    <col min="3" max="3" width="6.109375" style="473" bestFit="1" customWidth="1"/>
    <col min="4" max="4" width="34.88671875" style="314" customWidth="1"/>
    <col min="5" max="5" width="15.6640625" style="314" customWidth="1"/>
    <col min="6" max="8" width="11.44140625" style="314"/>
    <col min="9" max="9" width="11.44140625" style="473"/>
    <col min="10" max="16384" width="11.44140625" style="314"/>
  </cols>
  <sheetData>
    <row r="1" spans="1:19" s="312" customFormat="1" ht="100.5" customHeight="1" thickBot="1">
      <c r="A1" s="1396"/>
      <c r="B1" s="1397"/>
      <c r="C1" s="1397"/>
      <c r="D1" s="1397"/>
      <c r="E1" s="1397"/>
      <c r="F1" s="1397"/>
      <c r="G1" s="1397"/>
      <c r="H1" s="1397"/>
      <c r="I1" s="1397"/>
      <c r="J1" s="1397"/>
      <c r="K1" s="1397"/>
      <c r="L1" s="1397"/>
      <c r="M1" s="1397"/>
      <c r="N1" s="1397"/>
      <c r="O1" s="1397"/>
      <c r="P1" s="1398"/>
      <c r="Q1" s="314"/>
      <c r="R1" s="314"/>
    </row>
    <row r="2" spans="1:19" s="313" customFormat="1" ht="16.2" thickBot="1">
      <c r="A2" s="1393" t="str">
        <f>+'Datos Generales'!C5</f>
        <v>Corporación Autónoma Regional del Atlántico – CRA</v>
      </c>
      <c r="B2" s="1394"/>
      <c r="C2" s="1394"/>
      <c r="D2" s="1394"/>
      <c r="E2" s="1394"/>
      <c r="F2" s="1394"/>
      <c r="G2" s="1394"/>
      <c r="H2" s="1394"/>
      <c r="I2" s="1394"/>
      <c r="J2" s="1394"/>
      <c r="K2" s="1394"/>
      <c r="L2" s="1394"/>
      <c r="M2" s="1394"/>
      <c r="N2" s="1394"/>
      <c r="O2" s="1394"/>
      <c r="P2" s="1395"/>
      <c r="Q2" s="314"/>
      <c r="R2" s="314"/>
    </row>
    <row r="3" spans="1:19" s="313" customFormat="1" ht="16.2" thickBot="1">
      <c r="A3" s="1401" t="s">
        <v>1293</v>
      </c>
      <c r="B3" s="1402"/>
      <c r="C3" s="1402"/>
      <c r="D3" s="1402"/>
      <c r="E3" s="1402"/>
      <c r="F3" s="1402"/>
      <c r="G3" s="1402"/>
      <c r="H3" s="1402"/>
      <c r="I3" s="1402"/>
      <c r="J3" s="1402"/>
      <c r="K3" s="1402"/>
      <c r="L3" s="1402"/>
      <c r="M3" s="1402"/>
      <c r="N3" s="1402"/>
      <c r="O3" s="1402"/>
      <c r="P3" s="1403"/>
      <c r="Q3" s="314"/>
      <c r="R3" s="314"/>
    </row>
    <row r="4" spans="1:19" s="313" customFormat="1" ht="16.2" thickBot="1">
      <c r="A4" s="1399" t="s">
        <v>1292</v>
      </c>
      <c r="B4" s="1400"/>
      <c r="C4" s="1400"/>
      <c r="D4" s="1400"/>
      <c r="E4" s="320" t="str">
        <f>+'Datos Generales'!C6</f>
        <v>2023-II</v>
      </c>
      <c r="F4" s="320"/>
      <c r="G4" s="320"/>
      <c r="H4" s="320"/>
      <c r="I4" s="554"/>
      <c r="J4" s="320"/>
      <c r="K4" s="320"/>
      <c r="L4" s="321"/>
      <c r="M4" s="321"/>
      <c r="N4" s="321"/>
      <c r="O4" s="321"/>
      <c r="P4" s="322"/>
      <c r="Q4" s="314"/>
      <c r="R4" s="314"/>
    </row>
    <row r="5" spans="1:19" ht="16.5" customHeight="1" thickBot="1">
      <c r="A5" s="1401" t="s">
        <v>130</v>
      </c>
      <c r="B5" s="1402"/>
      <c r="C5" s="1402"/>
      <c r="D5" s="1402"/>
      <c r="E5" s="1402"/>
      <c r="F5" s="1402"/>
      <c r="G5" s="1402"/>
      <c r="H5" s="1402"/>
      <c r="I5" s="1402"/>
      <c r="J5" s="1402"/>
      <c r="K5" s="1402"/>
      <c r="L5" s="1402"/>
      <c r="M5" s="1402"/>
      <c r="N5" s="1402"/>
      <c r="O5" s="1402"/>
      <c r="P5" s="1403"/>
    </row>
    <row r="6" spans="1:19">
      <c r="B6" s="464" t="s">
        <v>1</v>
      </c>
      <c r="C6" s="465"/>
      <c r="E6" s="466"/>
      <c r="F6" s="314" t="s">
        <v>127</v>
      </c>
    </row>
    <row r="7" spans="1:19" ht="15" thickBot="1">
      <c r="B7" s="467"/>
      <c r="C7" s="465"/>
      <c r="E7" s="468"/>
      <c r="F7" s="314" t="s">
        <v>128</v>
      </c>
    </row>
    <row r="8" spans="1:19" ht="15" thickBot="1">
      <c r="B8" s="469" t="s">
        <v>1178</v>
      </c>
      <c r="C8" s="629">
        <v>2023</v>
      </c>
      <c r="D8" s="470">
        <f>IF(E10="NO APLICA","NO APLICA",IF(E11="NO SE REPORTA","SIN INFORMACION",+H23))</f>
        <v>1</v>
      </c>
      <c r="E8" s="471"/>
      <c r="F8" s="314" t="s">
        <v>129</v>
      </c>
    </row>
    <row r="9" spans="1:19" ht="15" thickBot="1">
      <c r="B9" s="472" t="s">
        <v>1179</v>
      </c>
      <c r="D9" s="474"/>
    </row>
    <row r="10" spans="1:19">
      <c r="B10" s="1491" t="s">
        <v>1234</v>
      </c>
      <c r="C10" s="1491"/>
      <c r="D10" s="1491"/>
      <c r="E10" s="684" t="s">
        <v>1231</v>
      </c>
      <c r="F10" s="149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93"/>
      <c r="H10" s="1493"/>
      <c r="I10" s="1493"/>
      <c r="J10" s="1493"/>
      <c r="K10" s="1493"/>
      <c r="L10" s="1493"/>
      <c r="M10" s="1493"/>
      <c r="N10" s="1493"/>
      <c r="O10" s="1493"/>
      <c r="P10" s="1493"/>
      <c r="Q10" s="1493"/>
      <c r="R10" s="1493"/>
      <c r="S10" s="1494"/>
    </row>
    <row r="11" spans="1:19" ht="14.4" customHeight="1" thickBot="1">
      <c r="B11" s="476"/>
      <c r="C11" s="477"/>
      <c r="D11" s="469" t="str">
        <f>IF(E10="SI APLICA","¿El indicador no se reporta por limitaciones de información disponible? ","")</f>
        <v xml:space="preserve">¿El indicador no se reporta por limitaciones de información disponible? </v>
      </c>
      <c r="E11" s="685" t="s">
        <v>1233</v>
      </c>
      <c r="F11" s="1495"/>
      <c r="G11" s="1496"/>
      <c r="H11" s="1496"/>
      <c r="I11" s="1496"/>
      <c r="J11" s="1496"/>
      <c r="K11" s="1496"/>
      <c r="L11" s="1496"/>
      <c r="M11" s="1496"/>
      <c r="N11" s="1496"/>
      <c r="O11" s="1496"/>
      <c r="P11" s="1496"/>
      <c r="Q11" s="1496"/>
      <c r="R11" s="1496"/>
      <c r="S11" s="1497"/>
    </row>
    <row r="12" spans="1:19" ht="31.5" customHeight="1" thickBot="1">
      <c r="B12" s="472"/>
      <c r="C12" s="477"/>
      <c r="D12" s="469" t="str">
        <f>IF(E11="SI SE REPORTA","¿Qué programas o proyectos del Plan de Acción están asociados al indicador? ","")</f>
        <v xml:space="preserve">¿Qué programas o proyectos del Plan de Acción están asociados al indicador? </v>
      </c>
      <c r="E12" s="1498" t="s">
        <v>1816</v>
      </c>
      <c r="F12" s="1499"/>
      <c r="G12" s="1499"/>
      <c r="H12" s="1499"/>
      <c r="I12" s="1499"/>
      <c r="J12" s="1499"/>
      <c r="K12" s="1499"/>
      <c r="L12" s="1499"/>
      <c r="M12" s="1499"/>
      <c r="N12" s="1499"/>
      <c r="O12" s="1499"/>
      <c r="P12" s="1499"/>
      <c r="Q12" s="1499"/>
      <c r="R12" s="1500"/>
      <c r="S12" s="482"/>
    </row>
    <row r="13" spans="1:19" ht="51.75" customHeight="1" thickBot="1">
      <c r="B13" s="472"/>
      <c r="C13" s="477"/>
      <c r="D13" s="469" t="s">
        <v>1236</v>
      </c>
      <c r="E13" s="1501" t="s">
        <v>2835</v>
      </c>
      <c r="F13" s="1502"/>
      <c r="G13" s="1502"/>
      <c r="H13" s="1502"/>
      <c r="I13" s="1502"/>
      <c r="J13" s="1502"/>
      <c r="K13" s="1502"/>
      <c r="L13" s="1502"/>
      <c r="M13" s="1502"/>
      <c r="N13" s="1502"/>
      <c r="O13" s="1502"/>
      <c r="P13" s="1502"/>
      <c r="Q13" s="1502"/>
      <c r="R13" s="1503"/>
      <c r="S13" s="686"/>
    </row>
    <row r="14" spans="1:19" ht="18" customHeight="1" thickBot="1">
      <c r="B14" s="472"/>
      <c r="D14" s="474"/>
    </row>
    <row r="15" spans="1:19" ht="15" thickBot="1">
      <c r="B15" s="1464" t="s">
        <v>2</v>
      </c>
      <c r="C15" s="479"/>
      <c r="D15" s="1470" t="s">
        <v>3</v>
      </c>
      <c r="E15" s="1471"/>
      <c r="F15" s="1471"/>
      <c r="G15" s="1471"/>
      <c r="H15" s="1471"/>
      <c r="I15" s="1471"/>
      <c r="J15" s="1472"/>
    </row>
    <row r="16" spans="1:19" ht="36.6" thickBot="1">
      <c r="B16" s="1465"/>
      <c r="C16" s="480"/>
      <c r="D16" s="481" t="s">
        <v>147</v>
      </c>
      <c r="E16" s="438">
        <v>17</v>
      </c>
      <c r="J16" s="482"/>
    </row>
    <row r="17" spans="2:10" ht="36.6" thickBot="1">
      <c r="B17" s="1465"/>
      <c r="C17" s="480"/>
      <c r="D17" s="483" t="s">
        <v>1817</v>
      </c>
      <c r="E17" s="438">
        <v>3</v>
      </c>
      <c r="J17" s="482"/>
    </row>
    <row r="18" spans="2:10" ht="48.6" thickBot="1">
      <c r="B18" s="1465"/>
      <c r="C18" s="480"/>
      <c r="D18" s="483" t="s">
        <v>148</v>
      </c>
      <c r="E18" s="438">
        <v>5</v>
      </c>
      <c r="J18" s="482"/>
    </row>
    <row r="19" spans="2:10" ht="15" thickBot="1">
      <c r="B19" s="1465"/>
      <c r="C19" s="484"/>
      <c r="D19" s="1473"/>
      <c r="E19" s="1474"/>
      <c r="F19" s="1474"/>
      <c r="G19" s="1474"/>
      <c r="H19" s="1474"/>
      <c r="I19" s="1474"/>
      <c r="J19" s="1475"/>
    </row>
    <row r="20" spans="2:10" ht="15" thickBot="1">
      <c r="B20" s="1465"/>
      <c r="C20" s="439" t="s">
        <v>18</v>
      </c>
      <c r="D20" s="481" t="s">
        <v>149</v>
      </c>
      <c r="E20" s="531" t="s">
        <v>19</v>
      </c>
      <c r="F20" s="485" t="s">
        <v>20</v>
      </c>
      <c r="G20" s="485" t="s">
        <v>21</v>
      </c>
      <c r="H20" s="485" t="s">
        <v>22</v>
      </c>
      <c r="I20" s="531" t="s">
        <v>150</v>
      </c>
      <c r="J20" s="486"/>
    </row>
    <row r="21" spans="2:10" ht="36.6" thickBot="1">
      <c r="B21" s="1465"/>
      <c r="C21" s="157" t="s">
        <v>151</v>
      </c>
      <c r="D21" s="483" t="s">
        <v>152</v>
      </c>
      <c r="E21" s="438">
        <v>3</v>
      </c>
      <c r="F21" s="438">
        <v>1</v>
      </c>
      <c r="G21" s="438">
        <v>0</v>
      </c>
      <c r="H21" s="438">
        <v>1</v>
      </c>
      <c r="I21" s="519">
        <f>SUM(E21:H21)</f>
        <v>5</v>
      </c>
      <c r="J21" s="444"/>
    </row>
    <row r="22" spans="2:10" ht="36.6" thickBot="1">
      <c r="B22" s="1465"/>
      <c r="C22" s="157" t="s">
        <v>153</v>
      </c>
      <c r="D22" s="483" t="s">
        <v>154</v>
      </c>
      <c r="E22" s="438">
        <v>0</v>
      </c>
      <c r="F22" s="438">
        <v>3</v>
      </c>
      <c r="G22" s="438">
        <v>0</v>
      </c>
      <c r="H22" s="438">
        <v>2</v>
      </c>
      <c r="I22" s="519">
        <f>SUM(E22:H22)</f>
        <v>5</v>
      </c>
      <c r="J22" s="444"/>
    </row>
    <row r="23" spans="2:10" ht="36.6" thickBot="1">
      <c r="B23" s="1466"/>
      <c r="C23" s="157" t="s">
        <v>155</v>
      </c>
      <c r="D23" s="483" t="s">
        <v>156</v>
      </c>
      <c r="E23" s="487">
        <f>IFERROR(E22/E21,"N.A.")</f>
        <v>0</v>
      </c>
      <c r="F23" s="487">
        <f>IFERROR(F22/F21,"N.A.")</f>
        <v>3</v>
      </c>
      <c r="G23" s="487" t="str">
        <f>IFERROR(G22/G21,"N.A.")</f>
        <v>N.A.</v>
      </c>
      <c r="H23" s="487">
        <f>IFERROR(IF(I22/I21&gt;=100%,100%, I22/I21),0)</f>
        <v>1</v>
      </c>
      <c r="I23" s="487">
        <f>IFERROR(I22/I21,"N.A.")</f>
        <v>1</v>
      </c>
      <c r="J23" s="456"/>
    </row>
    <row r="24" spans="2:10" ht="45" customHeight="1" thickBot="1">
      <c r="B24" s="488" t="s">
        <v>33</v>
      </c>
      <c r="C24" s="489"/>
      <c r="D24" s="1476" t="s">
        <v>157</v>
      </c>
      <c r="E24" s="1477"/>
      <c r="F24" s="1477"/>
      <c r="G24" s="1477"/>
      <c r="H24" s="1477"/>
      <c r="I24" s="1477"/>
      <c r="J24" s="1478"/>
    </row>
    <row r="25" spans="2:10" ht="47.25" customHeight="1" thickBot="1">
      <c r="B25" s="488" t="s">
        <v>35</v>
      </c>
      <c r="C25" s="489"/>
      <c r="D25" s="1476" t="s">
        <v>158</v>
      </c>
      <c r="E25" s="1477"/>
      <c r="F25" s="1477"/>
      <c r="G25" s="1477"/>
      <c r="H25" s="1477"/>
      <c r="I25" s="1477"/>
      <c r="J25" s="1478"/>
    </row>
    <row r="26" spans="2:10" ht="15" thickBot="1">
      <c r="B26" s="464"/>
      <c r="C26" s="465"/>
    </row>
    <row r="27" spans="2:10" ht="24" customHeight="1" thickBot="1">
      <c r="B27" s="1467" t="s">
        <v>37</v>
      </c>
      <c r="C27" s="1468"/>
      <c r="D27" s="1468"/>
      <c r="E27" s="1469"/>
    </row>
    <row r="28" spans="2:10" ht="15" thickBot="1">
      <c r="B28" s="1464">
        <v>1</v>
      </c>
      <c r="C28" s="480"/>
      <c r="D28" s="490" t="s">
        <v>38</v>
      </c>
      <c r="E28" s="25" t="s">
        <v>1811</v>
      </c>
    </row>
    <row r="29" spans="2:10" ht="24.6" thickBot="1">
      <c r="B29" s="1465"/>
      <c r="C29" s="480"/>
      <c r="D29" s="483" t="s">
        <v>39</v>
      </c>
      <c r="E29" s="24" t="s">
        <v>1961</v>
      </c>
    </row>
    <row r="30" spans="2:10" ht="15" thickBot="1">
      <c r="B30" s="1465"/>
      <c r="C30" s="480"/>
      <c r="D30" s="483" t="s">
        <v>40</v>
      </c>
      <c r="E30" s="24" t="s">
        <v>1818</v>
      </c>
    </row>
    <row r="31" spans="2:10" ht="24.6" thickBot="1">
      <c r="B31" s="1465"/>
      <c r="C31" s="480"/>
      <c r="D31" s="483" t="s">
        <v>41</v>
      </c>
      <c r="E31" s="24" t="s">
        <v>1960</v>
      </c>
    </row>
    <row r="32" spans="2:10" ht="29.4" thickBot="1">
      <c r="B32" s="1465"/>
      <c r="C32" s="480"/>
      <c r="D32" s="483" t="s">
        <v>42</v>
      </c>
      <c r="E32" s="504" t="s">
        <v>1813</v>
      </c>
    </row>
    <row r="33" spans="2:6" ht="15" thickBot="1">
      <c r="B33" s="1465"/>
      <c r="C33" s="480"/>
      <c r="D33" s="483" t="s">
        <v>43</v>
      </c>
      <c r="E33" s="281">
        <v>3686626</v>
      </c>
    </row>
    <row r="34" spans="2:6" ht="24.6" thickBot="1">
      <c r="B34" s="1466"/>
      <c r="C34" s="157"/>
      <c r="D34" s="483" t="s">
        <v>44</v>
      </c>
      <c r="E34" s="24" t="s">
        <v>1814</v>
      </c>
    </row>
    <row r="35" spans="2:6" ht="15" thickBot="1">
      <c r="B35" s="464"/>
      <c r="C35" s="465"/>
    </row>
    <row r="36" spans="2:6" ht="15" thickBot="1">
      <c r="B36" s="1467" t="s">
        <v>45</v>
      </c>
      <c r="C36" s="1468"/>
      <c r="D36" s="1468"/>
      <c r="E36" s="1469"/>
    </row>
    <row r="37" spans="2:6" ht="15" thickBot="1">
      <c r="B37" s="1464">
        <v>1</v>
      </c>
      <c r="C37" s="480"/>
      <c r="D37" s="490" t="s">
        <v>38</v>
      </c>
      <c r="E37" s="492" t="s">
        <v>46</v>
      </c>
    </row>
    <row r="38" spans="2:6" ht="15" thickBot="1">
      <c r="B38" s="1465"/>
      <c r="C38" s="480"/>
      <c r="D38" s="483" t="s">
        <v>39</v>
      </c>
      <c r="E38" s="492" t="s">
        <v>159</v>
      </c>
    </row>
    <row r="39" spans="2:6" ht="15" thickBot="1">
      <c r="B39" s="1465"/>
      <c r="C39" s="480"/>
      <c r="D39" s="483" t="s">
        <v>40</v>
      </c>
      <c r="E39" s="493"/>
    </row>
    <row r="40" spans="2:6" ht="15" thickBot="1">
      <c r="B40" s="1465"/>
      <c r="C40" s="480"/>
      <c r="D40" s="483" t="s">
        <v>41</v>
      </c>
      <c r="E40" s="493"/>
    </row>
    <row r="41" spans="2:6" ht="15" thickBot="1">
      <c r="B41" s="1465"/>
      <c r="C41" s="480"/>
      <c r="D41" s="483" t="s">
        <v>42</v>
      </c>
      <c r="E41" s="493"/>
    </row>
    <row r="42" spans="2:6" ht="15" thickBot="1">
      <c r="B42" s="1465"/>
      <c r="C42" s="480"/>
      <c r="D42" s="483" t="s">
        <v>43</v>
      </c>
      <c r="E42" s="493"/>
    </row>
    <row r="43" spans="2:6" ht="15" thickBot="1">
      <c r="B43" s="1466"/>
      <c r="C43" s="157"/>
      <c r="D43" s="483" t="s">
        <v>44</v>
      </c>
      <c r="E43" s="493"/>
    </row>
    <row r="44" spans="2:6" ht="15" thickBot="1">
      <c r="B44" s="464"/>
      <c r="C44" s="465"/>
    </row>
    <row r="45" spans="2:6" ht="15" customHeight="1" thickBot="1">
      <c r="B45" s="494" t="s">
        <v>48</v>
      </c>
      <c r="C45" s="495"/>
      <c r="D45" s="495"/>
      <c r="E45" s="495"/>
      <c r="F45" s="496"/>
    </row>
    <row r="46" spans="2:6" ht="15" thickBot="1">
      <c r="B46" s="488" t="s">
        <v>49</v>
      </c>
      <c r="C46" s="497" t="s">
        <v>50</v>
      </c>
      <c r="D46" s="497" t="s">
        <v>51</v>
      </c>
      <c r="E46" s="497" t="s">
        <v>52</v>
      </c>
    </row>
    <row r="47" spans="2:6" ht="72.599999999999994" thickBot="1">
      <c r="B47" s="498">
        <v>42401</v>
      </c>
      <c r="C47" s="497">
        <v>0.01</v>
      </c>
      <c r="D47" s="499" t="s">
        <v>160</v>
      </c>
      <c r="E47" s="497"/>
    </row>
    <row r="48" spans="2:6" ht="15" thickBot="1">
      <c r="B48" s="464"/>
      <c r="C48" s="465"/>
    </row>
    <row r="49" spans="2:10">
      <c r="B49" s="500" t="s">
        <v>54</v>
      </c>
      <c r="C49" s="501"/>
    </row>
    <row r="51" spans="2:10" ht="15" thickBot="1"/>
    <row r="52" spans="2:10" ht="15" thickBot="1">
      <c r="B52" s="1467" t="s">
        <v>55</v>
      </c>
      <c r="C52" s="1468"/>
      <c r="D52" s="1469"/>
    </row>
    <row r="53" spans="2:10" ht="15" thickBot="1">
      <c r="B53" s="464"/>
      <c r="C53" s="465"/>
    </row>
    <row r="54" spans="2:10" ht="24" customHeight="1" thickBot="1">
      <c r="B54" s="502" t="s">
        <v>56</v>
      </c>
      <c r="C54" s="503"/>
      <c r="D54" s="1476" t="s">
        <v>131</v>
      </c>
      <c r="E54" s="1477"/>
      <c r="F54" s="1477"/>
      <c r="G54" s="1477"/>
      <c r="H54" s="1477"/>
      <c r="I54" s="1477"/>
      <c r="J54" s="1478"/>
    </row>
    <row r="55" spans="2:10">
      <c r="B55" s="1464" t="s">
        <v>58</v>
      </c>
      <c r="C55" s="479"/>
      <c r="D55" s="1485" t="s">
        <v>59</v>
      </c>
      <c r="E55" s="1486"/>
      <c r="F55" s="1486"/>
      <c r="G55" s="1486"/>
      <c r="H55" s="1486"/>
      <c r="I55" s="1486"/>
      <c r="J55" s="1487"/>
    </row>
    <row r="56" spans="2:10" ht="24" customHeight="1">
      <c r="B56" s="1465"/>
      <c r="C56" s="484"/>
      <c r="D56" s="1482" t="s">
        <v>132</v>
      </c>
      <c r="E56" s="1483"/>
      <c r="F56" s="1483"/>
      <c r="G56" s="1483"/>
      <c r="H56" s="1483"/>
      <c r="I56" s="1483"/>
      <c r="J56" s="1484"/>
    </row>
    <row r="57" spans="2:10">
      <c r="B57" s="1465"/>
      <c r="C57" s="484"/>
      <c r="D57" s="1488" t="s">
        <v>133</v>
      </c>
      <c r="E57" s="1489"/>
      <c r="F57" s="1489"/>
      <c r="G57" s="1489"/>
      <c r="H57" s="1489"/>
      <c r="I57" s="1489"/>
      <c r="J57" s="1490"/>
    </row>
    <row r="58" spans="2:10">
      <c r="B58" s="1465"/>
      <c r="C58" s="484"/>
      <c r="D58" s="1482" t="s">
        <v>134</v>
      </c>
      <c r="E58" s="1483"/>
      <c r="F58" s="1483"/>
      <c r="G58" s="1483"/>
      <c r="H58" s="1483"/>
      <c r="I58" s="1483"/>
      <c r="J58" s="1484"/>
    </row>
    <row r="59" spans="2:10">
      <c r="B59" s="1465"/>
      <c r="C59" s="484"/>
      <c r="D59" s="1482" t="s">
        <v>135</v>
      </c>
      <c r="E59" s="1483"/>
      <c r="F59" s="1483"/>
      <c r="G59" s="1483"/>
      <c r="H59" s="1483"/>
      <c r="I59" s="1483"/>
      <c r="J59" s="1484"/>
    </row>
    <row r="60" spans="2:10">
      <c r="B60" s="1465"/>
      <c r="C60" s="484"/>
      <c r="D60" s="1482" t="s">
        <v>136</v>
      </c>
      <c r="E60" s="1483"/>
      <c r="F60" s="1483"/>
      <c r="G60" s="1483"/>
      <c r="H60" s="1483"/>
      <c r="I60" s="1483"/>
      <c r="J60" s="1484"/>
    </row>
    <row r="61" spans="2:10" ht="24" customHeight="1">
      <c r="B61" s="1465"/>
      <c r="C61" s="484"/>
      <c r="D61" s="1482" t="s">
        <v>137</v>
      </c>
      <c r="E61" s="1483"/>
      <c r="F61" s="1483"/>
      <c r="G61" s="1483"/>
      <c r="H61" s="1483"/>
      <c r="I61" s="1483"/>
      <c r="J61" s="1484"/>
    </row>
    <row r="62" spans="2:10" ht="24" customHeight="1">
      <c r="B62" s="1465"/>
      <c r="C62" s="484"/>
      <c r="D62" s="1482" t="s">
        <v>138</v>
      </c>
      <c r="E62" s="1483"/>
      <c r="F62" s="1483"/>
      <c r="G62" s="1483"/>
      <c r="H62" s="1483"/>
      <c r="I62" s="1483"/>
      <c r="J62" s="1484"/>
    </row>
    <row r="63" spans="2:10">
      <c r="B63" s="1465"/>
      <c r="C63" s="484"/>
      <c r="D63" s="1482" t="s">
        <v>139</v>
      </c>
      <c r="E63" s="1483"/>
      <c r="F63" s="1483"/>
      <c r="G63" s="1483"/>
      <c r="H63" s="1483"/>
      <c r="I63" s="1483"/>
      <c r="J63" s="1484"/>
    </row>
    <row r="64" spans="2:10">
      <c r="B64" s="1465"/>
      <c r="C64" s="484"/>
      <c r="D64" s="1488" t="s">
        <v>140</v>
      </c>
      <c r="E64" s="1489"/>
      <c r="F64" s="1489"/>
      <c r="G64" s="1489"/>
      <c r="H64" s="1489"/>
      <c r="I64" s="1489"/>
      <c r="J64" s="1490"/>
    </row>
    <row r="65" spans="2:10" ht="15" thickBot="1">
      <c r="B65" s="1466"/>
      <c r="C65" s="489"/>
      <c r="D65" s="1473" t="s">
        <v>141</v>
      </c>
      <c r="E65" s="1474"/>
      <c r="F65" s="1474"/>
      <c r="G65" s="1474"/>
      <c r="H65" s="1474"/>
      <c r="I65" s="1474"/>
      <c r="J65" s="1475"/>
    </row>
    <row r="66" spans="2:10" ht="24.6" thickBot="1">
      <c r="B66" s="488" t="s">
        <v>71</v>
      </c>
      <c r="C66" s="489"/>
      <c r="D66" s="1476"/>
      <c r="E66" s="1477"/>
      <c r="F66" s="1477"/>
      <c r="G66" s="1477"/>
      <c r="H66" s="1477"/>
      <c r="I66" s="1477"/>
      <c r="J66" s="1478"/>
    </row>
    <row r="67" spans="2:10" ht="15" thickBot="1">
      <c r="B67" s="488" t="s">
        <v>72</v>
      </c>
      <c r="C67" s="489"/>
      <c r="D67" s="1476" t="s">
        <v>142</v>
      </c>
      <c r="E67" s="1477"/>
      <c r="F67" s="1477"/>
      <c r="G67" s="1477"/>
      <c r="H67" s="1477"/>
      <c r="I67" s="1477"/>
      <c r="J67" s="1478"/>
    </row>
    <row r="68" spans="2:10">
      <c r="B68" s="1464" t="s">
        <v>89</v>
      </c>
      <c r="C68" s="479"/>
      <c r="D68" s="1470"/>
      <c r="E68" s="1471"/>
      <c r="F68" s="1471"/>
      <c r="G68" s="1471"/>
      <c r="H68" s="1471"/>
      <c r="I68" s="1471"/>
      <c r="J68" s="1472"/>
    </row>
    <row r="69" spans="2:10">
      <c r="B69" s="1465"/>
      <c r="C69" s="484"/>
      <c r="D69" s="1479"/>
      <c r="E69" s="1480"/>
      <c r="F69" s="1480"/>
      <c r="G69" s="1480"/>
      <c r="H69" s="1480"/>
      <c r="I69" s="1480"/>
      <c r="J69" s="1481"/>
    </row>
    <row r="70" spans="2:10">
      <c r="B70" s="1465"/>
      <c r="C70" s="484"/>
      <c r="D70" s="1482" t="s">
        <v>90</v>
      </c>
      <c r="E70" s="1483"/>
      <c r="F70" s="1483"/>
      <c r="G70" s="1483"/>
      <c r="H70" s="1483"/>
      <c r="I70" s="1483"/>
      <c r="J70" s="1484"/>
    </row>
    <row r="71" spans="2:10" ht="26.4" customHeight="1">
      <c r="B71" s="1465"/>
      <c r="C71" s="484"/>
      <c r="D71" s="1482" t="s">
        <v>143</v>
      </c>
      <c r="E71" s="1483"/>
      <c r="F71" s="1483"/>
      <c r="G71" s="1483"/>
      <c r="H71" s="1483"/>
      <c r="I71" s="1483"/>
      <c r="J71" s="1484"/>
    </row>
    <row r="72" spans="2:10" ht="14.4" customHeight="1">
      <c r="B72" s="1465"/>
      <c r="C72" s="484"/>
      <c r="D72" s="1482" t="s">
        <v>144</v>
      </c>
      <c r="E72" s="1483"/>
      <c r="F72" s="1483"/>
      <c r="G72" s="1483"/>
      <c r="H72" s="1483"/>
      <c r="I72" s="1483"/>
      <c r="J72" s="1484"/>
    </row>
    <row r="73" spans="2:10" ht="14.4" customHeight="1">
      <c r="B73" s="1465"/>
      <c r="C73" s="484"/>
      <c r="D73" s="1482" t="s">
        <v>145</v>
      </c>
      <c r="E73" s="1483"/>
      <c r="F73" s="1483"/>
      <c r="G73" s="1483"/>
      <c r="H73" s="1483"/>
      <c r="I73" s="1483"/>
      <c r="J73" s="1484"/>
    </row>
    <row r="74" spans="2:10" ht="24" customHeight="1" thickBot="1">
      <c r="B74" s="1466"/>
      <c r="C74" s="489"/>
      <c r="D74" s="1473" t="s">
        <v>146</v>
      </c>
      <c r="E74" s="1474"/>
      <c r="F74" s="1474"/>
      <c r="G74" s="1474"/>
      <c r="H74" s="1474"/>
      <c r="I74" s="1474"/>
      <c r="J74" s="1475"/>
    </row>
  </sheetData>
  <mergeCells count="43">
    <mergeCell ref="B10:D10"/>
    <mergeCell ref="F10:S10"/>
    <mergeCell ref="F11:S11"/>
    <mergeCell ref="E12:R12"/>
    <mergeCell ref="E13:R13"/>
    <mergeCell ref="B52:D52"/>
    <mergeCell ref="D54:J54"/>
    <mergeCell ref="B55:B65"/>
    <mergeCell ref="D55:J55"/>
    <mergeCell ref="D56:J56"/>
    <mergeCell ref="D57:J57"/>
    <mergeCell ref="D58:J58"/>
    <mergeCell ref="D59:J59"/>
    <mergeCell ref="D60:J60"/>
    <mergeCell ref="D61:J61"/>
    <mergeCell ref="D62:J62"/>
    <mergeCell ref="D63:J63"/>
    <mergeCell ref="D64:J64"/>
    <mergeCell ref="D65:J65"/>
    <mergeCell ref="D66:J66"/>
    <mergeCell ref="B68:B74"/>
    <mergeCell ref="D68:J68"/>
    <mergeCell ref="D69:J69"/>
    <mergeCell ref="D70:J70"/>
    <mergeCell ref="D71:J71"/>
    <mergeCell ref="D72:J72"/>
    <mergeCell ref="D73:J73"/>
    <mergeCell ref="D74:J74"/>
    <mergeCell ref="D67:J67"/>
    <mergeCell ref="B28:B34"/>
    <mergeCell ref="B36:E36"/>
    <mergeCell ref="B37:B43"/>
    <mergeCell ref="B15:B23"/>
    <mergeCell ref="D15:J15"/>
    <mergeCell ref="D19:J19"/>
    <mergeCell ref="D24:J24"/>
    <mergeCell ref="D25:J25"/>
    <mergeCell ref="B27:E27"/>
    <mergeCell ref="A1:P1"/>
    <mergeCell ref="A2:P2"/>
    <mergeCell ref="A3:P3"/>
    <mergeCell ref="A4:D4"/>
    <mergeCell ref="A5:P5"/>
  </mergeCells>
  <conditionalFormatting sqref="E12:R12">
    <cfRule type="expression" dxfId="119" priority="1">
      <formula>E11="SI SE REPORTA"</formula>
    </cfRule>
  </conditionalFormatting>
  <conditionalFormatting sqref="F10">
    <cfRule type="notContainsBlanks" dxfId="118" priority="5">
      <formula>LEN(TRIM(F10))&gt;0</formula>
    </cfRule>
  </conditionalFormatting>
  <conditionalFormatting sqref="F11:S11">
    <cfRule type="expression" dxfId="117" priority="3">
      <formula>E11="NO SE REPORTA"</formula>
    </cfRule>
    <cfRule type="expression" dxfId="116"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xr:uid="{00000000-0002-0000-0600-000000000000}">
      <formula1>0</formula1>
    </dataValidation>
    <dataValidation allowBlank="1" showInputMessage="1" showErrorMessage="1" sqref="I21:I22" xr:uid="{00000000-0002-0000-0600-000001000000}"/>
    <dataValidation type="list" allowBlank="1" showInputMessage="1" showErrorMessage="1" sqref="E11" xr:uid="{00000000-0002-0000-0600-000002000000}">
      <formula1>REPORTE</formula1>
    </dataValidation>
    <dataValidation type="list" allowBlank="1" showInputMessage="1" showErrorMessage="1" sqref="E10" xr:uid="{00000000-0002-0000-0600-000003000000}">
      <formula1>SI</formula1>
    </dataValidation>
  </dataValidations>
  <hyperlinks>
    <hyperlink ref="B9" location="'ANEXO 3'!A1" display="VOLVER AL INDICE" xr:uid="{00000000-0004-0000-0600-000000000000}"/>
    <hyperlink ref="E32" r:id="rId1" xr:uid="{00000000-0004-0000-0600-000001000000}"/>
  </hyperlinks>
  <pageMargins left="0.25" right="0.25" top="0.75" bottom="0.75" header="0.3" footer="0.3"/>
  <pageSetup paperSize="178" orientation="landscape" horizontalDpi="1200" verticalDpi="1200"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7</vt:i4>
      </vt:variant>
    </vt:vector>
  </HeadingPairs>
  <TitlesOfParts>
    <vt:vector size="43" baseType="lpstr">
      <vt:lpstr>Hoja1</vt:lpstr>
      <vt:lpstr>Informe Ingresos</vt:lpstr>
      <vt:lpstr>PROTOCOLO INGRESOS</vt:lpstr>
      <vt:lpstr>Datos Generales</vt:lpstr>
      <vt:lpstr>Anexo 1 Matriz Inf Gestión</vt:lpstr>
      <vt:lpstr>Protocolo Inf Gestión</vt:lpstr>
      <vt:lpstr>Anexo 3 Matriz IMG</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'9RUNAP'!_Toc467769476</vt:lpstr>
      <vt:lpstr>'Anexo 1 Matriz Inf Gestión'!Área_de_impresión</vt:lpstr>
      <vt:lpstr>'Protocolo Inf Gestión'!Área_de_impresión</vt:lpstr>
      <vt:lpstr>'Datos Generales'!Lista_CAR</vt:lpstr>
      <vt:lpstr>REPORTE</vt:lpstr>
      <vt:lpstr>SI</vt:lpstr>
      <vt:lpstr>'Datos Generales'!Vigencias</vt:lpstr>
    </vt:vector>
  </TitlesOfParts>
  <Manager>nortiz@claro.net.co</Manager>
  <Company>Derechos protegidos de autor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Usuario</dc:creator>
  <cp:keywords>Documento No Oficial</cp:keywords>
  <dc:description>Matriz elaborada por Néstor Ortiz Pérez, Consultor GIZ-MADS en el marco de PROMAC</dc:description>
  <cp:lastModifiedBy>Rafael Moreno</cp:lastModifiedBy>
  <cp:lastPrinted>2016-11-27T02:57:50Z</cp:lastPrinted>
  <dcterms:created xsi:type="dcterms:W3CDTF">2016-11-26T19:57:08Z</dcterms:created>
  <dcterms:modified xsi:type="dcterms:W3CDTF">2024-05-16T16:04:08Z</dcterms:modified>
  <cp:category>Capacitación</cp:category>
  <cp:contentStatus>Preliminar</cp:contentStatus>
</cp:coreProperties>
</file>