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autonomagovco-my.sharepoint.com/personal/rmoreno_crautonoma_gov_co/Documents/PAI 2024-2027 C.R.A/PAI 2024-2027 Y ANEXOS AL MADS/"/>
    </mc:Choice>
  </mc:AlternateContent>
  <xr:revisionPtr revIDLastSave="1" documentId="8_{4C3D28C8-B53B-4C80-A333-AF855067B0B5}" xr6:coauthVersionLast="47" xr6:coauthVersionMax="47" xr10:uidLastSave="{A25C66E1-0EF5-41CC-BCBB-10E5D101586C}"/>
  <bookViews>
    <workbookView xWindow="-108" yWindow="-108" windowWidth="23256" windowHeight="12576" firstSheet="16" activeTab="19" xr2:uid="{A94F2E02-AFFA-4BD4-AC45-934E867A70FD}"/>
  </bookViews>
  <sheets>
    <sheet name="INGRESOS REDISEÑO " sheetId="1" state="hidden" r:id="rId1"/>
    <sheet name="INGRESOS 2024" sheetId="2" state="hidden" r:id="rId2"/>
    <sheet name="REAJUSTE DE INGRESOS 2024" sheetId="13" state="hidden" r:id="rId3"/>
    <sheet name="REAJUSTE DE INGRESOS 2024 (2)" sheetId="15" state="hidden" r:id="rId4"/>
    <sheet name="INGRESOS 2024 (3)" sheetId="14" state="hidden" r:id="rId5"/>
    <sheet name="COMPARATIVO 1" sheetId="11" state="hidden" r:id="rId6"/>
    <sheet name="Proyeccion Ingresos 2024-2027" sheetId="16" r:id="rId7"/>
    <sheet name="DESTINACIONES ACUMULADAS" sheetId="17" r:id="rId8"/>
    <sheet name="DESTINACIONES 2024 " sheetId="18" r:id="rId9"/>
    <sheet name="DESTINACIONES 2025" sheetId="19" r:id="rId10"/>
    <sheet name="DESTINACIONES 2026" sheetId="20" r:id="rId11"/>
    <sheet name="DESTINACIONES 2027" sheetId="21" r:id="rId12"/>
    <sheet name="COMPARATIVO 2" sheetId="12" state="hidden" r:id="rId13"/>
    <sheet name="RESUMEN PRESUPUESTAL " sheetId="9" state="hidden" r:id="rId14"/>
    <sheet name="DESTINACIONES " sheetId="3" state="hidden" r:id="rId15"/>
    <sheet name="PLAN DE INVERSIONES " sheetId="4" state="hidden" r:id="rId16"/>
    <sheet name="GASTOS DE FTO 2024 - 2027 " sheetId="5" r:id="rId17"/>
    <sheet name="GOIS " sheetId="7" state="hidden" r:id="rId18"/>
    <sheet name="RESUMEN GASTOS TOTAL 2024-2027" sheetId="6" r:id="rId19"/>
    <sheet name="AJUSTE PRESUPUESTO" sheetId="22" r:id="rId20"/>
    <sheet name="COMPARATIVO 2022 - 2023" sheetId="8" state="hidden" r:id="rId21"/>
  </sheets>
  <externalReferences>
    <externalReference r:id="rId22"/>
    <externalReference r:id="rId23"/>
    <externalReference r:id="rId2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4" i="18" l="1"/>
  <c r="D71" i="22"/>
  <c r="D45" i="22"/>
  <c r="D20" i="22"/>
  <c r="D62" i="22"/>
  <c r="C62" i="22"/>
  <c r="C66" i="22"/>
  <c r="C65" i="22" s="1"/>
  <c r="C64" i="22" s="1"/>
  <c r="C69" i="22"/>
  <c r="C60" i="22"/>
  <c r="C57" i="22"/>
  <c r="C54" i="22"/>
  <c r="C53" i="22" s="1"/>
  <c r="C52" i="22" s="1"/>
  <c r="C48" i="22"/>
  <c r="C47" i="22" s="1"/>
  <c r="C46" i="22" s="1"/>
  <c r="C43" i="22"/>
  <c r="C40" i="22"/>
  <c r="C37" i="22"/>
  <c r="C34" i="22"/>
  <c r="C31" i="22"/>
  <c r="C28" i="22"/>
  <c r="C26" i="22"/>
  <c r="C22" i="22"/>
  <c r="C21" i="22" s="1"/>
  <c r="C18" i="22"/>
  <c r="C15" i="22"/>
  <c r="C7" i="22"/>
  <c r="C6" i="22" s="1"/>
  <c r="C5" i="22" s="1"/>
  <c r="B62" i="22"/>
  <c r="B44" i="22"/>
  <c r="D44" i="22" s="1"/>
  <c r="D43" i="22" s="1"/>
  <c r="E43" i="22" s="1"/>
  <c r="B43" i="22"/>
  <c r="B20" i="22"/>
  <c r="B8" i="22"/>
  <c r="E56" i="16"/>
  <c r="E55" i="16"/>
  <c r="D56" i="16"/>
  <c r="D55" i="16"/>
  <c r="C56" i="16"/>
  <c r="C55" i="16"/>
  <c r="N53" i="17"/>
  <c r="N50" i="17"/>
  <c r="N49" i="17"/>
  <c r="N36" i="17"/>
  <c r="N6" i="17"/>
  <c r="I12" i="17"/>
  <c r="H5" i="21"/>
  <c r="H21" i="21"/>
  <c r="H61" i="21"/>
  <c r="G5" i="19"/>
  <c r="H5" i="19"/>
  <c r="K5" i="19"/>
  <c r="N5" i="19"/>
  <c r="I10" i="19"/>
  <c r="I9" i="19" s="1"/>
  <c r="I4" i="19" s="1"/>
  <c r="I3" i="19" s="1"/>
  <c r="K10" i="19"/>
  <c r="I11" i="19"/>
  <c r="N11" i="19"/>
  <c r="N10" i="19" s="1"/>
  <c r="N9" i="19" s="1"/>
  <c r="N4" i="19" s="1"/>
  <c r="H21" i="19"/>
  <c r="H4" i="19" s="1"/>
  <c r="I21" i="19"/>
  <c r="J21" i="19"/>
  <c r="N21" i="19"/>
  <c r="O21" i="19"/>
  <c r="P21" i="19"/>
  <c r="G22" i="19"/>
  <c r="G21" i="19" s="1"/>
  <c r="K22" i="19"/>
  <c r="K24" i="19"/>
  <c r="K27" i="19"/>
  <c r="K30" i="19"/>
  <c r="N42" i="19"/>
  <c r="N47" i="19"/>
  <c r="N46" i="19" s="1"/>
  <c r="G48" i="19"/>
  <c r="G49" i="19"/>
  <c r="O51" i="19"/>
  <c r="P51" i="19"/>
  <c r="N52" i="19"/>
  <c r="N51" i="19" s="1"/>
  <c r="L54" i="19"/>
  <c r="G56" i="19"/>
  <c r="L56" i="19"/>
  <c r="N56" i="19"/>
  <c r="Q57" i="19"/>
  <c r="L58" i="19"/>
  <c r="Q60" i="19"/>
  <c r="H61" i="19"/>
  <c r="I61" i="19"/>
  <c r="B3" i="6"/>
  <c r="AA24" i="5"/>
  <c r="Z55" i="5"/>
  <c r="Z54" i="5"/>
  <c r="Z52" i="5"/>
  <c r="Z51" i="5" s="1"/>
  <c r="Z49" i="5"/>
  <c r="Z43" i="5"/>
  <c r="Z42" i="5" s="1"/>
  <c r="Z41" i="5" s="1"/>
  <c r="Z36" i="5"/>
  <c r="Z33" i="5"/>
  <c r="Z32" i="5" s="1"/>
  <c r="Z30" i="5"/>
  <c r="Z29" i="5" s="1"/>
  <c r="Y53" i="5"/>
  <c r="AA53" i="5" s="1"/>
  <c r="AA52" i="5" s="1"/>
  <c r="AA51" i="5" s="1"/>
  <c r="Y31" i="5"/>
  <c r="AA31" i="5" s="1"/>
  <c r="AA30" i="5" s="1"/>
  <c r="AA29" i="5" s="1"/>
  <c r="Y24" i="5"/>
  <c r="X53" i="5"/>
  <c r="X52" i="5" s="1"/>
  <c r="X51" i="5" s="1"/>
  <c r="X56" i="5"/>
  <c r="X55" i="5" s="1"/>
  <c r="X54" i="5" s="1"/>
  <c r="X47" i="5"/>
  <c r="X46" i="5" s="1"/>
  <c r="X37" i="5"/>
  <c r="X31" i="5"/>
  <c r="X30" i="5" s="1"/>
  <c r="X29" i="5" s="1"/>
  <c r="W56" i="5"/>
  <c r="W55" i="5" s="1"/>
  <c r="W54" i="5" s="1"/>
  <c r="W53" i="5"/>
  <c r="W52" i="5" s="1"/>
  <c r="W51" i="5" s="1"/>
  <c r="W50" i="5"/>
  <c r="W49" i="5" s="1"/>
  <c r="W47" i="5"/>
  <c r="W46" i="5" s="1"/>
  <c r="W39" i="5"/>
  <c r="X39" i="5" s="1"/>
  <c r="W38" i="5"/>
  <c r="X38" i="5" s="1"/>
  <c r="W37" i="5"/>
  <c r="W31" i="5"/>
  <c r="W30" i="5" s="1"/>
  <c r="W29" i="5" s="1"/>
  <c r="W26" i="5"/>
  <c r="X26" i="5" s="1"/>
  <c r="W18" i="5"/>
  <c r="X18" i="5" s="1"/>
  <c r="V56" i="5"/>
  <c r="V55" i="5" s="1"/>
  <c r="V54" i="5" s="1"/>
  <c r="V53" i="5"/>
  <c r="V50" i="5"/>
  <c r="V49" i="5" s="1"/>
  <c r="V47" i="5"/>
  <c r="Y47" i="5" s="1"/>
  <c r="AA47" i="5" s="1"/>
  <c r="AA46" i="5" s="1"/>
  <c r="V45" i="5"/>
  <c r="Y45" i="5" s="1"/>
  <c r="AA45" i="5" s="1"/>
  <c r="V40" i="5"/>
  <c r="V39" i="5"/>
  <c r="V38" i="5"/>
  <c r="Y38" i="5" s="1"/>
  <c r="AA38" i="5" s="1"/>
  <c r="V37" i="5"/>
  <c r="Y37" i="5" s="1"/>
  <c r="AA37" i="5" s="1"/>
  <c r="V35" i="5"/>
  <c r="V34" i="5"/>
  <c r="W34" i="5" s="1"/>
  <c r="V31" i="5"/>
  <c r="V27" i="5"/>
  <c r="W27" i="5" s="1"/>
  <c r="X27" i="5" s="1"/>
  <c r="V26" i="5"/>
  <c r="V25" i="5"/>
  <c r="V24" i="5"/>
  <c r="W24" i="5" s="1"/>
  <c r="X24" i="5" s="1"/>
  <c r="V23" i="5"/>
  <c r="V21" i="5"/>
  <c r="V20" i="5"/>
  <c r="V19" i="5"/>
  <c r="V18" i="5"/>
  <c r="V17" i="5"/>
  <c r="W17" i="5" s="1"/>
  <c r="X17" i="5" s="1"/>
  <c r="V16" i="5"/>
  <c r="V15" i="5"/>
  <c r="W15" i="5" s="1"/>
  <c r="V13" i="5"/>
  <c r="W13" i="5" s="1"/>
  <c r="V12" i="5"/>
  <c r="W12" i="5" s="1"/>
  <c r="X12" i="5" s="1"/>
  <c r="V11" i="5"/>
  <c r="W11" i="5" s="1"/>
  <c r="X11" i="5" s="1"/>
  <c r="V10" i="5"/>
  <c r="W10" i="5" s="1"/>
  <c r="V9" i="5"/>
  <c r="V8" i="5"/>
  <c r="W8" i="5" s="1"/>
  <c r="V7" i="5"/>
  <c r="W7" i="5" s="1"/>
  <c r="X7" i="5" s="1"/>
  <c r="V52" i="5"/>
  <c r="V51" i="5" s="1"/>
  <c r="V46" i="5"/>
  <c r="V30" i="5"/>
  <c r="V29" i="5" s="1"/>
  <c r="U26" i="5"/>
  <c r="U22" i="5" s="1"/>
  <c r="U17" i="5"/>
  <c r="U16" i="5"/>
  <c r="U15" i="5"/>
  <c r="U6" i="5"/>
  <c r="V6" i="5" s="1"/>
  <c r="W6" i="5" s="1"/>
  <c r="X6" i="5" s="1"/>
  <c r="U36" i="5"/>
  <c r="T26" i="5"/>
  <c r="T17" i="5"/>
  <c r="T16" i="5"/>
  <c r="T15" i="5"/>
  <c r="T6" i="5"/>
  <c r="P21" i="18"/>
  <c r="O21" i="18"/>
  <c r="N21" i="18"/>
  <c r="P21" i="17"/>
  <c r="O21" i="17"/>
  <c r="I21" i="17"/>
  <c r="H21" i="17"/>
  <c r="P39" i="17"/>
  <c r="O39" i="17"/>
  <c r="N39" i="17"/>
  <c r="K39" i="17"/>
  <c r="I39" i="17"/>
  <c r="H39" i="17"/>
  <c r="G39" i="17"/>
  <c r="C39" i="17"/>
  <c r="N6" i="21"/>
  <c r="N30" i="20"/>
  <c r="N6" i="20"/>
  <c r="N12" i="20"/>
  <c r="N12" i="21" s="1"/>
  <c r="N15" i="20"/>
  <c r="N18" i="20"/>
  <c r="N33" i="20"/>
  <c r="N33" i="21" s="1"/>
  <c r="N36" i="20"/>
  <c r="N36" i="21" s="1"/>
  <c r="N48" i="20"/>
  <c r="C43" i="16"/>
  <c r="N48" i="18"/>
  <c r="H47" i="16"/>
  <c r="I47" i="16"/>
  <c r="J47" i="16"/>
  <c r="K47" i="16"/>
  <c r="X15" i="5" l="1"/>
  <c r="Y39" i="5"/>
  <c r="AA39" i="5" s="1"/>
  <c r="Y20" i="5"/>
  <c r="AA20" i="5" s="1"/>
  <c r="Y21" i="5"/>
  <c r="AA21" i="5" s="1"/>
  <c r="N15" i="17"/>
  <c r="Y25" i="5"/>
  <c r="AA25" i="5" s="1"/>
  <c r="N18" i="17"/>
  <c r="Y8" i="5"/>
  <c r="AA8" i="5" s="1"/>
  <c r="X8" i="5"/>
  <c r="X10" i="5"/>
  <c r="Y10" i="5" s="1"/>
  <c r="AA10" i="5" s="1"/>
  <c r="X34" i="5"/>
  <c r="Y34" i="5"/>
  <c r="AA34" i="5" s="1"/>
  <c r="W33" i="5"/>
  <c r="W32" i="5" s="1"/>
  <c r="Y35" i="5"/>
  <c r="AA35" i="5" s="1"/>
  <c r="X13" i="5"/>
  <c r="Y13" i="5" s="1"/>
  <c r="AA13" i="5" s="1"/>
  <c r="V36" i="5"/>
  <c r="Y15" i="5"/>
  <c r="W9" i="5"/>
  <c r="X9" i="5" s="1"/>
  <c r="Y26" i="5"/>
  <c r="Y11" i="5"/>
  <c r="AA11" i="5" s="1"/>
  <c r="Y27" i="5"/>
  <c r="AA27" i="5" s="1"/>
  <c r="V14" i="5"/>
  <c r="Y18" i="5"/>
  <c r="AA18" i="5" s="1"/>
  <c r="W35" i="5"/>
  <c r="X35" i="5" s="1"/>
  <c r="Y12" i="5"/>
  <c r="AA12" i="5" s="1"/>
  <c r="N12" i="17"/>
  <c r="W16" i="5"/>
  <c r="X16" i="5" s="1"/>
  <c r="X14" i="5" s="1"/>
  <c r="W40" i="5"/>
  <c r="X40" i="5" s="1"/>
  <c r="X36" i="5" s="1"/>
  <c r="X50" i="5"/>
  <c r="V33" i="5"/>
  <c r="V32" i="5" s="1"/>
  <c r="W20" i="5"/>
  <c r="X20" i="5" s="1"/>
  <c r="W21" i="5"/>
  <c r="X21" i="5" s="1"/>
  <c r="Z28" i="5"/>
  <c r="N33" i="17"/>
  <c r="Y56" i="5"/>
  <c r="AA56" i="5" s="1"/>
  <c r="AA55" i="5" s="1"/>
  <c r="AA54" i="5" s="1"/>
  <c r="H4" i="21"/>
  <c r="V22" i="5"/>
  <c r="W23" i="5"/>
  <c r="Y6" i="5"/>
  <c r="W25" i="5"/>
  <c r="X25" i="5" s="1"/>
  <c r="Y7" i="5"/>
  <c r="AA7" i="5" s="1"/>
  <c r="D8" i="22"/>
  <c r="Y17" i="5"/>
  <c r="W19" i="5"/>
  <c r="X19" i="5" s="1"/>
  <c r="C25" i="22"/>
  <c r="C14" i="22"/>
  <c r="C13" i="22" s="1"/>
  <c r="C12" i="22" s="1"/>
  <c r="C11" i="22" s="1"/>
  <c r="C51" i="22"/>
  <c r="C59" i="22"/>
  <c r="N3" i="19"/>
  <c r="N61" i="19" s="1"/>
  <c r="L51" i="19"/>
  <c r="G47" i="19"/>
  <c r="N15" i="21"/>
  <c r="N18" i="21"/>
  <c r="N30" i="21"/>
  <c r="N21" i="21" s="1"/>
  <c r="N48" i="21"/>
  <c r="Z48" i="5"/>
  <c r="V28" i="5"/>
  <c r="V5" i="5"/>
  <c r="V4" i="5" s="1"/>
  <c r="V3" i="5" s="1"/>
  <c r="V48" i="5"/>
  <c r="W48" i="5"/>
  <c r="G48" i="18"/>
  <c r="N11" i="18"/>
  <c r="N10" i="18" s="1"/>
  <c r="N5" i="18"/>
  <c r="G49" i="21"/>
  <c r="G48" i="21"/>
  <c r="G49" i="20"/>
  <c r="G49" i="17" s="1"/>
  <c r="G48" i="20"/>
  <c r="G47" i="20" s="1"/>
  <c r="G46" i="20" s="1"/>
  <c r="G78" i="21"/>
  <c r="B63" i="21"/>
  <c r="I61" i="21"/>
  <c r="Q60" i="21"/>
  <c r="L58" i="21"/>
  <c r="Q57" i="21"/>
  <c r="N56" i="21"/>
  <c r="L56" i="21"/>
  <c r="G56" i="21"/>
  <c r="B56" i="21"/>
  <c r="L54" i="21"/>
  <c r="N52" i="21"/>
  <c r="N51" i="21" s="1"/>
  <c r="P51" i="21"/>
  <c r="O51" i="21"/>
  <c r="N47" i="21"/>
  <c r="N46" i="21" s="1"/>
  <c r="N42" i="21"/>
  <c r="K30" i="21"/>
  <c r="K27" i="21"/>
  <c r="K24" i="21"/>
  <c r="K22" i="21"/>
  <c r="G22" i="21"/>
  <c r="G21" i="21" s="1"/>
  <c r="P21" i="21"/>
  <c r="O21" i="21"/>
  <c r="J21" i="21"/>
  <c r="I21" i="21"/>
  <c r="I11" i="21"/>
  <c r="I10" i="21" s="1"/>
  <c r="I9" i="21" s="1"/>
  <c r="I4" i="21" s="1"/>
  <c r="I3" i="21" s="1"/>
  <c r="K10" i="21"/>
  <c r="N5" i="21"/>
  <c r="K5" i="21"/>
  <c r="G5" i="21"/>
  <c r="Q93" i="20"/>
  <c r="G78" i="20"/>
  <c r="B63" i="20"/>
  <c r="I61" i="20"/>
  <c r="Q98" i="20" s="1"/>
  <c r="H61" i="20"/>
  <c r="Q60" i="20"/>
  <c r="L58" i="20"/>
  <c r="Q57" i="20"/>
  <c r="N56" i="20"/>
  <c r="L56" i="20"/>
  <c r="G56" i="20"/>
  <c r="B56" i="20"/>
  <c r="L54" i="20"/>
  <c r="L51" i="20" s="1"/>
  <c r="N52" i="20"/>
  <c r="N51" i="20" s="1"/>
  <c r="P51" i="20"/>
  <c r="O51" i="20"/>
  <c r="N47" i="20"/>
  <c r="N46" i="20" s="1"/>
  <c r="N42" i="20"/>
  <c r="K30" i="20"/>
  <c r="K27" i="20"/>
  <c r="K24" i="20"/>
  <c r="K22" i="20"/>
  <c r="G22" i="20"/>
  <c r="G21" i="20" s="1"/>
  <c r="P21" i="20"/>
  <c r="O21" i="20"/>
  <c r="N21" i="20"/>
  <c r="J21" i="20"/>
  <c r="I21" i="20"/>
  <c r="H21" i="20"/>
  <c r="N11" i="20"/>
  <c r="N10" i="20" s="1"/>
  <c r="I11" i="20"/>
  <c r="I10" i="20" s="1"/>
  <c r="I9" i="20" s="1"/>
  <c r="I4" i="20" s="1"/>
  <c r="I3" i="20" s="1"/>
  <c r="K10" i="20"/>
  <c r="N5" i="20"/>
  <c r="K5" i="20"/>
  <c r="H5" i="20"/>
  <c r="G5" i="20"/>
  <c r="B41" i="19"/>
  <c r="B40" i="19"/>
  <c r="Q93" i="19"/>
  <c r="G78" i="19"/>
  <c r="B63" i="19"/>
  <c r="B56" i="19"/>
  <c r="Q56" i="19" s="1"/>
  <c r="Q98" i="19"/>
  <c r="Q93" i="18"/>
  <c r="G78" i="18"/>
  <c r="B63" i="18"/>
  <c r="H61" i="18"/>
  <c r="Q60" i="18"/>
  <c r="L58" i="18"/>
  <c r="Q57" i="18"/>
  <c r="N56" i="18"/>
  <c r="L56" i="18"/>
  <c r="G56" i="18"/>
  <c r="B56" i="18"/>
  <c r="L54" i="18"/>
  <c r="L51" i="18" s="1"/>
  <c r="N52" i="18"/>
  <c r="P51" i="18"/>
  <c r="O51" i="18"/>
  <c r="N51" i="18"/>
  <c r="N47" i="18"/>
  <c r="N46" i="18" s="1"/>
  <c r="N42" i="18"/>
  <c r="K30" i="18"/>
  <c r="K27" i="18"/>
  <c r="K24" i="18"/>
  <c r="K22" i="18"/>
  <c r="G22" i="18"/>
  <c r="G21" i="18"/>
  <c r="I61" i="18"/>
  <c r="Q98" i="18" s="1"/>
  <c r="K10" i="18"/>
  <c r="K5" i="18"/>
  <c r="H5" i="18"/>
  <c r="H4" i="18" s="1"/>
  <c r="G5" i="18"/>
  <c r="P51" i="17"/>
  <c r="O51" i="17"/>
  <c r="G78" i="17"/>
  <c r="N5" i="17"/>
  <c r="K30" i="17"/>
  <c r="K27" i="17"/>
  <c r="K24" i="17"/>
  <c r="K22" i="17"/>
  <c r="K10" i="17"/>
  <c r="K5" i="17"/>
  <c r="I11" i="17"/>
  <c r="I10" i="17" s="1"/>
  <c r="I9" i="17" s="1"/>
  <c r="Y40" i="5" l="1"/>
  <c r="AA40" i="5" s="1"/>
  <c r="AA36" i="5" s="1"/>
  <c r="AA33" i="5"/>
  <c r="AA32" i="5" s="1"/>
  <c r="X33" i="5"/>
  <c r="X32" i="5" s="1"/>
  <c r="X28" i="5" s="1"/>
  <c r="W22" i="5"/>
  <c r="X23" i="5"/>
  <c r="Y19" i="5"/>
  <c r="AA19" i="5" s="1"/>
  <c r="X5" i="5"/>
  <c r="Y50" i="5"/>
  <c r="AA50" i="5" s="1"/>
  <c r="AA49" i="5" s="1"/>
  <c r="AA48" i="5" s="1"/>
  <c r="X49" i="5"/>
  <c r="X48" i="5" s="1"/>
  <c r="E8" i="22"/>
  <c r="W36" i="5"/>
  <c r="Y16" i="5"/>
  <c r="G48" i="17"/>
  <c r="Y9" i="5"/>
  <c r="AA9" i="5" s="1"/>
  <c r="N48" i="17"/>
  <c r="N47" i="17" s="1"/>
  <c r="N46" i="17" s="1"/>
  <c r="W14" i="5"/>
  <c r="W5" i="5"/>
  <c r="H4" i="20"/>
  <c r="N30" i="17"/>
  <c r="N21" i="17" s="1"/>
  <c r="C10" i="22"/>
  <c r="C4" i="22" s="1"/>
  <c r="C3" i="22" s="1"/>
  <c r="C72" i="22" s="1"/>
  <c r="Q56" i="21"/>
  <c r="L51" i="21"/>
  <c r="N11" i="17"/>
  <c r="N11" i="21"/>
  <c r="N10" i="21" s="1"/>
  <c r="N9" i="21" s="1"/>
  <c r="N4" i="21" s="1"/>
  <c r="N3" i="21" s="1"/>
  <c r="N61" i="21" s="1"/>
  <c r="E9" i="6" s="1"/>
  <c r="Q56" i="20"/>
  <c r="G46" i="19"/>
  <c r="N9" i="20"/>
  <c r="N4" i="20" s="1"/>
  <c r="N3" i="20" s="1"/>
  <c r="N61" i="20" s="1"/>
  <c r="N9" i="18"/>
  <c r="N4" i="18" s="1"/>
  <c r="N3" i="18" s="1"/>
  <c r="N61" i="18" s="1"/>
  <c r="G47" i="21"/>
  <c r="G46" i="21" s="1"/>
  <c r="G9" i="21" s="1"/>
  <c r="G4" i="21" s="1"/>
  <c r="G3" i="21" s="1"/>
  <c r="G61" i="21" s="1"/>
  <c r="G9" i="20"/>
  <c r="G4" i="20" s="1"/>
  <c r="G3" i="20" s="1"/>
  <c r="G61" i="20" s="1"/>
  <c r="Q97" i="20" s="1"/>
  <c r="B39" i="19"/>
  <c r="Q56" i="18"/>
  <c r="G47" i="18"/>
  <c r="G46" i="18" s="1"/>
  <c r="G9" i="18" s="1"/>
  <c r="G4" i="18" s="1"/>
  <c r="G3" i="18" s="1"/>
  <c r="G61" i="18" s="1"/>
  <c r="Q97" i="18" s="1"/>
  <c r="I11" i="18"/>
  <c r="I10" i="18" s="1"/>
  <c r="I9" i="18" s="1"/>
  <c r="I4" i="18" s="1"/>
  <c r="I3" i="18" s="1"/>
  <c r="Y36" i="5" l="1"/>
  <c r="W28" i="5"/>
  <c r="E39" i="19"/>
  <c r="D39" i="19"/>
  <c r="Q39" i="19"/>
  <c r="X4" i="5"/>
  <c r="X3" i="5" s="1"/>
  <c r="Y23" i="5"/>
  <c r="AA23" i="5" s="1"/>
  <c r="X22" i="5"/>
  <c r="Y22" i="5" s="1"/>
  <c r="W4" i="5"/>
  <c r="W3" i="5" s="1"/>
  <c r="AA28" i="5"/>
  <c r="G9" i="19"/>
  <c r="Q100" i="18"/>
  <c r="B9" i="6"/>
  <c r="Q100" i="20"/>
  <c r="D9" i="6"/>
  <c r="Q100" i="19"/>
  <c r="C9" i="6"/>
  <c r="G47" i="17"/>
  <c r="G46" i="17" s="1"/>
  <c r="Q93" i="17"/>
  <c r="B63" i="17"/>
  <c r="I61" i="17"/>
  <c r="Q98" i="17" s="1"/>
  <c r="H61" i="17"/>
  <c r="Q60" i="17"/>
  <c r="L58" i="17"/>
  <c r="Q57" i="17"/>
  <c r="N56" i="17"/>
  <c r="L56" i="17"/>
  <c r="G56" i="17"/>
  <c r="B56" i="17"/>
  <c r="Q56" i="17" s="1"/>
  <c r="L54" i="17"/>
  <c r="N52" i="17"/>
  <c r="N51" i="17" s="1"/>
  <c r="N42" i="17"/>
  <c r="G22" i="17"/>
  <c r="G21" i="17" s="1"/>
  <c r="N10" i="17"/>
  <c r="N9" i="17" s="1"/>
  <c r="N4" i="17" s="1"/>
  <c r="I4" i="17"/>
  <c r="I3" i="17" s="1"/>
  <c r="H5" i="17"/>
  <c r="H4" i="17" s="1"/>
  <c r="G5" i="17"/>
  <c r="F63" i="16"/>
  <c r="F62" i="16" s="1"/>
  <c r="F71" i="16"/>
  <c r="C30" i="16"/>
  <c r="C39" i="16"/>
  <c r="B35" i="19" s="1"/>
  <c r="K35" i="19" s="1"/>
  <c r="C38" i="16"/>
  <c r="B34" i="19" s="1"/>
  <c r="K34" i="19" s="1"/>
  <c r="E45" i="16"/>
  <c r="B41" i="21" s="1"/>
  <c r="D45" i="16"/>
  <c r="B41" i="20" s="1"/>
  <c r="D44" i="16"/>
  <c r="C57" i="16"/>
  <c r="B50" i="19" s="1"/>
  <c r="D58" i="16"/>
  <c r="E58" i="16" s="1"/>
  <c r="B49" i="20"/>
  <c r="B49" i="21"/>
  <c r="B48" i="20"/>
  <c r="B49" i="19"/>
  <c r="E66" i="16"/>
  <c r="E65" i="16" s="1"/>
  <c r="E64" i="16" s="1"/>
  <c r="D66" i="16"/>
  <c r="D65" i="16" s="1"/>
  <c r="D64" i="16" s="1"/>
  <c r="C66" i="16"/>
  <c r="C65" i="16" s="1"/>
  <c r="C64" i="16" s="1"/>
  <c r="E62" i="16"/>
  <c r="D62" i="16"/>
  <c r="C62" i="16"/>
  <c r="B62" i="16"/>
  <c r="B58" i="16"/>
  <c r="B57" i="16" s="1"/>
  <c r="B50" i="18" s="1"/>
  <c r="B44" i="16"/>
  <c r="B43" i="16" s="1"/>
  <c r="B35" i="16"/>
  <c r="B31" i="18" s="1"/>
  <c r="B30" i="16"/>
  <c r="B26" i="18" s="1"/>
  <c r="Q26" i="18" s="1"/>
  <c r="B23" i="16"/>
  <c r="B19" i="18" s="1"/>
  <c r="B20" i="16"/>
  <c r="B17" i="18" s="1"/>
  <c r="Q17" i="18" s="1"/>
  <c r="B8" i="16"/>
  <c r="T45" i="15"/>
  <c r="R46" i="15"/>
  <c r="P46" i="15"/>
  <c r="N46" i="15"/>
  <c r="G46" i="15"/>
  <c r="U46" i="15" s="1"/>
  <c r="F46" i="15"/>
  <c r="P45" i="15"/>
  <c r="T71" i="15"/>
  <c r="G71" i="15"/>
  <c r="T70" i="15"/>
  <c r="B70" i="16" s="1"/>
  <c r="B59" i="18" s="1"/>
  <c r="L70" i="15"/>
  <c r="L69" i="15" s="1"/>
  <c r="I70" i="15"/>
  <c r="I69" i="15" s="1"/>
  <c r="G70" i="15"/>
  <c r="U70" i="15" s="1"/>
  <c r="F70" i="15"/>
  <c r="R69" i="15"/>
  <c r="P69" i="15"/>
  <c r="N69" i="15"/>
  <c r="J69" i="15"/>
  <c r="E69" i="15"/>
  <c r="D69" i="15"/>
  <c r="T68" i="15"/>
  <c r="B68" i="22" s="1"/>
  <c r="D68" i="22" s="1"/>
  <c r="G68" i="15"/>
  <c r="T67" i="15"/>
  <c r="B67" i="16" s="1"/>
  <c r="R67" i="15"/>
  <c r="R66" i="15" s="1"/>
  <c r="R65" i="15" s="1"/>
  <c r="R63" i="15" s="1"/>
  <c r="I67" i="15"/>
  <c r="I66" i="15" s="1"/>
  <c r="I65" i="15" s="1"/>
  <c r="I63" i="15" s="1"/>
  <c r="G67" i="15"/>
  <c r="H67" i="15" s="1"/>
  <c r="F67" i="15"/>
  <c r="P66" i="15"/>
  <c r="P65" i="15" s="1"/>
  <c r="P63" i="15" s="1"/>
  <c r="N66" i="15"/>
  <c r="L66" i="15"/>
  <c r="L65" i="15" s="1"/>
  <c r="L63" i="15" s="1"/>
  <c r="J66" i="15"/>
  <c r="J65" i="15" s="1"/>
  <c r="E66" i="15"/>
  <c r="E65" i="15" s="1"/>
  <c r="E63" i="15" s="1"/>
  <c r="D66" i="15"/>
  <c r="D65" i="15" s="1"/>
  <c r="D63" i="15" s="1"/>
  <c r="D60" i="15" s="1"/>
  <c r="N65" i="15"/>
  <c r="N63" i="15" s="1"/>
  <c r="U64" i="15"/>
  <c r="I62" i="15"/>
  <c r="I61" i="15" s="1"/>
  <c r="G62" i="15"/>
  <c r="J62" i="15" s="1"/>
  <c r="F62" i="15"/>
  <c r="N61" i="15"/>
  <c r="L61" i="15"/>
  <c r="E61" i="15"/>
  <c r="F61" i="15" s="1"/>
  <c r="D61" i="15"/>
  <c r="U59" i="15"/>
  <c r="T59" i="15"/>
  <c r="B58" i="22" s="1"/>
  <c r="R59" i="15"/>
  <c r="R58" i="15" s="1"/>
  <c r="K59" i="15"/>
  <c r="I59" i="15"/>
  <c r="I58" i="15" s="1"/>
  <c r="H59" i="15"/>
  <c r="F59" i="15"/>
  <c r="T58" i="15"/>
  <c r="P58" i="15"/>
  <c r="N58" i="15"/>
  <c r="L58" i="15"/>
  <c r="J58" i="15"/>
  <c r="G58" i="15"/>
  <c r="H58" i="15" s="1"/>
  <c r="E58" i="15"/>
  <c r="D58" i="15"/>
  <c r="T57" i="15"/>
  <c r="R57" i="15"/>
  <c r="P57" i="15"/>
  <c r="G57" i="15"/>
  <c r="K57" i="15" s="1"/>
  <c r="F57" i="15"/>
  <c r="T56" i="15"/>
  <c r="R56" i="15"/>
  <c r="P56" i="15"/>
  <c r="I56" i="15"/>
  <c r="I55" i="15" s="1"/>
  <c r="I54" i="15" s="1"/>
  <c r="I53" i="15" s="1"/>
  <c r="G56" i="15"/>
  <c r="U56" i="15" s="1"/>
  <c r="F56" i="15"/>
  <c r="N55" i="15"/>
  <c r="N54" i="15" s="1"/>
  <c r="N53" i="15" s="1"/>
  <c r="L55" i="15"/>
  <c r="L54" i="15" s="1"/>
  <c r="L53" i="15" s="1"/>
  <c r="J55" i="15"/>
  <c r="J54" i="15" s="1"/>
  <c r="E55" i="15"/>
  <c r="E54" i="15" s="1"/>
  <c r="D55" i="15"/>
  <c r="D54" i="15"/>
  <c r="D53" i="15" s="1"/>
  <c r="G51" i="15"/>
  <c r="F51" i="15"/>
  <c r="I50" i="15"/>
  <c r="I49" i="15" s="1"/>
  <c r="I48" i="15" s="1"/>
  <c r="I47" i="15" s="1"/>
  <c r="G50" i="15"/>
  <c r="H50" i="15" s="1"/>
  <c r="F50" i="15"/>
  <c r="R49" i="15"/>
  <c r="R48" i="15" s="1"/>
  <c r="R47" i="15" s="1"/>
  <c r="P49" i="15"/>
  <c r="P48" i="15" s="1"/>
  <c r="P47" i="15" s="1"/>
  <c r="E49" i="15"/>
  <c r="F49" i="15" s="1"/>
  <c r="D49" i="15"/>
  <c r="D48" i="15" s="1"/>
  <c r="D47" i="15" s="1"/>
  <c r="D45" i="15" s="1"/>
  <c r="P44" i="15"/>
  <c r="J44" i="15"/>
  <c r="N44" i="15" s="1"/>
  <c r="G44" i="15"/>
  <c r="U43" i="15"/>
  <c r="T43" i="15"/>
  <c r="B41" i="22" s="1"/>
  <c r="D41" i="22" s="1"/>
  <c r="R43" i="15"/>
  <c r="P43" i="15"/>
  <c r="N43" i="15"/>
  <c r="I43" i="15"/>
  <c r="I42" i="15" s="1"/>
  <c r="H43" i="15"/>
  <c r="G43" i="15"/>
  <c r="G42" i="15" s="1"/>
  <c r="F43" i="15"/>
  <c r="L42" i="15"/>
  <c r="J42" i="15"/>
  <c r="E42" i="15"/>
  <c r="D42" i="15"/>
  <c r="H41" i="15"/>
  <c r="G41" i="15"/>
  <c r="J41" i="15" s="1"/>
  <c r="F41" i="15"/>
  <c r="I40" i="15"/>
  <c r="I39" i="15" s="1"/>
  <c r="G40" i="15"/>
  <c r="H40" i="15" s="1"/>
  <c r="F40" i="15"/>
  <c r="L39" i="15"/>
  <c r="E39" i="15"/>
  <c r="F39" i="15" s="1"/>
  <c r="D39" i="15"/>
  <c r="G38" i="15"/>
  <c r="J38" i="15" s="1"/>
  <c r="U38" i="15" s="1"/>
  <c r="F38" i="15"/>
  <c r="T37" i="15"/>
  <c r="B35" i="22" s="1"/>
  <c r="I37" i="15"/>
  <c r="G37" i="15"/>
  <c r="F37" i="15"/>
  <c r="L36" i="15"/>
  <c r="I36" i="15"/>
  <c r="E36" i="15"/>
  <c r="D36" i="15"/>
  <c r="T35" i="15"/>
  <c r="B33" i="22" s="1"/>
  <c r="D33" i="22" s="1"/>
  <c r="N35" i="15"/>
  <c r="L35" i="15"/>
  <c r="L33" i="15" s="1"/>
  <c r="G35" i="15"/>
  <c r="U35" i="15" s="1"/>
  <c r="F35" i="15"/>
  <c r="T34" i="15"/>
  <c r="B32" i="22" s="1"/>
  <c r="N34" i="15"/>
  <c r="L34" i="15"/>
  <c r="I34" i="15"/>
  <c r="I33" i="15" s="1"/>
  <c r="G34" i="15"/>
  <c r="U34" i="15" s="1"/>
  <c r="F34" i="15"/>
  <c r="R33" i="15"/>
  <c r="P33" i="15"/>
  <c r="N33" i="15"/>
  <c r="J33" i="15"/>
  <c r="E33" i="15"/>
  <c r="E27" i="15" s="1"/>
  <c r="D33" i="15"/>
  <c r="T32" i="15"/>
  <c r="B30" i="22" s="1"/>
  <c r="D30" i="22" s="1"/>
  <c r="N32" i="15"/>
  <c r="L32" i="15"/>
  <c r="G32" i="15"/>
  <c r="F32" i="15"/>
  <c r="T31" i="15"/>
  <c r="B29" i="16" s="1"/>
  <c r="N31" i="15"/>
  <c r="N30" i="15" s="1"/>
  <c r="L31" i="15"/>
  <c r="I31" i="15"/>
  <c r="I30" i="15" s="1"/>
  <c r="G31" i="15"/>
  <c r="H31" i="15" s="1"/>
  <c r="F31" i="15"/>
  <c r="R30" i="15"/>
  <c r="P30" i="15"/>
  <c r="J30" i="15"/>
  <c r="E30" i="15"/>
  <c r="D30" i="15"/>
  <c r="I29" i="15"/>
  <c r="I28" i="15" s="1"/>
  <c r="G29" i="15"/>
  <c r="G28" i="15" s="1"/>
  <c r="F29" i="15"/>
  <c r="R28" i="15"/>
  <c r="P28" i="15"/>
  <c r="E28" i="15"/>
  <c r="D28" i="15"/>
  <c r="F28" i="15" s="1"/>
  <c r="D27" i="15"/>
  <c r="T26" i="15"/>
  <c r="B24" i="16" s="1"/>
  <c r="B20" i="18" s="1"/>
  <c r="Q20" i="18" s="1"/>
  <c r="R26" i="15"/>
  <c r="P26" i="15"/>
  <c r="N26" i="15"/>
  <c r="L26" i="15"/>
  <c r="G26" i="15"/>
  <c r="T25" i="15"/>
  <c r="B23" i="22" s="1"/>
  <c r="R25" i="15"/>
  <c r="R24" i="15" s="1"/>
  <c r="R23" i="15" s="1"/>
  <c r="P25" i="15"/>
  <c r="P24" i="15" s="1"/>
  <c r="P23" i="15" s="1"/>
  <c r="N25" i="15"/>
  <c r="L25" i="15"/>
  <c r="I25" i="15"/>
  <c r="I24" i="15" s="1"/>
  <c r="I23" i="15" s="1"/>
  <c r="G25" i="15"/>
  <c r="H25" i="15" s="1"/>
  <c r="F25" i="15"/>
  <c r="N24" i="15"/>
  <c r="N23" i="15" s="1"/>
  <c r="J24" i="15"/>
  <c r="J23" i="15" s="1"/>
  <c r="E24" i="15"/>
  <c r="D24" i="15"/>
  <c r="E23" i="15"/>
  <c r="D23" i="15"/>
  <c r="G22" i="15"/>
  <c r="H22" i="15" s="1"/>
  <c r="F22" i="15"/>
  <c r="T21" i="15"/>
  <c r="B19" i="22" s="1"/>
  <c r="I21" i="15"/>
  <c r="I20" i="15" s="1"/>
  <c r="G21" i="15"/>
  <c r="J21" i="15" s="1"/>
  <c r="U21" i="15" s="1"/>
  <c r="F21" i="15"/>
  <c r="T20" i="15"/>
  <c r="E20" i="15"/>
  <c r="D20" i="15"/>
  <c r="F20" i="15" s="1"/>
  <c r="T19" i="15"/>
  <c r="B17" i="22" s="1"/>
  <c r="D17" i="22" s="1"/>
  <c r="S19" i="15"/>
  <c r="G19" i="15"/>
  <c r="H19" i="15" s="1"/>
  <c r="F19" i="15"/>
  <c r="T18" i="15"/>
  <c r="B16" i="22" s="1"/>
  <c r="S18" i="15"/>
  <c r="I18" i="15"/>
  <c r="I17" i="15" s="1"/>
  <c r="G18" i="15"/>
  <c r="H18" i="15" s="1"/>
  <c r="F18" i="15"/>
  <c r="E17" i="15"/>
  <c r="D17" i="15"/>
  <c r="D16" i="15" s="1"/>
  <c r="E16" i="15"/>
  <c r="E15" i="15" s="1"/>
  <c r="G11" i="15"/>
  <c r="J11" i="15" s="1"/>
  <c r="K11" i="15" s="1"/>
  <c r="F11" i="15"/>
  <c r="I10" i="15"/>
  <c r="I9" i="15" s="1"/>
  <c r="I8" i="15" s="1"/>
  <c r="I7" i="15" s="1"/>
  <c r="G10" i="15"/>
  <c r="G9" i="15" s="1"/>
  <c r="F10" i="15"/>
  <c r="N9" i="15"/>
  <c r="N8" i="15" s="1"/>
  <c r="N7" i="15" s="1"/>
  <c r="L9" i="15"/>
  <c r="E9" i="15"/>
  <c r="E8" i="15" s="1"/>
  <c r="D9" i="15"/>
  <c r="D8" i="15" s="1"/>
  <c r="D7" i="15" s="1"/>
  <c r="L8" i="15"/>
  <c r="L7" i="15" s="1"/>
  <c r="T68" i="13"/>
  <c r="T57" i="13"/>
  <c r="T54" i="13"/>
  <c r="T55" i="13"/>
  <c r="T43" i="13"/>
  <c r="T37" i="13"/>
  <c r="T35" i="13"/>
  <c r="T34" i="13"/>
  <c r="T32" i="13"/>
  <c r="T31" i="13"/>
  <c r="T25" i="13"/>
  <c r="T26" i="13"/>
  <c r="T21" i="13"/>
  <c r="T18" i="13"/>
  <c r="T19" i="13"/>
  <c r="F16" i="15" l="1"/>
  <c r="D15" i="15"/>
  <c r="D14" i="15" s="1"/>
  <c r="D13" i="15" s="1"/>
  <c r="B66" i="16"/>
  <c r="B65" i="16" s="1"/>
  <c r="B64" i="16" s="1"/>
  <c r="J10" i="15"/>
  <c r="R10" i="15" s="1"/>
  <c r="G30" i="15"/>
  <c r="H30" i="15" s="1"/>
  <c r="G24" i="15"/>
  <c r="H24" i="15" s="1"/>
  <c r="U32" i="15"/>
  <c r="N52" i="15"/>
  <c r="B17" i="16"/>
  <c r="B14" i="18" s="1"/>
  <c r="T17" i="15"/>
  <c r="T16" i="15" s="1"/>
  <c r="T15" i="15" s="1"/>
  <c r="T14" i="15" s="1"/>
  <c r="T13" i="15" s="1"/>
  <c r="G20" i="15"/>
  <c r="G16" i="15" s="1"/>
  <c r="H16" i="15" s="1"/>
  <c r="F33" i="15"/>
  <c r="F58" i="15"/>
  <c r="B19" i="16"/>
  <c r="B16" i="18" s="1"/>
  <c r="J18" i="15"/>
  <c r="U18" i="15" s="1"/>
  <c r="L50" i="19"/>
  <c r="Q50" i="19"/>
  <c r="K25" i="15"/>
  <c r="K31" i="15"/>
  <c r="J40" i="15"/>
  <c r="U40" i="15" s="1"/>
  <c r="J50" i="15"/>
  <c r="N50" i="15" s="1"/>
  <c r="P55" i="15"/>
  <c r="P54" i="15" s="1"/>
  <c r="P53" i="15" s="1"/>
  <c r="P52" i="15" s="1"/>
  <c r="H46" i="15"/>
  <c r="D57" i="16"/>
  <c r="B50" i="20" s="1"/>
  <c r="B15" i="22"/>
  <c r="D16" i="22"/>
  <c r="D15" i="22" s="1"/>
  <c r="B18" i="22"/>
  <c r="D19" i="22"/>
  <c r="D18" i="22" s="1"/>
  <c r="E18" i="22" s="1"/>
  <c r="L24" i="15"/>
  <c r="L23" i="15" s="1"/>
  <c r="L30" i="15"/>
  <c r="T33" i="15"/>
  <c r="R55" i="15"/>
  <c r="R54" i="15" s="1"/>
  <c r="R53" i="15" s="1"/>
  <c r="R52" i="15" s="1"/>
  <c r="K67" i="15"/>
  <c r="K70" i="15"/>
  <c r="K46" i="15"/>
  <c r="B32" i="16"/>
  <c r="C32" i="16" s="1"/>
  <c r="B68" i="16"/>
  <c r="F68" i="16" s="1"/>
  <c r="D43" i="16"/>
  <c r="K58" i="15"/>
  <c r="F36" i="15"/>
  <c r="H21" i="15"/>
  <c r="H70" i="15"/>
  <c r="G36" i="15"/>
  <c r="H36" i="15" s="1"/>
  <c r="N42" i="15"/>
  <c r="K51" i="15"/>
  <c r="T55" i="15"/>
  <c r="T54" i="15" s="1"/>
  <c r="T53" i="15" s="1"/>
  <c r="T52" i="15" s="1"/>
  <c r="B55" i="22"/>
  <c r="B55" i="16"/>
  <c r="B48" i="18" s="1"/>
  <c r="B33" i="16"/>
  <c r="B29" i="18" s="1"/>
  <c r="H56" i="15"/>
  <c r="K56" i="15"/>
  <c r="T66" i="15"/>
  <c r="T65" i="15" s="1"/>
  <c r="T63" i="15" s="1"/>
  <c r="B67" i="22"/>
  <c r="H28" i="15"/>
  <c r="U31" i="15"/>
  <c r="D35" i="22"/>
  <c r="U67" i="15"/>
  <c r="R45" i="15"/>
  <c r="L51" i="17"/>
  <c r="J19" i="15"/>
  <c r="U19" i="15" s="1"/>
  <c r="J22" i="15"/>
  <c r="K22" i="15" s="1"/>
  <c r="D23" i="22"/>
  <c r="H29" i="15"/>
  <c r="F42" i="15"/>
  <c r="E48" i="15"/>
  <c r="E47" i="15" s="1"/>
  <c r="E45" i="15" s="1"/>
  <c r="F45" i="15" s="1"/>
  <c r="G66" i="15"/>
  <c r="K66" i="15" s="1"/>
  <c r="G69" i="15"/>
  <c r="H69" i="15" s="1"/>
  <c r="K33" i="19"/>
  <c r="T24" i="15"/>
  <c r="T23" i="15" s="1"/>
  <c r="B24" i="22"/>
  <c r="D24" i="22" s="1"/>
  <c r="H10" i="15"/>
  <c r="L60" i="15"/>
  <c r="N60" i="15"/>
  <c r="H38" i="15"/>
  <c r="G55" i="15"/>
  <c r="H55" i="15" s="1"/>
  <c r="B41" i="16"/>
  <c r="C41" i="16" s="1"/>
  <c r="E41" i="22"/>
  <c r="T30" i="15"/>
  <c r="B29" i="22"/>
  <c r="U25" i="15"/>
  <c r="F69" i="15"/>
  <c r="C23" i="16"/>
  <c r="D23" i="16" s="1"/>
  <c r="P42" i="15"/>
  <c r="J51" i="15"/>
  <c r="U51" i="15" s="1"/>
  <c r="U58" i="15"/>
  <c r="T69" i="15"/>
  <c r="B70" i="22"/>
  <c r="D32" i="22"/>
  <c r="D31" i="22" s="1"/>
  <c r="B31" i="22"/>
  <c r="F17" i="15"/>
  <c r="F30" i="15"/>
  <c r="B56" i="22"/>
  <c r="D56" i="22" s="1"/>
  <c r="B56" i="16"/>
  <c r="B49" i="18" s="1"/>
  <c r="B47" i="18" s="1"/>
  <c r="F66" i="15"/>
  <c r="G17" i="15"/>
  <c r="H17" i="15" s="1"/>
  <c r="F24" i="15"/>
  <c r="K30" i="15"/>
  <c r="H42" i="15"/>
  <c r="G49" i="15"/>
  <c r="G48" i="15" s="1"/>
  <c r="L52" i="15"/>
  <c r="U57" i="15"/>
  <c r="D58" i="22"/>
  <c r="D57" i="22" s="1"/>
  <c r="B57" i="22"/>
  <c r="U69" i="15"/>
  <c r="B16" i="16"/>
  <c r="B13" i="18" s="1"/>
  <c r="B12" i="18" s="1"/>
  <c r="K49" i="19"/>
  <c r="G4" i="19"/>
  <c r="N3" i="17"/>
  <c r="N61" i="17" s="1"/>
  <c r="F9" i="6"/>
  <c r="B37" i="19"/>
  <c r="D41" i="16"/>
  <c r="F58" i="16"/>
  <c r="F57" i="16" s="1"/>
  <c r="B50" i="17" s="1"/>
  <c r="Q50" i="17" s="1"/>
  <c r="E57" i="16"/>
  <c r="B50" i="21" s="1"/>
  <c r="B28" i="19"/>
  <c r="D32" i="16"/>
  <c r="B7" i="18"/>
  <c r="Q50" i="20"/>
  <c r="L50" i="20"/>
  <c r="C35" i="16"/>
  <c r="D30" i="16"/>
  <c r="B26" i="20" s="1"/>
  <c r="Q26" i="20" s="1"/>
  <c r="B26" i="19"/>
  <c r="Q26" i="19" s="1"/>
  <c r="C54" i="16"/>
  <c r="C53" i="16" s="1"/>
  <c r="C52" i="16" s="1"/>
  <c r="C51" i="16" s="1"/>
  <c r="B48" i="19"/>
  <c r="C12" i="18"/>
  <c r="L12" i="18"/>
  <c r="B47" i="20"/>
  <c r="K48" i="20"/>
  <c r="Q48" i="20" s="1"/>
  <c r="O48" i="20"/>
  <c r="F55" i="16"/>
  <c r="B48" i="17" s="1"/>
  <c r="B58" i="18"/>
  <c r="C59" i="18"/>
  <c r="C58" i="18" s="1"/>
  <c r="K49" i="21"/>
  <c r="C8" i="16"/>
  <c r="F56" i="16"/>
  <c r="B49" i="17" s="1"/>
  <c r="Q16" i="18"/>
  <c r="B15" i="18"/>
  <c r="E15" i="18" s="1"/>
  <c r="B37" i="18"/>
  <c r="K49" i="20"/>
  <c r="C24" i="16"/>
  <c r="B69" i="16"/>
  <c r="E54" i="16"/>
  <c r="E53" i="16" s="1"/>
  <c r="E52" i="16" s="1"/>
  <c r="B48" i="21"/>
  <c r="O48" i="21" s="1"/>
  <c r="Q19" i="18"/>
  <c r="B18" i="18"/>
  <c r="E18" i="18" s="1"/>
  <c r="B40" i="18"/>
  <c r="B39" i="18" s="1"/>
  <c r="C70" i="16"/>
  <c r="B33" i="19"/>
  <c r="L33" i="19" s="1"/>
  <c r="C19" i="16"/>
  <c r="F45" i="16"/>
  <c r="B41" i="17" s="1"/>
  <c r="B28" i="16"/>
  <c r="B25" i="18"/>
  <c r="D38" i="16"/>
  <c r="C33" i="16"/>
  <c r="Q49" i="18"/>
  <c r="B40" i="20"/>
  <c r="B39" i="20" s="1"/>
  <c r="C29" i="16"/>
  <c r="B31" i="16"/>
  <c r="Q50" i="18"/>
  <c r="L50" i="18"/>
  <c r="E44" i="16"/>
  <c r="E43" i="16" s="1"/>
  <c r="D39" i="16"/>
  <c r="C16" i="16"/>
  <c r="F67" i="16"/>
  <c r="C17" i="16"/>
  <c r="O11" i="18"/>
  <c r="O10" i="18" s="1"/>
  <c r="L50" i="17"/>
  <c r="I52" i="15"/>
  <c r="E30" i="16"/>
  <c r="C31" i="16"/>
  <c r="C37" i="16"/>
  <c r="D54" i="16"/>
  <c r="D53" i="16" s="1"/>
  <c r="D52" i="16" s="1"/>
  <c r="D51" i="16" s="1"/>
  <c r="B22" i="16"/>
  <c r="B21" i="16" s="1"/>
  <c r="B18" i="16"/>
  <c r="I27" i="15"/>
  <c r="I16" i="15"/>
  <c r="I15" i="15" s="1"/>
  <c r="I14" i="15" s="1"/>
  <c r="I13" i="15" s="1"/>
  <c r="F47" i="15"/>
  <c r="P62" i="15"/>
  <c r="P61" i="15" s="1"/>
  <c r="P60" i="15" s="1"/>
  <c r="J61" i="15"/>
  <c r="K62" i="15"/>
  <c r="R62" i="15"/>
  <c r="R61" i="15" s="1"/>
  <c r="R60" i="15" s="1"/>
  <c r="U62" i="15"/>
  <c r="T62" i="15"/>
  <c r="H66" i="15"/>
  <c r="J63" i="15"/>
  <c r="I60" i="15"/>
  <c r="U41" i="15"/>
  <c r="N41" i="15"/>
  <c r="K41" i="15"/>
  <c r="H48" i="15"/>
  <c r="G47" i="15"/>
  <c r="H47" i="15" s="1"/>
  <c r="F54" i="15"/>
  <c r="E53" i="15"/>
  <c r="E52" i="15" s="1"/>
  <c r="F52" i="15" s="1"/>
  <c r="F8" i="15"/>
  <c r="E7" i="15"/>
  <c r="F7" i="15" s="1"/>
  <c r="U30" i="15"/>
  <c r="F55" i="15"/>
  <c r="F15" i="15"/>
  <c r="J17" i="15"/>
  <c r="K19" i="15"/>
  <c r="F27" i="15"/>
  <c r="H35" i="15"/>
  <c r="K42" i="15"/>
  <c r="H49" i="15"/>
  <c r="H51" i="15"/>
  <c r="K10" i="15"/>
  <c r="L18" i="15"/>
  <c r="L19" i="15"/>
  <c r="F23" i="15"/>
  <c r="K35" i="15"/>
  <c r="G33" i="15"/>
  <c r="F63" i="15"/>
  <c r="F9" i="15"/>
  <c r="P18" i="15"/>
  <c r="P19" i="15"/>
  <c r="J29" i="15"/>
  <c r="J28" i="15" s="1"/>
  <c r="U28" i="15" s="1"/>
  <c r="H34" i="15"/>
  <c r="H37" i="15"/>
  <c r="G39" i="15"/>
  <c r="R44" i="15"/>
  <c r="R42" i="15" s="1"/>
  <c r="F48" i="15"/>
  <c r="K68" i="15"/>
  <c r="H9" i="15"/>
  <c r="R19" i="15"/>
  <c r="T29" i="15"/>
  <c r="B27" i="22" s="1"/>
  <c r="T44" i="15"/>
  <c r="F65" i="15"/>
  <c r="N19" i="15"/>
  <c r="H32" i="15"/>
  <c r="K34" i="15"/>
  <c r="J37" i="15"/>
  <c r="P37" i="15" s="1"/>
  <c r="P36" i="15" s="1"/>
  <c r="J39" i="15"/>
  <c r="U39" i="15" s="1"/>
  <c r="U44" i="15"/>
  <c r="T51" i="15"/>
  <c r="H62" i="15"/>
  <c r="U68" i="15"/>
  <c r="K32" i="15"/>
  <c r="K43" i="15"/>
  <c r="G61" i="15"/>
  <c r="U71" i="15"/>
  <c r="H11" i="15"/>
  <c r="H57" i="15"/>
  <c r="F53" i="15"/>
  <c r="D52" i="15"/>
  <c r="K28" i="15"/>
  <c r="D12" i="15"/>
  <c r="D6" i="15" s="1"/>
  <c r="D5" i="15" s="1"/>
  <c r="D72" i="15" s="1"/>
  <c r="G23" i="15"/>
  <c r="H23" i="15" s="1"/>
  <c r="U24" i="15"/>
  <c r="G54" i="15"/>
  <c r="U54" i="15" s="1"/>
  <c r="G8" i="15"/>
  <c r="E14" i="15"/>
  <c r="J53" i="15"/>
  <c r="P11" i="15"/>
  <c r="K21" i="15"/>
  <c r="L22" i="15"/>
  <c r="L29" i="15"/>
  <c r="L28" i="15" s="1"/>
  <c r="L27" i="15" s="1"/>
  <c r="N38" i="15"/>
  <c r="K40" i="15"/>
  <c r="P41" i="15"/>
  <c r="L50" i="15"/>
  <c r="E60" i="15"/>
  <c r="F60" i="15" s="1"/>
  <c r="J20" i="15"/>
  <c r="K29" i="15"/>
  <c r="R11" i="15"/>
  <c r="L21" i="15"/>
  <c r="N22" i="15"/>
  <c r="P38" i="15"/>
  <c r="N40" i="15"/>
  <c r="N39" i="15" s="1"/>
  <c r="R41" i="15"/>
  <c r="J9" i="15"/>
  <c r="T11" i="15"/>
  <c r="N21" i="15"/>
  <c r="P22" i="15"/>
  <c r="K24" i="15"/>
  <c r="R38" i="15"/>
  <c r="P40" i="15"/>
  <c r="T41" i="15"/>
  <c r="K55" i="15"/>
  <c r="K38" i="15"/>
  <c r="U11" i="15"/>
  <c r="P21" i="15"/>
  <c r="R22" i="15"/>
  <c r="U29" i="15"/>
  <c r="T38" i="15"/>
  <c r="R40" i="15"/>
  <c r="U50" i="15"/>
  <c r="R21" i="15"/>
  <c r="U22" i="15"/>
  <c r="T40" i="15"/>
  <c r="U42" i="15"/>
  <c r="K44" i="15"/>
  <c r="T55" i="14"/>
  <c r="T41" i="14"/>
  <c r="T35" i="14"/>
  <c r="T32" i="14"/>
  <c r="T26" i="14"/>
  <c r="T11" i="14"/>
  <c r="T69" i="14"/>
  <c r="G69" i="14"/>
  <c r="G67" i="14" s="1"/>
  <c r="K67" i="14" s="1"/>
  <c r="U68" i="14"/>
  <c r="L68" i="14"/>
  <c r="I68" i="14"/>
  <c r="T68" i="14" s="1"/>
  <c r="G68" i="14"/>
  <c r="H68" i="14" s="1"/>
  <c r="F68" i="14"/>
  <c r="R67" i="14"/>
  <c r="P67" i="14"/>
  <c r="N67" i="14"/>
  <c r="L67" i="14"/>
  <c r="J67" i="14"/>
  <c r="E67" i="14"/>
  <c r="F67" i="14" s="1"/>
  <c r="D67" i="14"/>
  <c r="U66" i="14"/>
  <c r="T66" i="14"/>
  <c r="K66" i="14"/>
  <c r="G66" i="14"/>
  <c r="T65" i="14"/>
  <c r="R65" i="14"/>
  <c r="I65" i="14"/>
  <c r="I64" i="14" s="1"/>
  <c r="I63" i="14" s="1"/>
  <c r="I61" i="14" s="1"/>
  <c r="G65" i="14"/>
  <c r="G64" i="14" s="1"/>
  <c r="F65" i="14"/>
  <c r="T64" i="14"/>
  <c r="T63" i="14" s="1"/>
  <c r="T61" i="14" s="1"/>
  <c r="R64" i="14"/>
  <c r="R63" i="14" s="1"/>
  <c r="R61" i="14" s="1"/>
  <c r="P64" i="14"/>
  <c r="P63" i="14" s="1"/>
  <c r="P61" i="14" s="1"/>
  <c r="N64" i="14"/>
  <c r="N63" i="14" s="1"/>
  <c r="N61" i="14" s="1"/>
  <c r="N58" i="14" s="1"/>
  <c r="L64" i="14"/>
  <c r="J64" i="14"/>
  <c r="J63" i="14" s="1"/>
  <c r="E64" i="14"/>
  <c r="F64" i="14" s="1"/>
  <c r="D64" i="14"/>
  <c r="L63" i="14"/>
  <c r="L61" i="14" s="1"/>
  <c r="E63" i="14"/>
  <c r="D63" i="14"/>
  <c r="D61" i="14" s="1"/>
  <c r="D58" i="14" s="1"/>
  <c r="U62" i="14"/>
  <c r="I60" i="14"/>
  <c r="I59" i="14" s="1"/>
  <c r="G60" i="14"/>
  <c r="J60" i="14" s="1"/>
  <c r="F60" i="14"/>
  <c r="N59" i="14"/>
  <c r="L59" i="14"/>
  <c r="G59" i="14"/>
  <c r="H59" i="14" s="1"/>
  <c r="E59" i="14"/>
  <c r="F59" i="14" s="1"/>
  <c r="D59" i="14"/>
  <c r="U57" i="14"/>
  <c r="R57" i="14"/>
  <c r="K57" i="14"/>
  <c r="I57" i="14"/>
  <c r="T57" i="14" s="1"/>
  <c r="H57" i="14"/>
  <c r="F57" i="14"/>
  <c r="U56" i="14"/>
  <c r="R56" i="14"/>
  <c r="P56" i="14"/>
  <c r="N56" i="14"/>
  <c r="L56" i="14"/>
  <c r="J56" i="14"/>
  <c r="G56" i="14"/>
  <c r="H56" i="14" s="1"/>
  <c r="E56" i="14"/>
  <c r="F56" i="14" s="1"/>
  <c r="D56" i="14"/>
  <c r="R55" i="14"/>
  <c r="R53" i="14" s="1"/>
  <c r="R52" i="14" s="1"/>
  <c r="R51" i="14" s="1"/>
  <c r="R50" i="14" s="1"/>
  <c r="P55" i="14"/>
  <c r="G55" i="14"/>
  <c r="U55" i="14" s="1"/>
  <c r="F55" i="14"/>
  <c r="U54" i="14"/>
  <c r="R54" i="14"/>
  <c r="P54" i="14"/>
  <c r="K54" i="14"/>
  <c r="I54" i="14"/>
  <c r="T54" i="14" s="1"/>
  <c r="H54" i="14"/>
  <c r="G54" i="14"/>
  <c r="F54" i="14"/>
  <c r="P53" i="14"/>
  <c r="P52" i="14" s="1"/>
  <c r="P51" i="14" s="1"/>
  <c r="P50" i="14" s="1"/>
  <c r="N53" i="14"/>
  <c r="N52" i="14" s="1"/>
  <c r="N51" i="14" s="1"/>
  <c r="N50" i="14" s="1"/>
  <c r="L53" i="14"/>
  <c r="J53" i="14"/>
  <c r="J52" i="14" s="1"/>
  <c r="J51" i="14" s="1"/>
  <c r="J50" i="14" s="1"/>
  <c r="E53" i="14"/>
  <c r="F53" i="14" s="1"/>
  <c r="D53" i="14"/>
  <c r="D52" i="14" s="1"/>
  <c r="D51" i="14" s="1"/>
  <c r="D50" i="14" s="1"/>
  <c r="L52" i="14"/>
  <c r="L51" i="14" s="1"/>
  <c r="T49" i="14"/>
  <c r="J49" i="14"/>
  <c r="U49" i="14" s="1"/>
  <c r="G49" i="14"/>
  <c r="H49" i="14" s="1"/>
  <c r="F49" i="14"/>
  <c r="T48" i="14"/>
  <c r="T47" i="14" s="1"/>
  <c r="T46" i="14" s="1"/>
  <c r="T45" i="14" s="1"/>
  <c r="I48" i="14"/>
  <c r="I47" i="14" s="1"/>
  <c r="I46" i="14" s="1"/>
  <c r="I45" i="14" s="1"/>
  <c r="G48" i="14"/>
  <c r="J48" i="14" s="1"/>
  <c r="F48" i="14"/>
  <c r="R47" i="14"/>
  <c r="R46" i="14" s="1"/>
  <c r="R45" i="14" s="1"/>
  <c r="P47" i="14"/>
  <c r="P46" i="14" s="1"/>
  <c r="P45" i="14" s="1"/>
  <c r="G47" i="14"/>
  <c r="G46" i="14" s="1"/>
  <c r="E47" i="14"/>
  <c r="F47" i="14" s="1"/>
  <c r="D47" i="14"/>
  <c r="D46" i="14" s="1"/>
  <c r="D45" i="14" s="1"/>
  <c r="J44" i="14"/>
  <c r="T44" i="14" s="1"/>
  <c r="G44" i="14"/>
  <c r="G42" i="14" s="1"/>
  <c r="H42" i="14" s="1"/>
  <c r="U43" i="14"/>
  <c r="R43" i="14"/>
  <c r="P43" i="14"/>
  <c r="N43" i="14"/>
  <c r="I43" i="14"/>
  <c r="T43" i="14" s="1"/>
  <c r="G43" i="14"/>
  <c r="K43" i="14" s="1"/>
  <c r="F43" i="14"/>
  <c r="L42" i="14"/>
  <c r="E42" i="14"/>
  <c r="F42" i="14" s="1"/>
  <c r="D42" i="14"/>
  <c r="U41" i="14"/>
  <c r="R41" i="14"/>
  <c r="P41" i="14"/>
  <c r="K41" i="14"/>
  <c r="J41" i="14"/>
  <c r="N41" i="14" s="1"/>
  <c r="H41" i="14"/>
  <c r="G41" i="14"/>
  <c r="F41" i="14"/>
  <c r="I40" i="14"/>
  <c r="G40" i="14"/>
  <c r="G39" i="14" s="1"/>
  <c r="H39" i="14" s="1"/>
  <c r="F40" i="14"/>
  <c r="L39" i="14"/>
  <c r="E39" i="14"/>
  <c r="F39" i="14" s="1"/>
  <c r="D39" i="14"/>
  <c r="G38" i="14"/>
  <c r="H38" i="14" s="1"/>
  <c r="F38" i="14"/>
  <c r="I37" i="14"/>
  <c r="G37" i="14"/>
  <c r="J37" i="14" s="1"/>
  <c r="F37" i="14"/>
  <c r="L36" i="14"/>
  <c r="E36" i="14"/>
  <c r="F36" i="14" s="1"/>
  <c r="D36" i="14"/>
  <c r="U35" i="14"/>
  <c r="N35" i="14"/>
  <c r="L35" i="14"/>
  <c r="K35" i="14"/>
  <c r="H35" i="14"/>
  <c r="G35" i="14"/>
  <c r="F35" i="14"/>
  <c r="N34" i="14"/>
  <c r="N33" i="14" s="1"/>
  <c r="L34" i="14"/>
  <c r="L33" i="14" s="1"/>
  <c r="I34" i="14"/>
  <c r="T34" i="14" s="1"/>
  <c r="G34" i="14"/>
  <c r="G33" i="14" s="1"/>
  <c r="H33" i="14" s="1"/>
  <c r="F34" i="14"/>
  <c r="R33" i="14"/>
  <c r="P33" i="14"/>
  <c r="J33" i="14"/>
  <c r="E33" i="14"/>
  <c r="E27" i="14" s="1"/>
  <c r="F27" i="14" s="1"/>
  <c r="D33" i="14"/>
  <c r="N32" i="14"/>
  <c r="L32" i="14"/>
  <c r="G32" i="14"/>
  <c r="U32" i="14" s="1"/>
  <c r="F32" i="14"/>
  <c r="U31" i="14"/>
  <c r="N31" i="14"/>
  <c r="L31" i="14"/>
  <c r="K31" i="14"/>
  <c r="I31" i="14"/>
  <c r="T31" i="14" s="1"/>
  <c r="H31" i="14"/>
  <c r="G31" i="14"/>
  <c r="F31" i="14"/>
  <c r="R30" i="14"/>
  <c r="P30" i="14"/>
  <c r="N30" i="14"/>
  <c r="L30" i="14"/>
  <c r="J30" i="14"/>
  <c r="G30" i="14"/>
  <c r="H30" i="14" s="1"/>
  <c r="E30" i="14"/>
  <c r="F30" i="14" s="1"/>
  <c r="D30" i="14"/>
  <c r="I29" i="14"/>
  <c r="G29" i="14"/>
  <c r="J29" i="14" s="1"/>
  <c r="F29" i="14"/>
  <c r="R28" i="14"/>
  <c r="P28" i="14"/>
  <c r="I28" i="14"/>
  <c r="G28" i="14"/>
  <c r="E28" i="14"/>
  <c r="F28" i="14" s="1"/>
  <c r="D28" i="14"/>
  <c r="D27" i="14" s="1"/>
  <c r="R26" i="14"/>
  <c r="P26" i="14"/>
  <c r="N26" i="14"/>
  <c r="L26" i="14"/>
  <c r="G26" i="14"/>
  <c r="U25" i="14"/>
  <c r="R25" i="14"/>
  <c r="R24" i="14" s="1"/>
  <c r="R23" i="14" s="1"/>
  <c r="P25" i="14"/>
  <c r="P24" i="14" s="1"/>
  <c r="P23" i="14" s="1"/>
  <c r="N25" i="14"/>
  <c r="N24" i="14" s="1"/>
  <c r="N23" i="14" s="1"/>
  <c r="L25" i="14"/>
  <c r="L24" i="14" s="1"/>
  <c r="L23" i="14" s="1"/>
  <c r="K25" i="14"/>
  <c r="I25" i="14"/>
  <c r="T25" i="14" s="1"/>
  <c r="H25" i="14"/>
  <c r="G25" i="14"/>
  <c r="G24" i="14" s="1"/>
  <c r="K24" i="14" s="1"/>
  <c r="F25" i="14"/>
  <c r="J24" i="14"/>
  <c r="J23" i="14" s="1"/>
  <c r="E24" i="14"/>
  <c r="E23" i="14" s="1"/>
  <c r="D24" i="14"/>
  <c r="D23" i="14" s="1"/>
  <c r="G22" i="14"/>
  <c r="H22" i="14" s="1"/>
  <c r="F22" i="14"/>
  <c r="J21" i="14"/>
  <c r="U21" i="14" s="1"/>
  <c r="I21" i="14"/>
  <c r="I20" i="14" s="1"/>
  <c r="H21" i="14"/>
  <c r="G21" i="14"/>
  <c r="G20" i="14" s="1"/>
  <c r="H20" i="14" s="1"/>
  <c r="F21" i="14"/>
  <c r="E20" i="14"/>
  <c r="D20" i="14"/>
  <c r="F20" i="14" s="1"/>
  <c r="S19" i="14"/>
  <c r="H19" i="14"/>
  <c r="G19" i="14"/>
  <c r="F19" i="14"/>
  <c r="S18" i="14"/>
  <c r="I18" i="14"/>
  <c r="I17" i="14" s="1"/>
  <c r="G18" i="14"/>
  <c r="G17" i="14" s="1"/>
  <c r="H17" i="14" s="1"/>
  <c r="F18" i="14"/>
  <c r="E17" i="14"/>
  <c r="D17" i="14"/>
  <c r="F17" i="14" s="1"/>
  <c r="E16" i="14"/>
  <c r="U11" i="14"/>
  <c r="R11" i="14"/>
  <c r="K11" i="14"/>
  <c r="J11" i="14"/>
  <c r="P11" i="14" s="1"/>
  <c r="H11" i="14"/>
  <c r="G11" i="14"/>
  <c r="F11" i="14"/>
  <c r="J10" i="14"/>
  <c r="U10" i="14" s="1"/>
  <c r="I10" i="14"/>
  <c r="H10" i="14"/>
  <c r="G10" i="14"/>
  <c r="F10" i="14"/>
  <c r="N9" i="14"/>
  <c r="L9" i="14"/>
  <c r="L8" i="14" s="1"/>
  <c r="L7" i="14" s="1"/>
  <c r="J9" i="14"/>
  <c r="G9" i="14"/>
  <c r="H9" i="14" s="1"/>
  <c r="F9" i="14"/>
  <c r="E9" i="14"/>
  <c r="D9" i="14"/>
  <c r="D8" i="14" s="1"/>
  <c r="D7" i="14" s="1"/>
  <c r="N8" i="14"/>
  <c r="N7" i="14" s="1"/>
  <c r="E8" i="14"/>
  <c r="F8" i="14" s="1"/>
  <c r="E7" i="14"/>
  <c r="F7" i="14" s="1"/>
  <c r="I68" i="13"/>
  <c r="I67" i="13" s="1"/>
  <c r="I65" i="13"/>
  <c r="I64" i="13" s="1"/>
  <c r="I63" i="13" s="1"/>
  <c r="I61" i="13" s="1"/>
  <c r="I60" i="13"/>
  <c r="I59" i="13" s="1"/>
  <c r="I57" i="13"/>
  <c r="I56" i="13" s="1"/>
  <c r="I54" i="13"/>
  <c r="I53" i="13" s="1"/>
  <c r="I52" i="13" s="1"/>
  <c r="I51" i="13" s="1"/>
  <c r="I48" i="13"/>
  <c r="I47" i="13" s="1"/>
  <c r="I46" i="13" s="1"/>
  <c r="I45" i="13" s="1"/>
  <c r="I43" i="13"/>
  <c r="I42" i="13" s="1"/>
  <c r="I40" i="13"/>
  <c r="I39" i="13" s="1"/>
  <c r="I37" i="13"/>
  <c r="I36" i="13" s="1"/>
  <c r="I34" i="13"/>
  <c r="I33" i="13" s="1"/>
  <c r="I31" i="13"/>
  <c r="I30" i="13" s="1"/>
  <c r="I29" i="13"/>
  <c r="T29" i="13" s="1"/>
  <c r="T28" i="13" s="1"/>
  <c r="I25" i="13"/>
  <c r="I24" i="13" s="1"/>
  <c r="I23" i="13" s="1"/>
  <c r="I21" i="13"/>
  <c r="I20" i="13" s="1"/>
  <c r="I18" i="13"/>
  <c r="I17" i="13" s="1"/>
  <c r="I10" i="13"/>
  <c r="I9" i="13" s="1"/>
  <c r="I8" i="13" s="1"/>
  <c r="I7" i="13" s="1"/>
  <c r="T69" i="13"/>
  <c r="G69" i="13"/>
  <c r="T67" i="13"/>
  <c r="L68" i="13"/>
  <c r="L67" i="13" s="1"/>
  <c r="G68" i="13"/>
  <c r="K68" i="13" s="1"/>
  <c r="F68" i="13"/>
  <c r="R67" i="13"/>
  <c r="P67" i="13"/>
  <c r="N67" i="13"/>
  <c r="J67" i="13"/>
  <c r="E67" i="13"/>
  <c r="D67" i="13"/>
  <c r="T66" i="13"/>
  <c r="G66" i="13"/>
  <c r="U66" i="13" s="1"/>
  <c r="T65" i="13"/>
  <c r="T64" i="13" s="1"/>
  <c r="T63" i="13" s="1"/>
  <c r="T61" i="13" s="1"/>
  <c r="R65" i="13"/>
  <c r="R64" i="13" s="1"/>
  <c r="R63" i="13" s="1"/>
  <c r="R61" i="13" s="1"/>
  <c r="G65" i="13"/>
  <c r="H65" i="13" s="1"/>
  <c r="F65" i="13"/>
  <c r="P64" i="13"/>
  <c r="P63" i="13" s="1"/>
  <c r="P61" i="13" s="1"/>
  <c r="N64" i="13"/>
  <c r="N63" i="13" s="1"/>
  <c r="N61" i="13" s="1"/>
  <c r="L64" i="13"/>
  <c r="L63" i="13" s="1"/>
  <c r="L61" i="13" s="1"/>
  <c r="J64" i="13"/>
  <c r="J63" i="13" s="1"/>
  <c r="E64" i="13"/>
  <c r="E63" i="13" s="1"/>
  <c r="D64" i="13"/>
  <c r="D63" i="13" s="1"/>
  <c r="D61" i="13" s="1"/>
  <c r="U62" i="13"/>
  <c r="G60" i="13"/>
  <c r="J60" i="13" s="1"/>
  <c r="T60" i="13" s="1"/>
  <c r="F60" i="13"/>
  <c r="N59" i="13"/>
  <c r="L59" i="13"/>
  <c r="E59" i="13"/>
  <c r="D59" i="13"/>
  <c r="U57" i="13"/>
  <c r="R57" i="13"/>
  <c r="R56" i="13" s="1"/>
  <c r="K57" i="13"/>
  <c r="H57" i="13"/>
  <c r="F57" i="13"/>
  <c r="T56" i="13"/>
  <c r="P56" i="13"/>
  <c r="N56" i="13"/>
  <c r="L56" i="13"/>
  <c r="J56" i="13"/>
  <c r="G56" i="13"/>
  <c r="E56" i="13"/>
  <c r="D56" i="13"/>
  <c r="R55" i="13"/>
  <c r="P55" i="13"/>
  <c r="G55" i="13"/>
  <c r="U55" i="13" s="1"/>
  <c r="F55" i="13"/>
  <c r="R54" i="13"/>
  <c r="P54" i="13"/>
  <c r="G54" i="13"/>
  <c r="H54" i="13" s="1"/>
  <c r="F54" i="13"/>
  <c r="N53" i="13"/>
  <c r="N52" i="13" s="1"/>
  <c r="N51" i="13" s="1"/>
  <c r="L53" i="13"/>
  <c r="J53" i="13"/>
  <c r="J52" i="13" s="1"/>
  <c r="E53" i="13"/>
  <c r="D53" i="13"/>
  <c r="D52" i="13" s="1"/>
  <c r="D51" i="13" s="1"/>
  <c r="L52" i="13"/>
  <c r="L51" i="13" s="1"/>
  <c r="E52" i="13"/>
  <c r="G49" i="13"/>
  <c r="H49" i="13" s="1"/>
  <c r="F49" i="13"/>
  <c r="G48" i="13"/>
  <c r="H48" i="13" s="1"/>
  <c r="F48" i="13"/>
  <c r="R47" i="13"/>
  <c r="P47" i="13"/>
  <c r="P46" i="13" s="1"/>
  <c r="P45" i="13" s="1"/>
  <c r="E47" i="13"/>
  <c r="E46" i="13" s="1"/>
  <c r="D47" i="13"/>
  <c r="D46" i="13" s="1"/>
  <c r="D45" i="13" s="1"/>
  <c r="R46" i="13"/>
  <c r="R45" i="13" s="1"/>
  <c r="G44" i="13"/>
  <c r="R43" i="13"/>
  <c r="P43" i="13"/>
  <c r="N43" i="13"/>
  <c r="G43" i="13"/>
  <c r="J44" i="13" s="1"/>
  <c r="T44" i="13" s="1"/>
  <c r="F43" i="13"/>
  <c r="L42" i="13"/>
  <c r="E42" i="13"/>
  <c r="D42" i="13"/>
  <c r="G41" i="13"/>
  <c r="J41" i="13" s="1"/>
  <c r="F41" i="13"/>
  <c r="G40" i="13"/>
  <c r="F40" i="13"/>
  <c r="L39" i="13"/>
  <c r="E39" i="13"/>
  <c r="D39" i="13"/>
  <c r="G38" i="13"/>
  <c r="J38" i="13" s="1"/>
  <c r="T38" i="13" s="1"/>
  <c r="F38" i="13"/>
  <c r="G37" i="13"/>
  <c r="J37" i="13" s="1"/>
  <c r="F37" i="13"/>
  <c r="L36" i="13"/>
  <c r="E36" i="13"/>
  <c r="F36" i="13" s="1"/>
  <c r="D36" i="13"/>
  <c r="N35" i="13"/>
  <c r="L35" i="13"/>
  <c r="G35" i="13"/>
  <c r="U35" i="13" s="1"/>
  <c r="F35" i="13"/>
  <c r="T33" i="13"/>
  <c r="N34" i="13"/>
  <c r="N33" i="13" s="1"/>
  <c r="L34" i="13"/>
  <c r="L33" i="13" s="1"/>
  <c r="G34" i="13"/>
  <c r="K34" i="13" s="1"/>
  <c r="F34" i="13"/>
  <c r="R33" i="13"/>
  <c r="P33" i="13"/>
  <c r="J33" i="13"/>
  <c r="E33" i="13"/>
  <c r="D33" i="13"/>
  <c r="N32" i="13"/>
  <c r="L32" i="13"/>
  <c r="G32" i="13"/>
  <c r="H32" i="13" s="1"/>
  <c r="F32" i="13"/>
  <c r="N31" i="13"/>
  <c r="L31" i="13"/>
  <c r="G31" i="13"/>
  <c r="U31" i="13" s="1"/>
  <c r="F31" i="13"/>
  <c r="R30" i="13"/>
  <c r="P30" i="13"/>
  <c r="J30" i="13"/>
  <c r="E30" i="13"/>
  <c r="D30" i="13"/>
  <c r="G29" i="13"/>
  <c r="G28" i="13" s="1"/>
  <c r="F29" i="13"/>
  <c r="R28" i="13"/>
  <c r="P28" i="13"/>
  <c r="E28" i="13"/>
  <c r="D28" i="13"/>
  <c r="R26" i="13"/>
  <c r="P26" i="13"/>
  <c r="N26" i="13"/>
  <c r="L26" i="13"/>
  <c r="G26" i="13"/>
  <c r="R25" i="13"/>
  <c r="P25" i="13"/>
  <c r="N25" i="13"/>
  <c r="L25" i="13"/>
  <c r="K25" i="13"/>
  <c r="G25" i="13"/>
  <c r="U25" i="13" s="1"/>
  <c r="F25" i="13"/>
  <c r="J24" i="13"/>
  <c r="E24" i="13"/>
  <c r="E23" i="13" s="1"/>
  <c r="D24" i="13"/>
  <c r="D23" i="13" s="1"/>
  <c r="J22" i="13"/>
  <c r="G22" i="13"/>
  <c r="H22" i="13" s="1"/>
  <c r="F22" i="13"/>
  <c r="G21" i="13"/>
  <c r="J21" i="13" s="1"/>
  <c r="F21" i="13"/>
  <c r="E20" i="13"/>
  <c r="D20" i="13"/>
  <c r="S19" i="13"/>
  <c r="G19" i="13"/>
  <c r="H19" i="13" s="1"/>
  <c r="F19" i="13"/>
  <c r="S18" i="13"/>
  <c r="G18" i="13"/>
  <c r="H18" i="13" s="1"/>
  <c r="F18" i="13"/>
  <c r="E17" i="13"/>
  <c r="D17" i="13"/>
  <c r="G11" i="13"/>
  <c r="J11" i="13" s="1"/>
  <c r="T11" i="13" s="1"/>
  <c r="F11" i="13"/>
  <c r="G10" i="13"/>
  <c r="F10" i="13"/>
  <c r="N9" i="13"/>
  <c r="N8" i="13" s="1"/>
  <c r="N7" i="13" s="1"/>
  <c r="L9" i="13"/>
  <c r="L8" i="13" s="1"/>
  <c r="L7" i="13" s="1"/>
  <c r="E9" i="13"/>
  <c r="D9" i="13"/>
  <c r="D8" i="13" s="1"/>
  <c r="D7" i="13" s="1"/>
  <c r="N37" i="14" l="1"/>
  <c r="P37" i="14"/>
  <c r="U37" i="14"/>
  <c r="R37" i="14"/>
  <c r="L58" i="14"/>
  <c r="K64" i="14"/>
  <c r="G63" i="14"/>
  <c r="U64" i="14"/>
  <c r="U60" i="14"/>
  <c r="J59" i="14"/>
  <c r="K60" i="14"/>
  <c r="N48" i="14"/>
  <c r="U48" i="14"/>
  <c r="N29" i="14"/>
  <c r="N28" i="14" s="1"/>
  <c r="U29" i="14"/>
  <c r="L29" i="14"/>
  <c r="L28" i="14" s="1"/>
  <c r="L27" i="14" s="1"/>
  <c r="J28" i="14"/>
  <c r="U28" i="14" s="1"/>
  <c r="J61" i="14"/>
  <c r="U63" i="14"/>
  <c r="N49" i="15"/>
  <c r="N48" i="15" s="1"/>
  <c r="N47" i="15" s="1"/>
  <c r="N45" i="15" s="1"/>
  <c r="F23" i="14"/>
  <c r="H32" i="14"/>
  <c r="H40" i="14"/>
  <c r="K32" i="14"/>
  <c r="L17" i="15"/>
  <c r="F20" i="13"/>
  <c r="J40" i="14"/>
  <c r="U69" i="14"/>
  <c r="K56" i="14"/>
  <c r="K68" i="14"/>
  <c r="U66" i="15"/>
  <c r="K69" i="15"/>
  <c r="D12" i="18"/>
  <c r="E12" i="18"/>
  <c r="B54" i="22"/>
  <c r="B53" i="22" s="1"/>
  <c r="B52" i="22" s="1"/>
  <c r="B51" i="22" s="1"/>
  <c r="D55" i="22"/>
  <c r="J19" i="14"/>
  <c r="L51" i="15"/>
  <c r="G65" i="15"/>
  <c r="H65" i="15" s="1"/>
  <c r="B54" i="16"/>
  <c r="B53" i="16" s="1"/>
  <c r="B52" i="16" s="1"/>
  <c r="B51" i="16" s="1"/>
  <c r="F66" i="16"/>
  <c r="F65" i="16" s="1"/>
  <c r="F64" i="16" s="1"/>
  <c r="G45" i="15"/>
  <c r="B38" i="22"/>
  <c r="B38" i="16"/>
  <c r="B50" i="22"/>
  <c r="D50" i="22" s="1"/>
  <c r="B50" i="16"/>
  <c r="G53" i="14"/>
  <c r="K53" i="14" s="1"/>
  <c r="P12" i="18"/>
  <c r="J18" i="14"/>
  <c r="F24" i="14"/>
  <c r="N44" i="14"/>
  <c r="N42" i="14" s="1"/>
  <c r="K55" i="14"/>
  <c r="R39" i="15"/>
  <c r="B19" i="19"/>
  <c r="Q19" i="19" s="1"/>
  <c r="B14" i="22"/>
  <c r="U34" i="13"/>
  <c r="D16" i="14"/>
  <c r="D15" i="14" s="1"/>
  <c r="D14" i="14" s="1"/>
  <c r="D13" i="14" s="1"/>
  <c r="D12" i="14" s="1"/>
  <c r="D6" i="14" s="1"/>
  <c r="D5" i="14" s="1"/>
  <c r="D70" i="14" s="1"/>
  <c r="J22" i="14"/>
  <c r="K34" i="14"/>
  <c r="J42" i="14"/>
  <c r="U42" i="14" s="1"/>
  <c r="P44" i="14"/>
  <c r="P42" i="14" s="1"/>
  <c r="T36" i="15"/>
  <c r="B36" i="22"/>
  <c r="B36" i="16"/>
  <c r="K23" i="15"/>
  <c r="B28" i="18"/>
  <c r="B27" i="18" s="1"/>
  <c r="K21" i="19"/>
  <c r="T9" i="15"/>
  <c r="T8" i="15" s="1"/>
  <c r="T7" i="15" s="1"/>
  <c r="B9" i="22"/>
  <c r="B9" i="16"/>
  <c r="D67" i="22"/>
  <c r="D66" i="22" s="1"/>
  <c r="D65" i="22" s="1"/>
  <c r="D64" i="22" s="1"/>
  <c r="B66" i="22"/>
  <c r="B65" i="22" s="1"/>
  <c r="B64" i="22" s="1"/>
  <c r="L21" i="14"/>
  <c r="T61" i="15"/>
  <c r="T60" i="15" s="1"/>
  <c r="B61" i="22"/>
  <c r="B61" i="16"/>
  <c r="G36" i="14"/>
  <c r="H36" i="14" s="1"/>
  <c r="K44" i="14"/>
  <c r="H55" i="14"/>
  <c r="U44" i="14"/>
  <c r="H29" i="14"/>
  <c r="F33" i="14"/>
  <c r="U34" i="14"/>
  <c r="H48" i="14"/>
  <c r="H60" i="14"/>
  <c r="P9" i="15"/>
  <c r="P8" i="15" s="1"/>
  <c r="P7" i="15" s="1"/>
  <c r="N51" i="15"/>
  <c r="E39" i="20"/>
  <c r="D39" i="20"/>
  <c r="Q39" i="20" s="1"/>
  <c r="Q58" i="18"/>
  <c r="K50" i="15"/>
  <c r="J49" i="15"/>
  <c r="H34" i="14"/>
  <c r="E15" i="22"/>
  <c r="D14" i="22"/>
  <c r="D13" i="22" s="1"/>
  <c r="D12" i="22" s="1"/>
  <c r="D11" i="22" s="1"/>
  <c r="H65" i="14"/>
  <c r="T29" i="14"/>
  <c r="H18" i="14"/>
  <c r="F63" i="14"/>
  <c r="K9" i="14"/>
  <c r="E52" i="14"/>
  <c r="K65" i="14"/>
  <c r="T42" i="15"/>
  <c r="B42" i="22"/>
  <c r="B42" i="16"/>
  <c r="B28" i="22"/>
  <c r="D29" i="22"/>
  <c r="D28" i="22" s="1"/>
  <c r="U10" i="15"/>
  <c r="P10" i="15"/>
  <c r="D16" i="13"/>
  <c r="D15" i="13" s="1"/>
  <c r="D14" i="13" s="1"/>
  <c r="D13" i="13" s="1"/>
  <c r="F52" i="13"/>
  <c r="T10" i="14"/>
  <c r="H37" i="14"/>
  <c r="H43" i="14"/>
  <c r="L20" i="15"/>
  <c r="H20" i="15"/>
  <c r="D27" i="22"/>
  <c r="D26" i="22" s="1"/>
  <c r="B26" i="22"/>
  <c r="K18" i="15"/>
  <c r="J38" i="14"/>
  <c r="N38" i="14" s="1"/>
  <c r="N36" i="14" s="1"/>
  <c r="U9" i="14"/>
  <c r="R44" i="14"/>
  <c r="R42" i="14" s="1"/>
  <c r="G8" i="14"/>
  <c r="G7" i="14" s="1"/>
  <c r="J20" i="14"/>
  <c r="U20" i="14" s="1"/>
  <c r="E46" i="14"/>
  <c r="D70" i="22"/>
  <c r="D69" i="22" s="1"/>
  <c r="B69" i="22"/>
  <c r="U33" i="14"/>
  <c r="T37" i="14"/>
  <c r="R9" i="15"/>
  <c r="R8" i="15" s="1"/>
  <c r="R7" i="15" s="1"/>
  <c r="K33" i="14"/>
  <c r="L50" i="14"/>
  <c r="U65" i="14"/>
  <c r="T50" i="15"/>
  <c r="R18" i="15"/>
  <c r="R17" i="15" s="1"/>
  <c r="E51" i="16"/>
  <c r="B22" i="22"/>
  <c r="B21" i="22" s="1"/>
  <c r="D22" i="22"/>
  <c r="D21" i="22" s="1"/>
  <c r="B39" i="22"/>
  <c r="D39" i="22" s="1"/>
  <c r="B39" i="16"/>
  <c r="B35" i="18" s="1"/>
  <c r="K35" i="18" s="1"/>
  <c r="K35" i="17" s="1"/>
  <c r="U55" i="15"/>
  <c r="N18" i="15"/>
  <c r="N17" i="15" s="1"/>
  <c r="B15" i="16"/>
  <c r="B14" i="16" s="1"/>
  <c r="B13" i="16" s="1"/>
  <c r="B12" i="16" s="1"/>
  <c r="B11" i="16" s="1"/>
  <c r="K49" i="17"/>
  <c r="O48" i="18"/>
  <c r="O47" i="18" s="1"/>
  <c r="O46" i="18" s="1"/>
  <c r="O9" i="18" s="1"/>
  <c r="O4" i="18" s="1"/>
  <c r="O3" i="18" s="1"/>
  <c r="O61" i="18" s="1"/>
  <c r="Q101" i="18" s="1"/>
  <c r="K48" i="18"/>
  <c r="Q49" i="20"/>
  <c r="Q49" i="19"/>
  <c r="O49" i="17"/>
  <c r="Q49" i="17" s="1"/>
  <c r="K48" i="19"/>
  <c r="Q48" i="19" s="1"/>
  <c r="O48" i="19"/>
  <c r="T60" i="14"/>
  <c r="I9" i="14"/>
  <c r="T9" i="14" s="1"/>
  <c r="Q49" i="21"/>
  <c r="G3" i="19"/>
  <c r="E39" i="18"/>
  <c r="D39" i="18"/>
  <c r="F54" i="16"/>
  <c r="F53" i="16" s="1"/>
  <c r="F52" i="16" s="1"/>
  <c r="F51" i="16" s="1"/>
  <c r="I12" i="15"/>
  <c r="I6" i="15" s="1"/>
  <c r="I5" i="15" s="1"/>
  <c r="I72" i="15" s="1"/>
  <c r="B25" i="19"/>
  <c r="Q25" i="19" s="1"/>
  <c r="D29" i="16"/>
  <c r="C28" i="16"/>
  <c r="B24" i="18"/>
  <c r="Q25" i="18"/>
  <c r="C69" i="16"/>
  <c r="B59" i="19"/>
  <c r="D70" i="16"/>
  <c r="Q7" i="18"/>
  <c r="B13" i="19"/>
  <c r="D16" i="16"/>
  <c r="B20" i="19"/>
  <c r="Q20" i="19" s="1"/>
  <c r="D24" i="16"/>
  <c r="B26" i="21"/>
  <c r="Q26" i="21" s="1"/>
  <c r="D37" i="16"/>
  <c r="B35" i="20"/>
  <c r="K35" i="20" s="1"/>
  <c r="E39" i="16"/>
  <c r="B35" i="21" s="1"/>
  <c r="K35" i="21" s="1"/>
  <c r="B28" i="20"/>
  <c r="E32" i="16"/>
  <c r="B28" i="21" s="1"/>
  <c r="B40" i="21"/>
  <c r="B39" i="21" s="1"/>
  <c r="C18" i="18"/>
  <c r="Q18" i="18" s="1"/>
  <c r="D18" i="18"/>
  <c r="L18" i="18"/>
  <c r="E47" i="18"/>
  <c r="E46" i="18" s="1"/>
  <c r="B46" i="18"/>
  <c r="B16" i="19"/>
  <c r="Q16" i="19" s="1"/>
  <c r="D19" i="16"/>
  <c r="C20" i="16"/>
  <c r="B31" i="19"/>
  <c r="D35" i="16"/>
  <c r="Q50" i="21"/>
  <c r="L50" i="21"/>
  <c r="C15" i="16"/>
  <c r="F39" i="16"/>
  <c r="B35" i="17" s="1"/>
  <c r="B14" i="19"/>
  <c r="D17" i="16"/>
  <c r="L27" i="18"/>
  <c r="C27" i="18"/>
  <c r="Q27" i="18" s="1"/>
  <c r="D27" i="18"/>
  <c r="D15" i="18"/>
  <c r="L15" i="18"/>
  <c r="C15" i="18"/>
  <c r="B19" i="20"/>
  <c r="E23" i="16"/>
  <c r="C22" i="16"/>
  <c r="C21" i="16" s="1"/>
  <c r="F30" i="16"/>
  <c r="B26" i="17" s="1"/>
  <c r="Q26" i="17" s="1"/>
  <c r="D33" i="16"/>
  <c r="B29" i="19"/>
  <c r="B27" i="19" s="1"/>
  <c r="F44" i="16"/>
  <c r="K48" i="21"/>
  <c r="K47" i="21" s="1"/>
  <c r="K46" i="21" s="1"/>
  <c r="O47" i="21"/>
  <c r="O46" i="21" s="1"/>
  <c r="B47" i="21"/>
  <c r="O47" i="20"/>
  <c r="O46" i="20" s="1"/>
  <c r="B47" i="19"/>
  <c r="B37" i="20"/>
  <c r="E41" i="16"/>
  <c r="B34" i="20"/>
  <c r="E38" i="16"/>
  <c r="E33" i="19"/>
  <c r="D33" i="19"/>
  <c r="Q33" i="19" s="1"/>
  <c r="K47" i="20"/>
  <c r="B7" i="19"/>
  <c r="Q7" i="19" s="1"/>
  <c r="D8" i="16"/>
  <c r="E47" i="20"/>
  <c r="B46" i="20"/>
  <c r="B11" i="18"/>
  <c r="B10" i="18" s="1"/>
  <c r="Q100" i="17"/>
  <c r="B47" i="17"/>
  <c r="G9" i="17"/>
  <c r="G4" i="17" s="1"/>
  <c r="G3" i="17" s="1"/>
  <c r="G61" i="17" s="1"/>
  <c r="Q97" i="17" s="1"/>
  <c r="T18" i="14"/>
  <c r="I39" i="14"/>
  <c r="I33" i="14"/>
  <c r="T33" i="14" s="1"/>
  <c r="T28" i="15"/>
  <c r="B27" i="16"/>
  <c r="I30" i="14"/>
  <c r="T30" i="14" s="1"/>
  <c r="I24" i="14"/>
  <c r="T24" i="14" s="1"/>
  <c r="I36" i="14"/>
  <c r="I42" i="14"/>
  <c r="T42" i="14" s="1"/>
  <c r="H33" i="15"/>
  <c r="U33" i="15"/>
  <c r="N20" i="15"/>
  <c r="G63" i="15"/>
  <c r="H63" i="15" s="1"/>
  <c r="U37" i="15"/>
  <c r="N37" i="15"/>
  <c r="N36" i="15" s="1"/>
  <c r="N27" i="15" s="1"/>
  <c r="H61" i="15"/>
  <c r="G27" i="15"/>
  <c r="H27" i="15" s="1"/>
  <c r="U17" i="15"/>
  <c r="K17" i="15"/>
  <c r="J36" i="15"/>
  <c r="J27" i="15" s="1"/>
  <c r="R37" i="15"/>
  <c r="R36" i="15" s="1"/>
  <c r="R27" i="15" s="1"/>
  <c r="L49" i="15"/>
  <c r="L48" i="15" s="1"/>
  <c r="L47" i="15" s="1"/>
  <c r="L45" i="15" s="1"/>
  <c r="H39" i="15"/>
  <c r="P17" i="15"/>
  <c r="K33" i="15"/>
  <c r="U61" i="15"/>
  <c r="J60" i="15"/>
  <c r="K61" i="15"/>
  <c r="R20" i="15"/>
  <c r="K37" i="15"/>
  <c r="N29" i="15"/>
  <c r="N28" i="15" s="1"/>
  <c r="K39" i="15"/>
  <c r="P39" i="15"/>
  <c r="P27" i="15" s="1"/>
  <c r="E13" i="15"/>
  <c r="F14" i="15"/>
  <c r="G7" i="15"/>
  <c r="H8" i="15"/>
  <c r="P20" i="15"/>
  <c r="K9" i="15"/>
  <c r="J8" i="15"/>
  <c r="U9" i="15"/>
  <c r="U20" i="15"/>
  <c r="J16" i="15"/>
  <c r="K20" i="15"/>
  <c r="G15" i="15"/>
  <c r="G53" i="15"/>
  <c r="K53" i="15" s="1"/>
  <c r="H54" i="15"/>
  <c r="T39" i="15"/>
  <c r="K54" i="15"/>
  <c r="J52" i="15"/>
  <c r="U53" i="15"/>
  <c r="U23" i="15"/>
  <c r="U32" i="13"/>
  <c r="F67" i="13"/>
  <c r="H25" i="13"/>
  <c r="J48" i="13"/>
  <c r="N30" i="13"/>
  <c r="N58" i="13"/>
  <c r="G59" i="13"/>
  <c r="H59" i="13" s="1"/>
  <c r="P53" i="13"/>
  <c r="P52" i="13" s="1"/>
  <c r="P51" i="13" s="1"/>
  <c r="P50" i="13" s="1"/>
  <c r="L48" i="13"/>
  <c r="T48" i="13"/>
  <c r="T47" i="13" s="1"/>
  <c r="T46" i="13" s="1"/>
  <c r="T45" i="13" s="1"/>
  <c r="G9" i="13"/>
  <c r="H9" i="13" s="1"/>
  <c r="U43" i="13"/>
  <c r="J49" i="13"/>
  <c r="T49" i="13" s="1"/>
  <c r="I50" i="13"/>
  <c r="G42" i="13"/>
  <c r="H42" i="13" s="1"/>
  <c r="E51" i="13"/>
  <c r="F51" i="13" s="1"/>
  <c r="L24" i="13"/>
  <c r="L23" i="13" s="1"/>
  <c r="G36" i="13"/>
  <c r="H36" i="13" s="1"/>
  <c r="U41" i="13"/>
  <c r="T41" i="13"/>
  <c r="I58" i="13"/>
  <c r="N24" i="13"/>
  <c r="N23" i="13" s="1"/>
  <c r="P24" i="13"/>
  <c r="P23" i="13" s="1"/>
  <c r="F53" i="13"/>
  <c r="I28" i="13"/>
  <c r="I27" i="13" s="1"/>
  <c r="I16" i="13"/>
  <c r="I15" i="13" s="1"/>
  <c r="I14" i="13" s="1"/>
  <c r="I13" i="13" s="1"/>
  <c r="I58" i="14"/>
  <c r="I67" i="14"/>
  <c r="T67" i="14" s="1"/>
  <c r="T21" i="14"/>
  <c r="I16" i="14"/>
  <c r="U30" i="14"/>
  <c r="I53" i="14"/>
  <c r="K30" i="14"/>
  <c r="I56" i="14"/>
  <c r="T56" i="14" s="1"/>
  <c r="H7" i="14"/>
  <c r="H46" i="14"/>
  <c r="G45" i="14"/>
  <c r="H45" i="14" s="1"/>
  <c r="H8" i="14"/>
  <c r="G23" i="14"/>
  <c r="U24" i="14"/>
  <c r="H28" i="14"/>
  <c r="H47" i="14"/>
  <c r="K49" i="14"/>
  <c r="G52" i="14"/>
  <c r="U53" i="14"/>
  <c r="P60" i="14"/>
  <c r="P59" i="14" s="1"/>
  <c r="P58" i="14" s="1"/>
  <c r="U67" i="14"/>
  <c r="L49" i="14"/>
  <c r="R60" i="14"/>
  <c r="H64" i="14"/>
  <c r="J8" i="14"/>
  <c r="E15" i="14"/>
  <c r="J47" i="14"/>
  <c r="N49" i="14"/>
  <c r="K63" i="14"/>
  <c r="K21" i="14"/>
  <c r="H24" i="14"/>
  <c r="K29" i="14"/>
  <c r="K38" i="14"/>
  <c r="K42" i="14"/>
  <c r="K48" i="14"/>
  <c r="H53" i="14"/>
  <c r="H67" i="14"/>
  <c r="L48" i="14"/>
  <c r="K10" i="14"/>
  <c r="N21" i="14"/>
  <c r="K37" i="14"/>
  <c r="P38" i="14"/>
  <c r="P36" i="14" s="1"/>
  <c r="E61" i="14"/>
  <c r="P10" i="14"/>
  <c r="P9" i="14" s="1"/>
  <c r="P8" i="14" s="1"/>
  <c r="P7" i="14" s="1"/>
  <c r="G16" i="14"/>
  <c r="P21" i="14"/>
  <c r="R10" i="14"/>
  <c r="R21" i="14"/>
  <c r="F28" i="13"/>
  <c r="U22" i="13"/>
  <c r="K31" i="13"/>
  <c r="F33" i="13"/>
  <c r="F42" i="13"/>
  <c r="K54" i="13"/>
  <c r="K56" i="13"/>
  <c r="F63" i="13"/>
  <c r="J18" i="13"/>
  <c r="P18" i="13" s="1"/>
  <c r="H35" i="13"/>
  <c r="R53" i="13"/>
  <c r="R52" i="13" s="1"/>
  <c r="R51" i="13" s="1"/>
  <c r="R50" i="13" s="1"/>
  <c r="U65" i="13"/>
  <c r="T30" i="13"/>
  <c r="U54" i="13"/>
  <c r="F64" i="13"/>
  <c r="U68" i="13"/>
  <c r="G24" i="13"/>
  <c r="K24" i="13" s="1"/>
  <c r="F39" i="13"/>
  <c r="G64" i="13"/>
  <c r="H64" i="13" s="1"/>
  <c r="G67" i="13"/>
  <c r="H67" i="13" s="1"/>
  <c r="F9" i="13"/>
  <c r="F56" i="13"/>
  <c r="D58" i="13"/>
  <c r="H11" i="13"/>
  <c r="D27" i="13"/>
  <c r="H43" i="13"/>
  <c r="D50" i="13"/>
  <c r="G53" i="13"/>
  <c r="H53" i="13" s="1"/>
  <c r="U56" i="13"/>
  <c r="H56" i="13"/>
  <c r="E8" i="13"/>
  <c r="E7" i="13" s="1"/>
  <c r="F7" i="13" s="1"/>
  <c r="E27" i="13"/>
  <c r="K32" i="13"/>
  <c r="K43" i="13"/>
  <c r="L30" i="13"/>
  <c r="G39" i="13"/>
  <c r="H39" i="13" s="1"/>
  <c r="K65" i="13"/>
  <c r="F17" i="13"/>
  <c r="R24" i="13"/>
  <c r="R23" i="13" s="1"/>
  <c r="H40" i="13"/>
  <c r="L50" i="13"/>
  <c r="L58" i="13"/>
  <c r="E61" i="13"/>
  <c r="F61" i="13" s="1"/>
  <c r="N50" i="13"/>
  <c r="F46" i="13"/>
  <c r="E45" i="13"/>
  <c r="F45" i="13" s="1"/>
  <c r="T20" i="13"/>
  <c r="U21" i="13"/>
  <c r="R21" i="13"/>
  <c r="P21" i="13"/>
  <c r="U11" i="13"/>
  <c r="R11" i="13"/>
  <c r="P11" i="13"/>
  <c r="K11" i="13"/>
  <c r="P44" i="13"/>
  <c r="P42" i="13" s="1"/>
  <c r="N44" i="13"/>
  <c r="N42" i="13" s="1"/>
  <c r="R44" i="13"/>
  <c r="K44" i="13"/>
  <c r="J42" i="13"/>
  <c r="U44" i="13"/>
  <c r="H28" i="13"/>
  <c r="P37" i="13"/>
  <c r="N37" i="13"/>
  <c r="K37" i="13"/>
  <c r="U37" i="13"/>
  <c r="R37" i="13"/>
  <c r="U60" i="13"/>
  <c r="R60" i="13"/>
  <c r="P60" i="13"/>
  <c r="P59" i="13" s="1"/>
  <c r="P58" i="13" s="1"/>
  <c r="J59" i="13"/>
  <c r="K60" i="13"/>
  <c r="U38" i="13"/>
  <c r="R38" i="13"/>
  <c r="T24" i="13"/>
  <c r="T23" i="13" s="1"/>
  <c r="N48" i="13"/>
  <c r="F24" i="13"/>
  <c r="J10" i="13"/>
  <c r="K10" i="13" s="1"/>
  <c r="E16" i="13"/>
  <c r="G20" i="13"/>
  <c r="H20" i="13" s="1"/>
  <c r="R22" i="13"/>
  <c r="F30" i="13"/>
  <c r="F47" i="13"/>
  <c r="J61" i="13"/>
  <c r="U18" i="13"/>
  <c r="G30" i="13"/>
  <c r="H31" i="13"/>
  <c r="G47" i="13"/>
  <c r="T53" i="13"/>
  <c r="T52" i="13" s="1"/>
  <c r="T51" i="13" s="1"/>
  <c r="T50" i="13" s="1"/>
  <c r="F59" i="13"/>
  <c r="H60" i="13"/>
  <c r="H21" i="13"/>
  <c r="H29" i="13"/>
  <c r="K35" i="13"/>
  <c r="H38" i="13"/>
  <c r="J40" i="13"/>
  <c r="J39" i="13" s="1"/>
  <c r="T42" i="13"/>
  <c r="K66" i="13"/>
  <c r="U69" i="13"/>
  <c r="H10" i="13"/>
  <c r="J23" i="13"/>
  <c r="J29" i="13"/>
  <c r="J19" i="13"/>
  <c r="H37" i="13"/>
  <c r="K49" i="13"/>
  <c r="H55" i="13"/>
  <c r="G17" i="13"/>
  <c r="G33" i="13"/>
  <c r="H33" i="13" s="1"/>
  <c r="H34" i="13"/>
  <c r="L49" i="13"/>
  <c r="K55" i="13"/>
  <c r="H41" i="13"/>
  <c r="N49" i="13"/>
  <c r="H68" i="13"/>
  <c r="K41" i="13"/>
  <c r="U48" i="13"/>
  <c r="K18" i="13"/>
  <c r="K22" i="13"/>
  <c r="P41" i="13"/>
  <c r="J20" i="13"/>
  <c r="K21" i="13"/>
  <c r="L22" i="13"/>
  <c r="K38" i="13"/>
  <c r="R41" i="13"/>
  <c r="J51" i="13"/>
  <c r="L21" i="13"/>
  <c r="N22" i="13"/>
  <c r="N38" i="13"/>
  <c r="N36" i="13" s="1"/>
  <c r="F23" i="13"/>
  <c r="N41" i="13"/>
  <c r="N21" i="13"/>
  <c r="P22" i="13"/>
  <c r="J36" i="13"/>
  <c r="P38" i="13"/>
  <c r="J47" i="13"/>
  <c r="K48" i="13"/>
  <c r="N27" i="14" l="1"/>
  <c r="J39" i="14"/>
  <c r="U40" i="14"/>
  <c r="R40" i="14"/>
  <c r="R39" i="14" s="1"/>
  <c r="P40" i="14"/>
  <c r="P39" i="14" s="1"/>
  <c r="P27" i="14" s="1"/>
  <c r="N40" i="14"/>
  <c r="N39" i="14" s="1"/>
  <c r="K40" i="14"/>
  <c r="G63" i="13"/>
  <c r="T27" i="15"/>
  <c r="B34" i="18"/>
  <c r="B37" i="16"/>
  <c r="K64" i="13"/>
  <c r="K20" i="14"/>
  <c r="G60" i="15"/>
  <c r="H60" i="15" s="1"/>
  <c r="L16" i="15"/>
  <c r="L15" i="15" s="1"/>
  <c r="L14" i="15" s="1"/>
  <c r="L13" i="15" s="1"/>
  <c r="L12" i="15" s="1"/>
  <c r="L6" i="15" s="1"/>
  <c r="L5" i="15" s="1"/>
  <c r="L72" i="15" s="1"/>
  <c r="G27" i="14"/>
  <c r="H27" i="14" s="1"/>
  <c r="L22" i="14"/>
  <c r="L20" i="14" s="1"/>
  <c r="N22" i="14"/>
  <c r="U22" i="14"/>
  <c r="R22" i="14"/>
  <c r="R20" i="14" s="1"/>
  <c r="R16" i="14" s="1"/>
  <c r="R15" i="14" s="1"/>
  <c r="R14" i="14" s="1"/>
  <c r="R13" i="14" s="1"/>
  <c r="K22" i="14"/>
  <c r="T22" i="14"/>
  <c r="P22" i="14"/>
  <c r="B37" i="22"/>
  <c r="B25" i="22" s="1"/>
  <c r="D38" i="22"/>
  <c r="D37" i="22" s="1"/>
  <c r="D25" i="22" s="1"/>
  <c r="D9" i="22"/>
  <c r="D7" i="22" s="1"/>
  <c r="D6" i="22" s="1"/>
  <c r="D5" i="22" s="1"/>
  <c r="B7" i="22"/>
  <c r="B6" i="22" s="1"/>
  <c r="B5" i="22" s="1"/>
  <c r="U59" i="14"/>
  <c r="J58" i="14"/>
  <c r="K59" i="14"/>
  <c r="L47" i="13"/>
  <c r="L46" i="13" s="1"/>
  <c r="L45" i="13" s="1"/>
  <c r="L27" i="19"/>
  <c r="C11" i="18"/>
  <c r="C10" i="18" s="1"/>
  <c r="N16" i="15"/>
  <c r="N15" i="15" s="1"/>
  <c r="N14" i="15" s="1"/>
  <c r="N13" i="15" s="1"/>
  <c r="N12" i="15" s="1"/>
  <c r="N6" i="15" s="1"/>
  <c r="N5" i="15" s="1"/>
  <c r="N72" i="15" s="1"/>
  <c r="E45" i="14"/>
  <c r="F45" i="14" s="1"/>
  <c r="F46" i="14"/>
  <c r="E72" i="22"/>
  <c r="T20" i="14"/>
  <c r="U65" i="15"/>
  <c r="K65" i="15"/>
  <c r="L47" i="14"/>
  <c r="L46" i="14" s="1"/>
  <c r="L45" i="14" s="1"/>
  <c r="T59" i="14"/>
  <c r="K36" i="15"/>
  <c r="B13" i="22"/>
  <c r="B12" i="22" s="1"/>
  <c r="B11" i="22" s="1"/>
  <c r="F16" i="14"/>
  <c r="U19" i="14"/>
  <c r="P19" i="14"/>
  <c r="N19" i="14"/>
  <c r="K19" i="14"/>
  <c r="T19" i="14"/>
  <c r="R19" i="14"/>
  <c r="L19" i="14"/>
  <c r="T28" i="14"/>
  <c r="G61" i="14"/>
  <c r="H63" i="14"/>
  <c r="F43" i="16"/>
  <c r="B40" i="17"/>
  <c r="B39" i="17" s="1"/>
  <c r="T58" i="14"/>
  <c r="K49" i="15"/>
  <c r="U49" i="15"/>
  <c r="J48" i="15"/>
  <c r="D54" i="22"/>
  <c r="D53" i="22" s="1"/>
  <c r="D52" i="22" s="1"/>
  <c r="D51" i="22" s="1"/>
  <c r="E55" i="22"/>
  <c r="U45" i="15"/>
  <c r="K45" i="15"/>
  <c r="H45" i="15"/>
  <c r="B8" i="18"/>
  <c r="C9" i="16"/>
  <c r="B7" i="16"/>
  <c r="B6" i="16" s="1"/>
  <c r="B5" i="16" s="1"/>
  <c r="U18" i="14"/>
  <c r="J17" i="14"/>
  <c r="R18" i="14"/>
  <c r="R17" i="14" s="1"/>
  <c r="P18" i="14"/>
  <c r="K18" i="14"/>
  <c r="N18" i="14"/>
  <c r="L18" i="14"/>
  <c r="L17" i="14" s="1"/>
  <c r="B32" i="18"/>
  <c r="B30" i="18" s="1"/>
  <c r="B34" i="16"/>
  <c r="C36" i="16"/>
  <c r="P11" i="18"/>
  <c r="P10" i="18" s="1"/>
  <c r="P9" i="18" s="1"/>
  <c r="P4" i="18" s="1"/>
  <c r="P3" i="18" s="1"/>
  <c r="P61" i="18" s="1"/>
  <c r="Q102" i="18" s="1"/>
  <c r="N47" i="14"/>
  <c r="N46" i="14" s="1"/>
  <c r="N45" i="14" s="1"/>
  <c r="K67" i="13"/>
  <c r="R38" i="14"/>
  <c r="R36" i="14" s="1"/>
  <c r="R27" i="14" s="1"/>
  <c r="T38" i="14"/>
  <c r="U38" i="14"/>
  <c r="B40" i="22"/>
  <c r="D42" i="22"/>
  <c r="D40" i="22" s="1"/>
  <c r="D36" i="22"/>
  <c r="D34" i="22" s="1"/>
  <c r="E34" i="22" s="1"/>
  <c r="B34" i="22"/>
  <c r="T39" i="14"/>
  <c r="T40" i="14"/>
  <c r="N20" i="14"/>
  <c r="B38" i="18"/>
  <c r="B36" i="18" s="1"/>
  <c r="C42" i="16"/>
  <c r="B40" i="16"/>
  <c r="P20" i="14"/>
  <c r="U64" i="13"/>
  <c r="T49" i="15"/>
  <c r="T48" i="15" s="1"/>
  <c r="T47" i="15" s="1"/>
  <c r="B49" i="22"/>
  <c r="B49" i="16"/>
  <c r="B60" i="16"/>
  <c r="B59" i="16" s="1"/>
  <c r="B53" i="18"/>
  <c r="C61" i="16"/>
  <c r="J36" i="14"/>
  <c r="T36" i="14" s="1"/>
  <c r="K28" i="14"/>
  <c r="F32" i="16"/>
  <c r="B60" i="22"/>
  <c r="B59" i="22" s="1"/>
  <c r="D61" i="22"/>
  <c r="D60" i="22" s="1"/>
  <c r="D59" i="22" s="1"/>
  <c r="B45" i="18"/>
  <c r="C50" i="16"/>
  <c r="K47" i="18"/>
  <c r="Q48" i="18"/>
  <c r="E26" i="22"/>
  <c r="F52" i="14"/>
  <c r="E51" i="14"/>
  <c r="K47" i="19"/>
  <c r="L47" i="19" s="1"/>
  <c r="K48" i="17"/>
  <c r="K47" i="17" s="1"/>
  <c r="K46" i="17" s="1"/>
  <c r="O48" i="17"/>
  <c r="O47" i="17" s="1"/>
  <c r="O46" i="17" s="1"/>
  <c r="O47" i="19"/>
  <c r="O46" i="19" s="1"/>
  <c r="I8" i="14"/>
  <c r="I7" i="14" s="1"/>
  <c r="Q39" i="21"/>
  <c r="E39" i="21"/>
  <c r="D39" i="21"/>
  <c r="G61" i="19"/>
  <c r="Q97" i="19" s="1"/>
  <c r="Q39" i="18"/>
  <c r="C27" i="19"/>
  <c r="Q27" i="19" s="1"/>
  <c r="D27" i="19"/>
  <c r="B23" i="18"/>
  <c r="Q19" i="20"/>
  <c r="K46" i="20"/>
  <c r="L47" i="20"/>
  <c r="Q48" i="21"/>
  <c r="B31" i="20"/>
  <c r="E35" i="16"/>
  <c r="F35" i="16" s="1"/>
  <c r="B14" i="20"/>
  <c r="E17" i="16"/>
  <c r="B14" i="21" s="1"/>
  <c r="B20" i="20"/>
  <c r="Q20" i="20" s="1"/>
  <c r="E24" i="16"/>
  <c r="E46" i="20"/>
  <c r="Q47" i="20"/>
  <c r="D69" i="16"/>
  <c r="B59" i="20"/>
  <c r="E70" i="16"/>
  <c r="E8" i="16"/>
  <c r="B7" i="20"/>
  <c r="B29" i="20"/>
  <c r="D31" i="16"/>
  <c r="E33" i="16"/>
  <c r="F33" i="16" s="1"/>
  <c r="B29" i="17" s="1"/>
  <c r="B28" i="17"/>
  <c r="C59" i="19"/>
  <c r="C58" i="19" s="1"/>
  <c r="B58" i="19"/>
  <c r="Q58" i="19" s="1"/>
  <c r="B34" i="21"/>
  <c r="E37" i="16"/>
  <c r="B46" i="19"/>
  <c r="E47" i="19"/>
  <c r="E46" i="19" s="1"/>
  <c r="E16" i="16"/>
  <c r="B13" i="20"/>
  <c r="B12" i="20" s="1"/>
  <c r="E12" i="20" s="1"/>
  <c r="D15" i="16"/>
  <c r="K34" i="20"/>
  <c r="K33" i="20" s="1"/>
  <c r="B33" i="20"/>
  <c r="B12" i="19"/>
  <c r="E11" i="18"/>
  <c r="E10" i="18" s="1"/>
  <c r="C18" i="16"/>
  <c r="B17" i="19"/>
  <c r="Q17" i="19" s="1"/>
  <c r="C24" i="18"/>
  <c r="L24" i="18"/>
  <c r="D24" i="18"/>
  <c r="Q24" i="18"/>
  <c r="B18" i="19"/>
  <c r="D20" i="16"/>
  <c r="B17" i="20" s="1"/>
  <c r="Q17" i="20" s="1"/>
  <c r="B16" i="20"/>
  <c r="D18" i="16"/>
  <c r="E19" i="16"/>
  <c r="F19" i="16" s="1"/>
  <c r="B27" i="20"/>
  <c r="F38" i="16"/>
  <c r="B37" i="21"/>
  <c r="F41" i="16"/>
  <c r="B19" i="21"/>
  <c r="F23" i="16"/>
  <c r="D11" i="18"/>
  <c r="D10" i="18" s="1"/>
  <c r="B25" i="20"/>
  <c r="E29" i="16"/>
  <c r="D28" i="16"/>
  <c r="B46" i="21"/>
  <c r="E47" i="21"/>
  <c r="E46" i="21" s="1"/>
  <c r="L47" i="21"/>
  <c r="D22" i="16"/>
  <c r="D21" i="16" s="1"/>
  <c r="C14" i="16"/>
  <c r="C13" i="16" s="1"/>
  <c r="C12" i="16" s="1"/>
  <c r="C11" i="16" s="1"/>
  <c r="B24" i="19"/>
  <c r="B46" i="17"/>
  <c r="E47" i="17"/>
  <c r="I23" i="14"/>
  <c r="T23" i="14" s="1"/>
  <c r="B26" i="16"/>
  <c r="C27" i="16"/>
  <c r="B23" i="19" s="1"/>
  <c r="Q23" i="19" s="1"/>
  <c r="T12" i="15"/>
  <c r="T6" i="15" s="1"/>
  <c r="T5" i="15" s="1"/>
  <c r="T72" i="15" s="1"/>
  <c r="I27" i="14"/>
  <c r="P16" i="15"/>
  <c r="P15" i="15" s="1"/>
  <c r="P14" i="15" s="1"/>
  <c r="P13" i="15" s="1"/>
  <c r="P12" i="15" s="1"/>
  <c r="P6" i="15" s="1"/>
  <c r="P5" i="15" s="1"/>
  <c r="P72" i="15" s="1"/>
  <c r="K27" i="15"/>
  <c r="U27" i="15"/>
  <c r="K60" i="15"/>
  <c r="U60" i="15"/>
  <c r="U63" i="15"/>
  <c r="K63" i="15"/>
  <c r="U36" i="15"/>
  <c r="R16" i="15"/>
  <c r="R15" i="15" s="1"/>
  <c r="R14" i="15" s="1"/>
  <c r="R13" i="15" s="1"/>
  <c r="R12" i="15" s="1"/>
  <c r="R6" i="15" s="1"/>
  <c r="R5" i="15" s="1"/>
  <c r="R72" i="15" s="1"/>
  <c r="U8" i="15"/>
  <c r="K8" i="15"/>
  <c r="J7" i="15"/>
  <c r="K16" i="15"/>
  <c r="J15" i="15"/>
  <c r="U16" i="15"/>
  <c r="H7" i="15"/>
  <c r="H53" i="15"/>
  <c r="G52" i="15"/>
  <c r="H52" i="15" s="1"/>
  <c r="H15" i="15"/>
  <c r="G14" i="15"/>
  <c r="E12" i="15"/>
  <c r="F13" i="15"/>
  <c r="D12" i="13"/>
  <c r="D6" i="13" s="1"/>
  <c r="D5" i="13" s="1"/>
  <c r="D70" i="13" s="1"/>
  <c r="G8" i="13"/>
  <c r="U67" i="13"/>
  <c r="K33" i="13"/>
  <c r="I12" i="13"/>
  <c r="I6" i="13" s="1"/>
  <c r="I5" i="13" s="1"/>
  <c r="I70" i="13" s="1"/>
  <c r="R20" i="13"/>
  <c r="P36" i="13"/>
  <c r="E50" i="13"/>
  <c r="F50" i="13" s="1"/>
  <c r="K40" i="13"/>
  <c r="T40" i="13"/>
  <c r="H24" i="13"/>
  <c r="K53" i="13"/>
  <c r="F27" i="13"/>
  <c r="U49" i="13"/>
  <c r="G23" i="13"/>
  <c r="H23" i="13" s="1"/>
  <c r="I52" i="14"/>
  <c r="T53" i="14"/>
  <c r="I15" i="14"/>
  <c r="H16" i="14"/>
  <c r="G15" i="14"/>
  <c r="F61" i="14"/>
  <c r="E58" i="14"/>
  <c r="F58" i="14" s="1"/>
  <c r="R59" i="14"/>
  <c r="R58" i="14" s="1"/>
  <c r="F15" i="14"/>
  <c r="E14" i="14"/>
  <c r="U23" i="14"/>
  <c r="K23" i="14"/>
  <c r="H23" i="14"/>
  <c r="U8" i="14"/>
  <c r="K8" i="14"/>
  <c r="J7" i="14"/>
  <c r="U52" i="14"/>
  <c r="G51" i="14"/>
  <c r="K52" i="14"/>
  <c r="H52" i="14"/>
  <c r="R9" i="14"/>
  <c r="R8" i="14" s="1"/>
  <c r="R7" i="14" s="1"/>
  <c r="U47" i="14"/>
  <c r="K47" i="14"/>
  <c r="J46" i="14"/>
  <c r="P40" i="13"/>
  <c r="P39" i="13" s="1"/>
  <c r="P27" i="13" s="1"/>
  <c r="L18" i="13"/>
  <c r="L17" i="13" s="1"/>
  <c r="R18" i="13"/>
  <c r="U53" i="13"/>
  <c r="P10" i="13"/>
  <c r="P9" i="13" s="1"/>
  <c r="P8" i="13" s="1"/>
  <c r="P7" i="13" s="1"/>
  <c r="G52" i="13"/>
  <c r="K52" i="13" s="1"/>
  <c r="N18" i="13"/>
  <c r="F8" i="13"/>
  <c r="E58" i="13"/>
  <c r="F58" i="13" s="1"/>
  <c r="U24" i="13"/>
  <c r="R10" i="13"/>
  <c r="R9" i="13" s="1"/>
  <c r="R8" i="13" s="1"/>
  <c r="R7" i="13" s="1"/>
  <c r="N40" i="13"/>
  <c r="N39" i="13" s="1"/>
  <c r="H63" i="13"/>
  <c r="G61" i="13"/>
  <c r="U61" i="13" s="1"/>
  <c r="P19" i="13"/>
  <c r="P17" i="13" s="1"/>
  <c r="U19" i="13"/>
  <c r="R19" i="13"/>
  <c r="U29" i="13"/>
  <c r="J28" i="13"/>
  <c r="J27" i="13" s="1"/>
  <c r="N29" i="13"/>
  <c r="N28" i="13" s="1"/>
  <c r="L29" i="13"/>
  <c r="L28" i="13" s="1"/>
  <c r="L27" i="13" s="1"/>
  <c r="K29" i="13"/>
  <c r="K63" i="13"/>
  <c r="J58" i="13"/>
  <c r="U59" i="13"/>
  <c r="K59" i="13"/>
  <c r="K42" i="13"/>
  <c r="U42" i="13"/>
  <c r="N47" i="13"/>
  <c r="N46" i="13" s="1"/>
  <c r="N45" i="13" s="1"/>
  <c r="R59" i="13"/>
  <c r="R58" i="13" s="1"/>
  <c r="T59" i="13"/>
  <c r="T58" i="13" s="1"/>
  <c r="K19" i="13"/>
  <c r="N19" i="13"/>
  <c r="L19" i="13"/>
  <c r="R36" i="13"/>
  <c r="T36" i="13"/>
  <c r="J17" i="13"/>
  <c r="U17" i="13" s="1"/>
  <c r="G46" i="13"/>
  <c r="H47" i="13"/>
  <c r="H17" i="13"/>
  <c r="G16" i="13"/>
  <c r="R40" i="13"/>
  <c r="U40" i="13"/>
  <c r="H8" i="13"/>
  <c r="G7" i="13"/>
  <c r="H7" i="13" s="1"/>
  <c r="P20" i="13"/>
  <c r="P16" i="13" s="1"/>
  <c r="P15" i="13" s="1"/>
  <c r="P14" i="13" s="1"/>
  <c r="P13" i="13" s="1"/>
  <c r="U30" i="13"/>
  <c r="K30" i="13"/>
  <c r="H30" i="13"/>
  <c r="E15" i="13"/>
  <c r="F16" i="13"/>
  <c r="J9" i="13"/>
  <c r="U10" i="13"/>
  <c r="R42" i="13"/>
  <c r="U33" i="13"/>
  <c r="G27" i="13"/>
  <c r="H27" i="13" s="1"/>
  <c r="U63" i="13"/>
  <c r="N20" i="13"/>
  <c r="K36" i="13"/>
  <c r="U36" i="13"/>
  <c r="J50" i="13"/>
  <c r="K17" i="13"/>
  <c r="U39" i="13"/>
  <c r="K39" i="13"/>
  <c r="K47" i="13"/>
  <c r="J46" i="13"/>
  <c r="U47" i="13"/>
  <c r="L20" i="13"/>
  <c r="K20" i="13"/>
  <c r="U20" i="13"/>
  <c r="R12" i="14" l="1"/>
  <c r="H61" i="14"/>
  <c r="G58" i="14"/>
  <c r="K61" i="14"/>
  <c r="D49" i="22"/>
  <c r="D48" i="22" s="1"/>
  <c r="D47" i="22" s="1"/>
  <c r="D46" i="22" s="1"/>
  <c r="D10" i="22" s="1"/>
  <c r="D4" i="22" s="1"/>
  <c r="D3" i="22" s="1"/>
  <c r="D72" i="22" s="1"/>
  <c r="B48" i="22"/>
  <c r="B47" i="22" s="1"/>
  <c r="B46" i="22" s="1"/>
  <c r="J27" i="14"/>
  <c r="T27" i="14"/>
  <c r="P17" i="14"/>
  <c r="P16" i="14" s="1"/>
  <c r="P15" i="14" s="1"/>
  <c r="P14" i="14" s="1"/>
  <c r="P13" i="14" s="1"/>
  <c r="P12" i="14" s="1"/>
  <c r="P6" i="14" s="1"/>
  <c r="P5" i="14" s="1"/>
  <c r="P70" i="14" s="1"/>
  <c r="E39" i="17"/>
  <c r="D39" i="17"/>
  <c r="Q39" i="17" s="1"/>
  <c r="K34" i="18"/>
  <c r="B33" i="18"/>
  <c r="D36" i="18"/>
  <c r="E36" i="18"/>
  <c r="Q36" i="18" s="1"/>
  <c r="L36" i="18"/>
  <c r="Q8" i="18"/>
  <c r="B6" i="18"/>
  <c r="L12" i="19"/>
  <c r="E12" i="19"/>
  <c r="B38" i="19"/>
  <c r="B36" i="19" s="1"/>
  <c r="D42" i="16"/>
  <c r="C40" i="16"/>
  <c r="C7" i="16"/>
  <c r="C6" i="16" s="1"/>
  <c r="C5" i="16" s="1"/>
  <c r="B8" i="19"/>
  <c r="D9" i="16"/>
  <c r="R6" i="14"/>
  <c r="T39" i="13"/>
  <c r="T27" i="13" s="1"/>
  <c r="Q24" i="19"/>
  <c r="L24" i="19"/>
  <c r="E18" i="19"/>
  <c r="L18" i="19"/>
  <c r="T7" i="14"/>
  <c r="D14" i="16"/>
  <c r="D13" i="16" s="1"/>
  <c r="D12" i="16" s="1"/>
  <c r="D11" i="16" s="1"/>
  <c r="K36" i="14"/>
  <c r="U36" i="14"/>
  <c r="D36" i="16"/>
  <c r="C34" i="16"/>
  <c r="B32" i="19"/>
  <c r="B30" i="19" s="1"/>
  <c r="C60" i="16"/>
  <c r="C59" i="16" s="1"/>
  <c r="D61" i="16"/>
  <c r="B53" i="19"/>
  <c r="L16" i="14"/>
  <c r="L15" i="14" s="1"/>
  <c r="L14" i="14" s="1"/>
  <c r="L13" i="14" s="1"/>
  <c r="L12" i="14" s="1"/>
  <c r="L6" i="14" s="1"/>
  <c r="L5" i="14" s="1"/>
  <c r="L70" i="14" s="1"/>
  <c r="P85" i="14" s="1"/>
  <c r="K39" i="14"/>
  <c r="U39" i="14"/>
  <c r="L53" i="18"/>
  <c r="B52" i="18"/>
  <c r="E53" i="18"/>
  <c r="E52" i="18" s="1"/>
  <c r="E51" i="18" s="1"/>
  <c r="Q53" i="18"/>
  <c r="Q52" i="18" s="1"/>
  <c r="E30" i="18"/>
  <c r="D30" i="18"/>
  <c r="L30" i="18"/>
  <c r="J47" i="15"/>
  <c r="U48" i="15"/>
  <c r="K48" i="15"/>
  <c r="K46" i="18"/>
  <c r="Q46" i="18" s="1"/>
  <c r="L47" i="18"/>
  <c r="Q47" i="18"/>
  <c r="F51" i="14"/>
  <c r="E50" i="14"/>
  <c r="F50" i="14" s="1"/>
  <c r="U61" i="14"/>
  <c r="B10" i="22"/>
  <c r="B4" i="22" s="1"/>
  <c r="B3" i="22" s="1"/>
  <c r="B72" i="22" s="1"/>
  <c r="B84" i="22" s="1"/>
  <c r="D84" i="22" s="1"/>
  <c r="J16" i="14"/>
  <c r="U17" i="14"/>
  <c r="T17" i="14"/>
  <c r="K17" i="14"/>
  <c r="D50" i="16"/>
  <c r="B45" i="19"/>
  <c r="C49" i="16"/>
  <c r="C48" i="16" s="1"/>
  <c r="C47" i="16" s="1"/>
  <c r="C46" i="16" s="1"/>
  <c r="B44" i="18"/>
  <c r="B43" i="18" s="1"/>
  <c r="B48" i="16"/>
  <c r="B47" i="16" s="1"/>
  <c r="B46" i="16" s="1"/>
  <c r="N17" i="14"/>
  <c r="N16" i="14" s="1"/>
  <c r="N15" i="14" s="1"/>
  <c r="N14" i="14" s="1"/>
  <c r="N13" i="14" s="1"/>
  <c r="N12" i="14" s="1"/>
  <c r="N6" i="14" s="1"/>
  <c r="N5" i="14" s="1"/>
  <c r="N70" i="14" s="1"/>
  <c r="Q48" i="17"/>
  <c r="L47" i="17"/>
  <c r="Q47" i="19"/>
  <c r="K61" i="19"/>
  <c r="K46" i="19"/>
  <c r="K9" i="19" s="1"/>
  <c r="K4" i="19" s="1"/>
  <c r="K3" i="19" s="1"/>
  <c r="T8" i="14"/>
  <c r="B25" i="16"/>
  <c r="Q47" i="21"/>
  <c r="Q19" i="21"/>
  <c r="D12" i="19"/>
  <c r="B11" i="19"/>
  <c r="B10" i="19" s="1"/>
  <c r="C12" i="19"/>
  <c r="P12" i="19" s="1"/>
  <c r="C12" i="20"/>
  <c r="P12" i="20" s="1"/>
  <c r="P11" i="20" s="1"/>
  <c r="P10" i="20" s="1"/>
  <c r="P9" i="20" s="1"/>
  <c r="P4" i="20" s="1"/>
  <c r="P3" i="20" s="1"/>
  <c r="P61" i="20" s="1"/>
  <c r="Q102" i="20" s="1"/>
  <c r="L12" i="20"/>
  <c r="D12" i="20"/>
  <c r="Q7" i="20"/>
  <c r="B19" i="17"/>
  <c r="E15" i="16"/>
  <c r="B13" i="21"/>
  <c r="B12" i="21" s="1"/>
  <c r="E12" i="21" s="1"/>
  <c r="F16" i="16"/>
  <c r="B7" i="21"/>
  <c r="D27" i="20"/>
  <c r="L27" i="20"/>
  <c r="C27" i="20"/>
  <c r="B27" i="17"/>
  <c r="E69" i="16"/>
  <c r="B59" i="21"/>
  <c r="F70" i="16"/>
  <c r="B16" i="17"/>
  <c r="F31" i="16"/>
  <c r="C59" i="20"/>
  <c r="C58" i="20" s="1"/>
  <c r="B58" i="20"/>
  <c r="Q46" i="21"/>
  <c r="B16" i="21"/>
  <c r="E20" i="16"/>
  <c r="D24" i="19"/>
  <c r="C24" i="19"/>
  <c r="B25" i="21"/>
  <c r="F29" i="16"/>
  <c r="E28" i="16"/>
  <c r="Q16" i="20"/>
  <c r="B15" i="20"/>
  <c r="E15" i="20" s="1"/>
  <c r="E33" i="20"/>
  <c r="L33" i="20"/>
  <c r="D33" i="20"/>
  <c r="E31" i="16"/>
  <c r="B29" i="21"/>
  <c r="B27" i="21" s="1"/>
  <c r="B22" i="18"/>
  <c r="Q23" i="18"/>
  <c r="Q25" i="20"/>
  <c r="B24" i="20"/>
  <c r="B37" i="17"/>
  <c r="K21" i="20"/>
  <c r="K9" i="20" s="1"/>
  <c r="K4" i="20" s="1"/>
  <c r="K3" i="20" s="1"/>
  <c r="K61" i="20"/>
  <c r="B31" i="17"/>
  <c r="B15" i="19"/>
  <c r="C18" i="19"/>
  <c r="O18" i="19" s="1"/>
  <c r="D18" i="19"/>
  <c r="B31" i="21"/>
  <c r="B22" i="19"/>
  <c r="B34" i="17"/>
  <c r="F37" i="16"/>
  <c r="F17" i="16"/>
  <c r="B14" i="17" s="1"/>
  <c r="K34" i="21"/>
  <c r="K33" i="21" s="1"/>
  <c r="B33" i="21"/>
  <c r="Q46" i="20"/>
  <c r="B18" i="20"/>
  <c r="E18" i="20" s="1"/>
  <c r="F8" i="16"/>
  <c r="E22" i="16"/>
  <c r="E21" i="16" s="1"/>
  <c r="B20" i="21"/>
  <c r="Q20" i="21" s="1"/>
  <c r="F24" i="16"/>
  <c r="B20" i="17" s="1"/>
  <c r="Q20" i="17" s="1"/>
  <c r="E46" i="17"/>
  <c r="Q47" i="17"/>
  <c r="C26" i="16"/>
  <c r="C25" i="16" s="1"/>
  <c r="D27" i="16"/>
  <c r="B23" i="20" s="1"/>
  <c r="U52" i="15"/>
  <c r="P87" i="15"/>
  <c r="U15" i="15"/>
  <c r="K15" i="15"/>
  <c r="J14" i="15"/>
  <c r="K52" i="15"/>
  <c r="F12" i="15"/>
  <c r="E6" i="15"/>
  <c r="H14" i="15"/>
  <c r="G13" i="15"/>
  <c r="U7" i="15"/>
  <c r="K7" i="15"/>
  <c r="R75" i="15"/>
  <c r="N17" i="13"/>
  <c r="K23" i="13"/>
  <c r="U23" i="13"/>
  <c r="P12" i="13"/>
  <c r="P6" i="13" s="1"/>
  <c r="P5" i="13" s="1"/>
  <c r="P70" i="13" s="1"/>
  <c r="G51" i="13"/>
  <c r="K51" i="13" s="1"/>
  <c r="L16" i="13"/>
  <c r="L15" i="13" s="1"/>
  <c r="L14" i="13" s="1"/>
  <c r="L13" i="13" s="1"/>
  <c r="I14" i="14"/>
  <c r="T52" i="14"/>
  <c r="I51" i="14"/>
  <c r="E13" i="14"/>
  <c r="F14" i="14"/>
  <c r="J45" i="14"/>
  <c r="U46" i="14"/>
  <c r="K46" i="14"/>
  <c r="U7" i="14"/>
  <c r="K7" i="14"/>
  <c r="U51" i="14"/>
  <c r="G50" i="14"/>
  <c r="K51" i="14"/>
  <c r="H51" i="14"/>
  <c r="R5" i="14"/>
  <c r="R70" i="14" s="1"/>
  <c r="H15" i="14"/>
  <c r="G14" i="14"/>
  <c r="H52" i="13"/>
  <c r="J16" i="13"/>
  <c r="U16" i="13" s="1"/>
  <c r="U52" i="13"/>
  <c r="T9" i="13"/>
  <c r="T8" i="13" s="1"/>
  <c r="T7" i="13" s="1"/>
  <c r="L12" i="13"/>
  <c r="L6" i="13" s="1"/>
  <c r="L5" i="13" s="1"/>
  <c r="L70" i="13" s="1"/>
  <c r="N27" i="13"/>
  <c r="K28" i="13"/>
  <c r="U28" i="13"/>
  <c r="H46" i="13"/>
  <c r="G45" i="13"/>
  <c r="H45" i="13" s="1"/>
  <c r="T17" i="13"/>
  <c r="T16" i="13" s="1"/>
  <c r="T15" i="13" s="1"/>
  <c r="T14" i="13" s="1"/>
  <c r="T13" i="13" s="1"/>
  <c r="T12" i="13" s="1"/>
  <c r="R17" i="13"/>
  <c r="R16" i="13" s="1"/>
  <c r="R15" i="13" s="1"/>
  <c r="R14" i="13" s="1"/>
  <c r="R13" i="13" s="1"/>
  <c r="U9" i="13"/>
  <c r="K9" i="13"/>
  <c r="J8" i="13"/>
  <c r="F15" i="13"/>
  <c r="E14" i="13"/>
  <c r="H16" i="13"/>
  <c r="G15" i="13"/>
  <c r="K61" i="13"/>
  <c r="G58" i="13"/>
  <c r="H61" i="13"/>
  <c r="R39" i="13"/>
  <c r="R27" i="13" s="1"/>
  <c r="N16" i="13"/>
  <c r="N15" i="13" s="1"/>
  <c r="N14" i="13" s="1"/>
  <c r="N13" i="13" s="1"/>
  <c r="K46" i="13"/>
  <c r="J45" i="13"/>
  <c r="U46" i="13"/>
  <c r="K27" i="13"/>
  <c r="U27" i="13"/>
  <c r="P11" i="19" l="1"/>
  <c r="P10" i="19" s="1"/>
  <c r="P9" i="19" s="1"/>
  <c r="P4" i="19" s="1"/>
  <c r="P3" i="19" s="1"/>
  <c r="P61" i="19" s="1"/>
  <c r="Q18" i="19"/>
  <c r="E73" i="22"/>
  <c r="L43" i="18"/>
  <c r="Q43" i="18"/>
  <c r="B42" i="18"/>
  <c r="C10" i="16"/>
  <c r="C4" i="16" s="1"/>
  <c r="C3" i="16" s="1"/>
  <c r="C72" i="16" s="1"/>
  <c r="E50" i="16"/>
  <c r="B45" i="21" s="1"/>
  <c r="B45" i="20"/>
  <c r="K33" i="18"/>
  <c r="L33" i="18" s="1"/>
  <c r="K34" i="17"/>
  <c r="K33" i="17" s="1"/>
  <c r="K21" i="17" s="1"/>
  <c r="Q30" i="18"/>
  <c r="D34" i="16"/>
  <c r="B32" i="20"/>
  <c r="B30" i="20" s="1"/>
  <c r="E36" i="16"/>
  <c r="J15" i="14"/>
  <c r="K16" i="14"/>
  <c r="T16" i="14"/>
  <c r="U16" i="14"/>
  <c r="U27" i="14"/>
  <c r="K27" i="14"/>
  <c r="L36" i="19"/>
  <c r="E36" i="19"/>
  <c r="Q36" i="19" s="1"/>
  <c r="D36" i="19"/>
  <c r="B10" i="16"/>
  <c r="B4" i="16" s="1"/>
  <c r="B3" i="16" s="1"/>
  <c r="B72" i="16" s="1"/>
  <c r="B21" i="18"/>
  <c r="B5" i="18"/>
  <c r="E6" i="18"/>
  <c r="L6" i="18"/>
  <c r="E42" i="16"/>
  <c r="B38" i="20"/>
  <c r="B36" i="20" s="1"/>
  <c r="D40" i="16"/>
  <c r="F42" i="16"/>
  <c r="R73" i="14"/>
  <c r="Q27" i="20"/>
  <c r="L53" i="19"/>
  <c r="E53" i="19"/>
  <c r="E52" i="19" s="1"/>
  <c r="E51" i="19" s="1"/>
  <c r="B52" i="19"/>
  <c r="H58" i="14"/>
  <c r="U58" i="14"/>
  <c r="K58" i="14"/>
  <c r="B53" i="20"/>
  <c r="E61" i="16"/>
  <c r="D60" i="16"/>
  <c r="D59" i="16" s="1"/>
  <c r="L15" i="19"/>
  <c r="E15" i="19"/>
  <c r="B44" i="19"/>
  <c r="D49" i="16"/>
  <c r="D7" i="16"/>
  <c r="D6" i="16" s="1"/>
  <c r="D5" i="16" s="1"/>
  <c r="E9" i="16"/>
  <c r="F9" i="16"/>
  <c r="B8" i="17" s="1"/>
  <c r="Q8" i="17" s="1"/>
  <c r="B8" i="20"/>
  <c r="B43" i="19"/>
  <c r="U47" i="15"/>
  <c r="K47" i="15"/>
  <c r="L30" i="19"/>
  <c r="D30" i="19"/>
  <c r="Q30" i="19" s="1"/>
  <c r="E30" i="19"/>
  <c r="Q8" i="19"/>
  <c r="B6" i="19"/>
  <c r="E33" i="18"/>
  <c r="E21" i="18" s="1"/>
  <c r="E9" i="18" s="1"/>
  <c r="D33" i="18"/>
  <c r="Q33" i="18" s="1"/>
  <c r="Q99" i="20"/>
  <c r="D4" i="6"/>
  <c r="C4" i="6"/>
  <c r="Q99" i="19"/>
  <c r="Q46" i="19"/>
  <c r="B21" i="19"/>
  <c r="L22" i="19"/>
  <c r="C27" i="17"/>
  <c r="Q27" i="17" s="1"/>
  <c r="D27" i="17"/>
  <c r="L27" i="17"/>
  <c r="Q19" i="17"/>
  <c r="B18" i="17"/>
  <c r="D15" i="20"/>
  <c r="C15" i="20"/>
  <c r="L15" i="20"/>
  <c r="O15" i="20"/>
  <c r="B33" i="17"/>
  <c r="L24" i="20"/>
  <c r="D24" i="20"/>
  <c r="C24" i="20"/>
  <c r="Q24" i="20" s="1"/>
  <c r="Q16" i="17"/>
  <c r="C22" i="19"/>
  <c r="C21" i="19" s="1"/>
  <c r="D22" i="19"/>
  <c r="F28" i="16"/>
  <c r="B25" i="17"/>
  <c r="E18" i="16"/>
  <c r="E14" i="16" s="1"/>
  <c r="E13" i="16" s="1"/>
  <c r="E12" i="16" s="1"/>
  <c r="E11" i="16" s="1"/>
  <c r="B17" i="21"/>
  <c r="Q17" i="21" s="1"/>
  <c r="F20" i="16"/>
  <c r="Q7" i="21"/>
  <c r="B11" i="20"/>
  <c r="B10" i="20" s="1"/>
  <c r="L18" i="20"/>
  <c r="E11" i="20"/>
  <c r="E10" i="20" s="1"/>
  <c r="D18" i="20"/>
  <c r="D11" i="20" s="1"/>
  <c r="D10" i="20" s="1"/>
  <c r="C18" i="20"/>
  <c r="C15" i="19"/>
  <c r="O15" i="19" s="1"/>
  <c r="D15" i="19"/>
  <c r="D11" i="19" s="1"/>
  <c r="D10" i="19" s="1"/>
  <c r="E11" i="19"/>
  <c r="E10" i="19" s="1"/>
  <c r="C22" i="18"/>
  <c r="L22" i="18"/>
  <c r="D22" i="18"/>
  <c r="B9" i="18"/>
  <c r="Q25" i="21"/>
  <c r="B24" i="21"/>
  <c r="Q16" i="21"/>
  <c r="B13" i="17"/>
  <c r="B12" i="17" s="1"/>
  <c r="F15" i="16"/>
  <c r="B18" i="21"/>
  <c r="C12" i="21"/>
  <c r="P12" i="21" s="1"/>
  <c r="D12" i="21"/>
  <c r="L12" i="21"/>
  <c r="B22" i="20"/>
  <c r="Q23" i="20"/>
  <c r="B7" i="17"/>
  <c r="E33" i="21"/>
  <c r="D33" i="21"/>
  <c r="Q33" i="21" s="1"/>
  <c r="L33" i="21"/>
  <c r="D27" i="21"/>
  <c r="C27" i="21"/>
  <c r="L27" i="21"/>
  <c r="K21" i="21"/>
  <c r="K9" i="21" s="1"/>
  <c r="K4" i="21" s="1"/>
  <c r="K3" i="21" s="1"/>
  <c r="K61" i="21"/>
  <c r="E4" i="6" s="1"/>
  <c r="F69" i="16"/>
  <c r="B59" i="17"/>
  <c r="L30" i="20"/>
  <c r="D30" i="20"/>
  <c r="E30" i="20"/>
  <c r="Q33" i="20"/>
  <c r="C59" i="21"/>
  <c r="C58" i="21" s="1"/>
  <c r="B58" i="21"/>
  <c r="Z57" i="5" s="1"/>
  <c r="Q102" i="19"/>
  <c r="Q58" i="20"/>
  <c r="F22" i="16"/>
  <c r="F21" i="16" s="1"/>
  <c r="Q46" i="17"/>
  <c r="E27" i="16"/>
  <c r="D26" i="16"/>
  <c r="D25" i="16" s="1"/>
  <c r="F6" i="15"/>
  <c r="E5" i="15"/>
  <c r="G12" i="15"/>
  <c r="H13" i="15"/>
  <c r="K14" i="15"/>
  <c r="J13" i="15"/>
  <c r="U14" i="15"/>
  <c r="P85" i="13"/>
  <c r="K16" i="13"/>
  <c r="J15" i="13"/>
  <c r="K15" i="13" s="1"/>
  <c r="U51" i="13"/>
  <c r="G50" i="13"/>
  <c r="H50" i="13" s="1"/>
  <c r="H51" i="13"/>
  <c r="T6" i="13"/>
  <c r="T5" i="13" s="1"/>
  <c r="T70" i="13" s="1"/>
  <c r="I50" i="14"/>
  <c r="T50" i="14" s="1"/>
  <c r="T51" i="14"/>
  <c r="I13" i="14"/>
  <c r="H50" i="14"/>
  <c r="U50" i="14"/>
  <c r="K50" i="14"/>
  <c r="E12" i="14"/>
  <c r="F13" i="14"/>
  <c r="H14" i="14"/>
  <c r="G13" i="14"/>
  <c r="K45" i="14"/>
  <c r="U45" i="14"/>
  <c r="N12" i="13"/>
  <c r="N6" i="13" s="1"/>
  <c r="N5" i="13" s="1"/>
  <c r="N70" i="13" s="1"/>
  <c r="K8" i="13"/>
  <c r="U8" i="13"/>
  <c r="J7" i="13"/>
  <c r="R12" i="13"/>
  <c r="R6" i="13" s="1"/>
  <c r="R5" i="13" s="1"/>
  <c r="R70" i="13" s="1"/>
  <c r="H58" i="13"/>
  <c r="U58" i="13"/>
  <c r="K58" i="13"/>
  <c r="E13" i="13"/>
  <c r="F14" i="13"/>
  <c r="G14" i="13"/>
  <c r="H15" i="13"/>
  <c r="K45" i="13"/>
  <c r="U45" i="13"/>
  <c r="U15" i="13"/>
  <c r="J14" i="13"/>
  <c r="P11" i="21" l="1"/>
  <c r="P10" i="21" s="1"/>
  <c r="P9" i="21" s="1"/>
  <c r="P4" i="21" s="1"/>
  <c r="P3" i="21" s="1"/>
  <c r="P61" i="21" s="1"/>
  <c r="P12" i="17"/>
  <c r="O11" i="19"/>
  <c r="O10" i="19" s="1"/>
  <c r="O9" i="19" s="1"/>
  <c r="O4" i="19" s="1"/>
  <c r="O3" i="19" s="1"/>
  <c r="O61" i="19" s="1"/>
  <c r="Q101" i="19" s="1"/>
  <c r="B53" i="21"/>
  <c r="E60" i="16"/>
  <c r="E59" i="16" s="1"/>
  <c r="B8" i="21"/>
  <c r="E7" i="16"/>
  <c r="E6" i="16" s="1"/>
  <c r="E5" i="16" s="1"/>
  <c r="Q53" i="19"/>
  <c r="Q52" i="19" s="1"/>
  <c r="F50" i="16"/>
  <c r="B45" i="17" s="1"/>
  <c r="E49" i="16"/>
  <c r="B44" i="20"/>
  <c r="B43" i="20" s="1"/>
  <c r="D48" i="16"/>
  <c r="D47" i="16" s="1"/>
  <c r="D46" i="16" s="1"/>
  <c r="D10" i="16" s="1"/>
  <c r="D4" i="16" s="1"/>
  <c r="D3" i="16" s="1"/>
  <c r="D72" i="16" s="1"/>
  <c r="L6" i="19"/>
  <c r="B5" i="19"/>
  <c r="E6" i="19"/>
  <c r="E5" i="19" s="1"/>
  <c r="F7" i="16"/>
  <c r="F6" i="16" s="1"/>
  <c r="F5" i="16" s="1"/>
  <c r="E21" i="19"/>
  <c r="E9" i="19" s="1"/>
  <c r="E4" i="19" s="1"/>
  <c r="E3" i="19" s="1"/>
  <c r="E61" i="19" s="1"/>
  <c r="C5" i="6" s="1"/>
  <c r="B38" i="17"/>
  <c r="B36" i="17" s="1"/>
  <c r="F40" i="16"/>
  <c r="K21" i="18"/>
  <c r="K9" i="18" s="1"/>
  <c r="K4" i="18" s="1"/>
  <c r="K3" i="18" s="1"/>
  <c r="K61" i="18"/>
  <c r="D42" i="18"/>
  <c r="C42" i="18"/>
  <c r="E21" i="20"/>
  <c r="D21" i="18"/>
  <c r="L36" i="20"/>
  <c r="D36" i="20"/>
  <c r="E36" i="20"/>
  <c r="Q36" i="20"/>
  <c r="Q30" i="20"/>
  <c r="L61" i="18"/>
  <c r="M6" i="18" s="1"/>
  <c r="L61" i="19"/>
  <c r="M33" i="19" s="1"/>
  <c r="F61" i="16"/>
  <c r="B38" i="21"/>
  <c r="B36" i="21" s="1"/>
  <c r="E40" i="16"/>
  <c r="B52" i="20"/>
  <c r="L53" i="20"/>
  <c r="E53" i="20"/>
  <c r="E5" i="18"/>
  <c r="E4" i="18" s="1"/>
  <c r="E3" i="18" s="1"/>
  <c r="E61" i="18" s="1"/>
  <c r="B5" i="6" s="1"/>
  <c r="Q6" i="18"/>
  <c r="K15" i="14"/>
  <c r="J14" i="14"/>
  <c r="U15" i="14"/>
  <c r="T15" i="14"/>
  <c r="L43" i="19"/>
  <c r="Q43" i="19"/>
  <c r="B42" i="19"/>
  <c r="B9" i="19" s="1"/>
  <c r="Q5" i="18"/>
  <c r="B32" i="21"/>
  <c r="B30" i="21" s="1"/>
  <c r="F36" i="16"/>
  <c r="E34" i="16"/>
  <c r="K50" i="13"/>
  <c r="C11" i="20"/>
  <c r="C10" i="20" s="1"/>
  <c r="Q8" i="20"/>
  <c r="B6" i="20"/>
  <c r="C21" i="18"/>
  <c r="Q22" i="19"/>
  <c r="Q21" i="19" s="1"/>
  <c r="M30" i="19"/>
  <c r="M6" i="19"/>
  <c r="E18" i="21"/>
  <c r="B15" i="21"/>
  <c r="E15" i="21" s="1"/>
  <c r="E11" i="21" s="1"/>
  <c r="E10" i="21" s="1"/>
  <c r="Z26" i="5"/>
  <c r="Z17" i="5"/>
  <c r="AA17" i="5" s="1"/>
  <c r="Z16" i="5"/>
  <c r="AA16" i="5" s="1"/>
  <c r="Z15" i="5"/>
  <c r="Z6" i="5"/>
  <c r="Z5" i="5" s="1"/>
  <c r="K9" i="17"/>
  <c r="K4" i="17" s="1"/>
  <c r="K3" i="17" s="1"/>
  <c r="K61" i="17"/>
  <c r="Q99" i="17" s="1"/>
  <c r="L33" i="17"/>
  <c r="D33" i="17"/>
  <c r="E33" i="17"/>
  <c r="Q33" i="17"/>
  <c r="L12" i="17"/>
  <c r="D12" i="17"/>
  <c r="C12" i="17"/>
  <c r="E26" i="16"/>
  <c r="E25" i="16" s="1"/>
  <c r="B23" i="21"/>
  <c r="L15" i="21"/>
  <c r="C15" i="21"/>
  <c r="C11" i="21" s="1"/>
  <c r="C10" i="21" s="1"/>
  <c r="D15" i="21"/>
  <c r="O15" i="21"/>
  <c r="O15" i="17" s="1"/>
  <c r="O18" i="20"/>
  <c r="B17" i="17"/>
  <c r="F18" i="16"/>
  <c r="F14" i="16" s="1"/>
  <c r="F13" i="16" s="1"/>
  <c r="F12" i="16" s="1"/>
  <c r="F11" i="16" s="1"/>
  <c r="L18" i="17"/>
  <c r="D18" i="17"/>
  <c r="C18" i="17"/>
  <c r="L24" i="21"/>
  <c r="D24" i="21"/>
  <c r="C24" i="21"/>
  <c r="F27" i="16"/>
  <c r="B4" i="18"/>
  <c r="E9" i="20"/>
  <c r="Q25" i="17"/>
  <c r="B24" i="17"/>
  <c r="B58" i="17"/>
  <c r="C59" i="17"/>
  <c r="C58" i="17" s="1"/>
  <c r="Q7" i="17"/>
  <c r="B6" i="17"/>
  <c r="Q22" i="18"/>
  <c r="Q21" i="18" s="1"/>
  <c r="C18" i="21"/>
  <c r="L18" i="21"/>
  <c r="D18" i="21"/>
  <c r="O18" i="21"/>
  <c r="Q18" i="21" s="1"/>
  <c r="D9" i="18"/>
  <c r="D4" i="18" s="1"/>
  <c r="D3" i="18" s="1"/>
  <c r="D61" i="18" s="1"/>
  <c r="Q58" i="21"/>
  <c r="C11" i="19"/>
  <c r="C10" i="19" s="1"/>
  <c r="Q27" i="21"/>
  <c r="D22" i="20"/>
  <c r="D21" i="20" s="1"/>
  <c r="C22" i="20"/>
  <c r="L22" i="20"/>
  <c r="B21" i="20"/>
  <c r="D21" i="19"/>
  <c r="U72" i="13"/>
  <c r="U73" i="13" s="1"/>
  <c r="E72" i="15"/>
  <c r="F72" i="15" s="1"/>
  <c r="F5" i="15"/>
  <c r="U13" i="15"/>
  <c r="J12" i="15"/>
  <c r="K13" i="15"/>
  <c r="H12" i="15"/>
  <c r="G6" i="15"/>
  <c r="U50" i="13"/>
  <c r="R73" i="13"/>
  <c r="I12" i="14"/>
  <c r="I6" i="14" s="1"/>
  <c r="I5" i="14" s="1"/>
  <c r="G12" i="14"/>
  <c r="H13" i="14"/>
  <c r="F12" i="14"/>
  <c r="E6" i="14"/>
  <c r="H14" i="13"/>
  <c r="G13" i="13"/>
  <c r="F13" i="13"/>
  <c r="E12" i="13"/>
  <c r="U7" i="13"/>
  <c r="K7" i="13"/>
  <c r="U14" i="13"/>
  <c r="K14" i="13"/>
  <c r="J13" i="13"/>
  <c r="B4" i="19" l="1"/>
  <c r="M12" i="19"/>
  <c r="M36" i="18"/>
  <c r="M18" i="19"/>
  <c r="Q6" i="19"/>
  <c r="M18" i="18"/>
  <c r="M12" i="18"/>
  <c r="C9" i="18"/>
  <c r="C4" i="18" s="1"/>
  <c r="C3" i="18" s="1"/>
  <c r="C61" i="18" s="1"/>
  <c r="K14" i="14"/>
  <c r="J13" i="14"/>
  <c r="T14" i="14"/>
  <c r="U14" i="14"/>
  <c r="M53" i="18"/>
  <c r="Q43" i="20"/>
  <c r="L43" i="20"/>
  <c r="B42" i="20"/>
  <c r="Q5" i="19"/>
  <c r="M47" i="18"/>
  <c r="E6" i="20"/>
  <c r="E5" i="20" s="1"/>
  <c r="E4" i="20" s="1"/>
  <c r="E3" i="20" s="1"/>
  <c r="E61" i="20" s="1"/>
  <c r="D5" i="6" s="1"/>
  <c r="Q6" i="20"/>
  <c r="L6" i="20"/>
  <c r="L61" i="20" s="1"/>
  <c r="B5" i="20"/>
  <c r="Q5" i="20" s="1"/>
  <c r="B9" i="20"/>
  <c r="B4" i="20" s="1"/>
  <c r="M47" i="19"/>
  <c r="B44" i="21"/>
  <c r="B43" i="21" s="1"/>
  <c r="E48" i="16"/>
  <c r="E47" i="16" s="1"/>
  <c r="E46" i="16" s="1"/>
  <c r="E10" i="16" s="1"/>
  <c r="E4" i="16" s="1"/>
  <c r="E3" i="16" s="1"/>
  <c r="E72" i="16" s="1"/>
  <c r="F49" i="16"/>
  <c r="M15" i="18"/>
  <c r="M30" i="18"/>
  <c r="E52" i="20"/>
  <c r="E51" i="20" s="1"/>
  <c r="Q53" i="20"/>
  <c r="Q52" i="20" s="1"/>
  <c r="M33" i="18"/>
  <c r="M53" i="19"/>
  <c r="D75" i="22"/>
  <c r="D77" i="22" s="1"/>
  <c r="D79" i="22" s="1"/>
  <c r="D81" i="22" s="1"/>
  <c r="Q99" i="18"/>
  <c r="B4" i="6"/>
  <c r="F4" i="6" s="1"/>
  <c r="Q8" i="21"/>
  <c r="B6" i="21"/>
  <c r="Q18" i="20"/>
  <c r="O18" i="17"/>
  <c r="Q18" i="17" s="1"/>
  <c r="M15" i="19"/>
  <c r="B32" i="17"/>
  <c r="B30" i="17" s="1"/>
  <c r="F34" i="16"/>
  <c r="E36" i="21"/>
  <c r="L36" i="21"/>
  <c r="D36" i="21"/>
  <c r="Q36" i="21" s="1"/>
  <c r="D36" i="17"/>
  <c r="E36" i="17"/>
  <c r="L36" i="17"/>
  <c r="B53" i="17"/>
  <c r="F60" i="16"/>
  <c r="F59" i="16" s="1"/>
  <c r="E30" i="21"/>
  <c r="D30" i="21"/>
  <c r="L30" i="21"/>
  <c r="B52" i="21"/>
  <c r="E53" i="21"/>
  <c r="E52" i="21" s="1"/>
  <c r="E51" i="21" s="1"/>
  <c r="L53" i="21"/>
  <c r="C42" i="19"/>
  <c r="C9" i="19" s="1"/>
  <c r="D42" i="19"/>
  <c r="D9" i="19"/>
  <c r="D4" i="19" s="1"/>
  <c r="D3" i="19" s="1"/>
  <c r="D61" i="19" s="1"/>
  <c r="V44" i="5" s="1"/>
  <c r="M36" i="19"/>
  <c r="D11" i="21"/>
  <c r="D10" i="21" s="1"/>
  <c r="AA6" i="5"/>
  <c r="AA5" i="5" s="1"/>
  <c r="Q24" i="21"/>
  <c r="AA15" i="5"/>
  <c r="AA14" i="5" s="1"/>
  <c r="Z14" i="5"/>
  <c r="Z22" i="5"/>
  <c r="AA26" i="5"/>
  <c r="AA22" i="5" s="1"/>
  <c r="B11" i="21"/>
  <c r="B10" i="21" s="1"/>
  <c r="O11" i="20"/>
  <c r="O10" i="20" s="1"/>
  <c r="O9" i="20" s="1"/>
  <c r="O4" i="20" s="1"/>
  <c r="O3" i="20" s="1"/>
  <c r="O61" i="20" s="1"/>
  <c r="Q101" i="20" s="1"/>
  <c r="B5" i="17"/>
  <c r="E6" i="17"/>
  <c r="E5" i="17" s="1"/>
  <c r="L6" i="17"/>
  <c r="Q6" i="17"/>
  <c r="B22" i="21"/>
  <c r="Q23" i="21"/>
  <c r="P11" i="17"/>
  <c r="P10" i="17" s="1"/>
  <c r="P9" i="17" s="1"/>
  <c r="P4" i="17" s="1"/>
  <c r="P3" i="17" s="1"/>
  <c r="P61" i="17" s="1"/>
  <c r="Q102" i="17" s="1"/>
  <c r="Q58" i="17"/>
  <c r="Q22" i="20"/>
  <c r="Q21" i="20" s="1"/>
  <c r="C21" i="20"/>
  <c r="Q17" i="17"/>
  <c r="B15" i="17"/>
  <c r="F26" i="16"/>
  <c r="B23" i="17"/>
  <c r="O11" i="21"/>
  <c r="O10" i="21" s="1"/>
  <c r="O9" i="21" s="1"/>
  <c r="O4" i="21" s="1"/>
  <c r="O3" i="21" s="1"/>
  <c r="O61" i="21" s="1"/>
  <c r="D24" i="17"/>
  <c r="C24" i="17"/>
  <c r="Q24" i="17" s="1"/>
  <c r="L24" i="17"/>
  <c r="H6" i="15"/>
  <c r="G5" i="15"/>
  <c r="U12" i="15"/>
  <c r="K12" i="15"/>
  <c r="J6" i="15"/>
  <c r="I70" i="14"/>
  <c r="H12" i="14"/>
  <c r="G6" i="14"/>
  <c r="F6" i="14"/>
  <c r="E5" i="14"/>
  <c r="H13" i="13"/>
  <c r="G12" i="13"/>
  <c r="F12" i="13"/>
  <c r="E6" i="13"/>
  <c r="J12" i="13"/>
  <c r="U13" i="13"/>
  <c r="K13" i="13"/>
  <c r="C4" i="19" l="1"/>
  <c r="Q9" i="19"/>
  <c r="M36" i="20"/>
  <c r="M47" i="20"/>
  <c r="M33" i="20"/>
  <c r="M18" i="20"/>
  <c r="M53" i="20"/>
  <c r="M12" i="20"/>
  <c r="M6" i="20"/>
  <c r="M15" i="20"/>
  <c r="M30" i="20"/>
  <c r="B44" i="17"/>
  <c r="B43" i="17" s="1"/>
  <c r="F48" i="16"/>
  <c r="F47" i="16" s="1"/>
  <c r="F46" i="16" s="1"/>
  <c r="Q30" i="17"/>
  <c r="D30" i="17"/>
  <c r="E30" i="17"/>
  <c r="E21" i="17" s="1"/>
  <c r="L30" i="17"/>
  <c r="C9" i="20"/>
  <c r="C4" i="20" s="1"/>
  <c r="C3" i="20" s="1"/>
  <c r="C61" i="20" s="1"/>
  <c r="W59" i="5" s="1"/>
  <c r="U13" i="14"/>
  <c r="K13" i="14"/>
  <c r="J12" i="14"/>
  <c r="T13" i="14"/>
  <c r="E6" i="21"/>
  <c r="E5" i="21" s="1"/>
  <c r="B5" i="21"/>
  <c r="Q5" i="21" s="1"/>
  <c r="L6" i="21"/>
  <c r="L43" i="21"/>
  <c r="Q43" i="21"/>
  <c r="B42" i="21"/>
  <c r="U59" i="5"/>
  <c r="Q36" i="17"/>
  <c r="C42" i="20"/>
  <c r="D42" i="20"/>
  <c r="D9" i="20" s="1"/>
  <c r="D4" i="20" s="1"/>
  <c r="D3" i="20" s="1"/>
  <c r="D61" i="20" s="1"/>
  <c r="W44" i="5" s="1"/>
  <c r="Q53" i="21"/>
  <c r="Q52" i="21" s="1"/>
  <c r="Q30" i="21"/>
  <c r="E21" i="21"/>
  <c r="E9" i="21" s="1"/>
  <c r="B52" i="17"/>
  <c r="E53" i="17"/>
  <c r="E52" i="17" s="1"/>
  <c r="E51" i="17" s="1"/>
  <c r="L53" i="17"/>
  <c r="Q53" i="17"/>
  <c r="Q52" i="17" s="1"/>
  <c r="Q4" i="18"/>
  <c r="Q9" i="18"/>
  <c r="V43" i="5"/>
  <c r="V42" i="5" s="1"/>
  <c r="V41" i="5" s="1"/>
  <c r="V57" i="5" s="1"/>
  <c r="C3" i="6"/>
  <c r="F25" i="16"/>
  <c r="Z4" i="5"/>
  <c r="Z3" i="5" s="1"/>
  <c r="AA4" i="5"/>
  <c r="AA3" i="5" s="1"/>
  <c r="B22" i="17"/>
  <c r="B21" i="17" s="1"/>
  <c r="Q23" i="17"/>
  <c r="D22" i="21"/>
  <c r="D21" i="21" s="1"/>
  <c r="C22" i="21"/>
  <c r="C21" i="21" s="1"/>
  <c r="L22" i="21"/>
  <c r="L61" i="21" s="1"/>
  <c r="B21" i="21"/>
  <c r="Q5" i="17"/>
  <c r="Q4" i="20"/>
  <c r="E11" i="17"/>
  <c r="E10" i="17" s="1"/>
  <c r="E9" i="17" s="1"/>
  <c r="E4" i="17" s="1"/>
  <c r="E3" i="17" s="1"/>
  <c r="E61" i="17" s="1"/>
  <c r="D15" i="17"/>
  <c r="D11" i="17" s="1"/>
  <c r="D10" i="17" s="1"/>
  <c r="L15" i="17"/>
  <c r="C15" i="17"/>
  <c r="C11" i="17" s="1"/>
  <c r="C10" i="17" s="1"/>
  <c r="O11" i="17"/>
  <c r="O10" i="17" s="1"/>
  <c r="O9" i="17" s="1"/>
  <c r="O4" i="17" s="1"/>
  <c r="O3" i="17" s="1"/>
  <c r="O61" i="17" s="1"/>
  <c r="Q101" i="17" s="1"/>
  <c r="B11" i="17"/>
  <c r="B10" i="17" s="1"/>
  <c r="H5" i="15"/>
  <c r="G72" i="15"/>
  <c r="J5" i="15"/>
  <c r="U6" i="15"/>
  <c r="K6" i="15"/>
  <c r="F5" i="14"/>
  <c r="E70" i="14"/>
  <c r="F70" i="14" s="1"/>
  <c r="H6" i="14"/>
  <c r="G5" i="14"/>
  <c r="E5" i="13"/>
  <c r="F6" i="13"/>
  <c r="H12" i="13"/>
  <c r="G6" i="13"/>
  <c r="K12" i="13"/>
  <c r="U12" i="13"/>
  <c r="J6" i="13"/>
  <c r="K12" i="14" l="1"/>
  <c r="U12" i="14"/>
  <c r="J6" i="14"/>
  <c r="T12" i="14"/>
  <c r="F10" i="16"/>
  <c r="F4" i="16" s="1"/>
  <c r="F3" i="16" s="1"/>
  <c r="F72" i="16" s="1"/>
  <c r="Q9" i="20"/>
  <c r="B9" i="21"/>
  <c r="Q6" i="21"/>
  <c r="C42" i="21"/>
  <c r="D42" i="21"/>
  <c r="Q43" i="17"/>
  <c r="B42" i="17"/>
  <c r="L43" i="17"/>
  <c r="D9" i="21"/>
  <c r="D4" i="21" s="1"/>
  <c r="D3" i="21" s="1"/>
  <c r="D61" i="21" s="1"/>
  <c r="X44" i="5" s="1"/>
  <c r="Y44" i="5" s="1"/>
  <c r="AA44" i="5" s="1"/>
  <c r="AA43" i="5" s="1"/>
  <c r="AA42" i="5" s="1"/>
  <c r="AA41" i="5" s="1"/>
  <c r="AA57" i="5" s="1"/>
  <c r="E4" i="21"/>
  <c r="E3" i="21" s="1"/>
  <c r="E61" i="21" s="1"/>
  <c r="E5" i="6" s="1"/>
  <c r="F5" i="6" s="1"/>
  <c r="W43" i="5"/>
  <c r="W42" i="5" s="1"/>
  <c r="W41" i="5" s="1"/>
  <c r="W57" i="5" s="1"/>
  <c r="W60" i="5" s="1"/>
  <c r="D6" i="6" s="1"/>
  <c r="D7" i="6" s="1"/>
  <c r="D3" i="6"/>
  <c r="C3" i="19"/>
  <c r="C61" i="19" s="1"/>
  <c r="V59" i="5" s="1"/>
  <c r="V60" i="5" s="1"/>
  <c r="C6" i="6" s="1"/>
  <c r="C7" i="6" s="1"/>
  <c r="Q4" i="19"/>
  <c r="Q22" i="21"/>
  <c r="Q21" i="21" s="1"/>
  <c r="C9" i="21"/>
  <c r="C4" i="21" s="1"/>
  <c r="C3" i="21" s="1"/>
  <c r="C61" i="21" s="1"/>
  <c r="B4" i="21"/>
  <c r="M47" i="21"/>
  <c r="M36" i="21"/>
  <c r="M30" i="21"/>
  <c r="M12" i="21"/>
  <c r="M33" i="21"/>
  <c r="M53" i="21"/>
  <c r="M6" i="21"/>
  <c r="M15" i="21"/>
  <c r="M18" i="21"/>
  <c r="D22" i="17"/>
  <c r="C22" i="17"/>
  <c r="L22" i="17"/>
  <c r="H72" i="15"/>
  <c r="G73" i="15"/>
  <c r="K5" i="15"/>
  <c r="J72" i="15"/>
  <c r="U5" i="15"/>
  <c r="H5" i="14"/>
  <c r="G70" i="14"/>
  <c r="G5" i="13"/>
  <c r="H6" i="13"/>
  <c r="F5" i="13"/>
  <c r="E70" i="13"/>
  <c r="F70" i="13" s="1"/>
  <c r="U6" i="13"/>
  <c r="J5" i="13"/>
  <c r="K6" i="13"/>
  <c r="T69" i="2"/>
  <c r="T68" i="2"/>
  <c r="T67" i="2"/>
  <c r="T66" i="2"/>
  <c r="T65" i="2"/>
  <c r="T56" i="2"/>
  <c r="T49" i="2"/>
  <c r="T47" i="2" s="1"/>
  <c r="T46" i="2" s="1"/>
  <c r="T45" i="2" s="1"/>
  <c r="T48" i="2"/>
  <c r="T35" i="2"/>
  <c r="T34" i="2"/>
  <c r="T33" i="2" s="1"/>
  <c r="T32" i="2"/>
  <c r="T31" i="2"/>
  <c r="T30" i="2" s="1"/>
  <c r="T29" i="2"/>
  <c r="T28" i="2" s="1"/>
  <c r="U57" i="2"/>
  <c r="U62" i="2"/>
  <c r="T68" i="11"/>
  <c r="T65" i="11"/>
  <c r="T60" i="11"/>
  <c r="T57" i="11"/>
  <c r="T55" i="11"/>
  <c r="T54" i="11"/>
  <c r="T43" i="11"/>
  <c r="T35" i="11"/>
  <c r="T34" i="11"/>
  <c r="T32" i="11"/>
  <c r="T31" i="11"/>
  <c r="T25" i="11"/>
  <c r="T10" i="11"/>
  <c r="S68" i="12"/>
  <c r="S65" i="12"/>
  <c r="S62" i="12"/>
  <c r="S57" i="12"/>
  <c r="S55" i="12"/>
  <c r="S54" i="12"/>
  <c r="S53" i="12"/>
  <c r="S38" i="12"/>
  <c r="S37" i="12"/>
  <c r="S32" i="12"/>
  <c r="S31" i="12"/>
  <c r="S29" i="12"/>
  <c r="S19" i="12"/>
  <c r="S18" i="12"/>
  <c r="I33" i="2"/>
  <c r="I30" i="2"/>
  <c r="U30" i="2" s="1"/>
  <c r="G31" i="2"/>
  <c r="G30" i="2" s="1"/>
  <c r="G32" i="2"/>
  <c r="U32" i="2" s="1"/>
  <c r="G34" i="2"/>
  <c r="G35" i="2"/>
  <c r="U35" i="2" s="1"/>
  <c r="S69" i="11"/>
  <c r="S68" i="11"/>
  <c r="S66" i="11"/>
  <c r="S65" i="11"/>
  <c r="S62" i="11"/>
  <c r="S60" i="11"/>
  <c r="S57" i="11"/>
  <c r="S55" i="11"/>
  <c r="S54" i="11"/>
  <c r="S43" i="11"/>
  <c r="S35" i="11"/>
  <c r="S34" i="11"/>
  <c r="S32" i="11"/>
  <c r="S31" i="11"/>
  <c r="S30" i="11"/>
  <c r="S26" i="11"/>
  <c r="S25" i="11"/>
  <c r="S10" i="11"/>
  <c r="G69" i="12"/>
  <c r="G67" i="12" s="1"/>
  <c r="K68" i="12"/>
  <c r="J68" i="12"/>
  <c r="H68" i="12"/>
  <c r="G68" i="12"/>
  <c r="F68" i="12"/>
  <c r="Q67" i="12"/>
  <c r="O67" i="12"/>
  <c r="M67" i="12"/>
  <c r="K67" i="12"/>
  <c r="I67" i="12"/>
  <c r="E67" i="12"/>
  <c r="D67" i="12"/>
  <c r="G66" i="12"/>
  <c r="J66" i="12" s="1"/>
  <c r="Q65" i="12"/>
  <c r="Q64" i="12" s="1"/>
  <c r="Q63" i="12" s="1"/>
  <c r="Q61" i="12" s="1"/>
  <c r="J65" i="12"/>
  <c r="H65" i="12"/>
  <c r="G65" i="12"/>
  <c r="F65" i="12"/>
  <c r="O64" i="12"/>
  <c r="M64" i="12"/>
  <c r="K64" i="12"/>
  <c r="I64" i="12"/>
  <c r="I63" i="12" s="1"/>
  <c r="I61" i="12" s="1"/>
  <c r="G64" i="12"/>
  <c r="H64" i="12" s="1"/>
  <c r="E64" i="12"/>
  <c r="E63" i="12" s="1"/>
  <c r="E61" i="12" s="1"/>
  <c r="E58" i="12" s="1"/>
  <c r="D64" i="12"/>
  <c r="O63" i="12"/>
  <c r="O61" i="12" s="1"/>
  <c r="M63" i="12"/>
  <c r="M61" i="12" s="1"/>
  <c r="M58" i="12" s="1"/>
  <c r="K63" i="12"/>
  <c r="K61" i="12" s="1"/>
  <c r="K58" i="12" s="1"/>
  <c r="D63" i="12"/>
  <c r="I60" i="12"/>
  <c r="O60" i="12" s="1"/>
  <c r="O59" i="12" s="1"/>
  <c r="G60" i="12"/>
  <c r="H60" i="12" s="1"/>
  <c r="F60" i="12"/>
  <c r="M59" i="12"/>
  <c r="K59" i="12"/>
  <c r="E59" i="12"/>
  <c r="F59" i="12" s="1"/>
  <c r="D59" i="12"/>
  <c r="Q57" i="12"/>
  <c r="Q56" i="12" s="1"/>
  <c r="J57" i="12"/>
  <c r="H57" i="12"/>
  <c r="F57" i="12"/>
  <c r="O56" i="12"/>
  <c r="M56" i="12"/>
  <c r="K56" i="12"/>
  <c r="J56" i="12"/>
  <c r="I56" i="12"/>
  <c r="G56" i="12"/>
  <c r="H56" i="12" s="1"/>
  <c r="E56" i="12"/>
  <c r="F56" i="12" s="1"/>
  <c r="D56" i="12"/>
  <c r="S56" i="12" s="1"/>
  <c r="Q55" i="12"/>
  <c r="O55" i="12"/>
  <c r="H55" i="12"/>
  <c r="G55" i="12"/>
  <c r="J55" i="12" s="1"/>
  <c r="F55" i="12"/>
  <c r="Q54" i="12"/>
  <c r="Q53" i="12" s="1"/>
  <c r="Q52" i="12" s="1"/>
  <c r="Q51" i="12" s="1"/>
  <c r="Q50" i="12" s="1"/>
  <c r="O54" i="12"/>
  <c r="O53" i="12" s="1"/>
  <c r="O52" i="12" s="1"/>
  <c r="O51" i="12" s="1"/>
  <c r="O50" i="12" s="1"/>
  <c r="J54" i="12"/>
  <c r="H54" i="12"/>
  <c r="G54" i="12"/>
  <c r="F54" i="12"/>
  <c r="M53" i="12"/>
  <c r="M52" i="12" s="1"/>
  <c r="M51" i="12" s="1"/>
  <c r="M50" i="12" s="1"/>
  <c r="K53" i="12"/>
  <c r="K52" i="12" s="1"/>
  <c r="K51" i="12" s="1"/>
  <c r="K50" i="12" s="1"/>
  <c r="I53" i="12"/>
  <c r="J53" i="12" s="1"/>
  <c r="G53" i="12"/>
  <c r="H53" i="12" s="1"/>
  <c r="E53" i="12"/>
  <c r="F53" i="12" s="1"/>
  <c r="D53" i="12"/>
  <c r="E52" i="12"/>
  <c r="E51" i="12" s="1"/>
  <c r="D52" i="12"/>
  <c r="D51" i="12" s="1"/>
  <c r="D50" i="12" s="1"/>
  <c r="G49" i="12"/>
  <c r="S49" i="12" s="1"/>
  <c r="F49" i="12"/>
  <c r="G48" i="12"/>
  <c r="I48" i="12" s="1"/>
  <c r="F48" i="12"/>
  <c r="Q47" i="12"/>
  <c r="O47" i="12"/>
  <c r="E47" i="12"/>
  <c r="E46" i="12" s="1"/>
  <c r="E45" i="12" s="1"/>
  <c r="D47" i="12"/>
  <c r="D46" i="12" s="1"/>
  <c r="Q46" i="12"/>
  <c r="Q45" i="12" s="1"/>
  <c r="O46" i="12"/>
  <c r="O45" i="12" s="1"/>
  <c r="G44" i="12"/>
  <c r="Q43" i="12"/>
  <c r="O43" i="12"/>
  <c r="M43" i="12"/>
  <c r="G43" i="12"/>
  <c r="J43" i="12" s="1"/>
  <c r="F43" i="12"/>
  <c r="K42" i="12"/>
  <c r="E42" i="12"/>
  <c r="F42" i="12" s="1"/>
  <c r="D42" i="12"/>
  <c r="I41" i="12"/>
  <c r="H41" i="12"/>
  <c r="G41" i="12"/>
  <c r="S41" i="12" s="1"/>
  <c r="F41" i="12"/>
  <c r="G40" i="12"/>
  <c r="I40" i="12" s="1"/>
  <c r="F40" i="12"/>
  <c r="K39" i="12"/>
  <c r="E39" i="12"/>
  <c r="F39" i="12" s="1"/>
  <c r="D39" i="12"/>
  <c r="G38" i="12"/>
  <c r="H38" i="12" s="1"/>
  <c r="F38" i="12"/>
  <c r="G37" i="12"/>
  <c r="I37" i="12" s="1"/>
  <c r="F37" i="12"/>
  <c r="K36" i="12"/>
  <c r="E36" i="12"/>
  <c r="F36" i="12" s="1"/>
  <c r="D36" i="12"/>
  <c r="I35" i="12"/>
  <c r="M35" i="12" s="1"/>
  <c r="G35" i="12"/>
  <c r="S35" i="12" s="1"/>
  <c r="F35" i="12"/>
  <c r="H34" i="12"/>
  <c r="G34" i="12"/>
  <c r="I34" i="12" s="1"/>
  <c r="M34" i="12" s="1"/>
  <c r="F34" i="12"/>
  <c r="Q33" i="12"/>
  <c r="O33" i="12"/>
  <c r="F33" i="12"/>
  <c r="E33" i="12"/>
  <c r="D33" i="12"/>
  <c r="I32" i="12"/>
  <c r="J32" i="12" s="1"/>
  <c r="H32" i="12"/>
  <c r="G32" i="12"/>
  <c r="F32" i="12"/>
  <c r="I31" i="12"/>
  <c r="M31" i="12" s="1"/>
  <c r="H31" i="12"/>
  <c r="G31" i="12"/>
  <c r="G30" i="12" s="1"/>
  <c r="F31" i="12"/>
  <c r="Q30" i="12"/>
  <c r="O30" i="12"/>
  <c r="E30" i="12"/>
  <c r="F30" i="12" s="1"/>
  <c r="D30" i="12"/>
  <c r="H29" i="12"/>
  <c r="G29" i="12"/>
  <c r="I29" i="12" s="1"/>
  <c r="F29" i="12"/>
  <c r="Q28" i="12"/>
  <c r="O28" i="12"/>
  <c r="E28" i="12"/>
  <c r="D28" i="12"/>
  <c r="F28" i="12" s="1"/>
  <c r="E27" i="12"/>
  <c r="D27" i="12"/>
  <c r="Q26" i="12"/>
  <c r="Q24" i="12" s="1"/>
  <c r="Q23" i="12" s="1"/>
  <c r="O26" i="12"/>
  <c r="M26" i="12"/>
  <c r="K26" i="12"/>
  <c r="K24" i="12" s="1"/>
  <c r="K23" i="12" s="1"/>
  <c r="G26" i="12"/>
  <c r="Q25" i="12"/>
  <c r="O25" i="12"/>
  <c r="M25" i="12"/>
  <c r="K25" i="12"/>
  <c r="J25" i="12"/>
  <c r="H25" i="12"/>
  <c r="G25" i="12"/>
  <c r="G24" i="12" s="1"/>
  <c r="J24" i="12" s="1"/>
  <c r="F25" i="12"/>
  <c r="O24" i="12"/>
  <c r="O23" i="12" s="1"/>
  <c r="M24" i="12"/>
  <c r="M23" i="12" s="1"/>
  <c r="I24" i="12"/>
  <c r="I23" i="12" s="1"/>
  <c r="E24" i="12"/>
  <c r="D24" i="12"/>
  <c r="F24" i="12" s="1"/>
  <c r="E23" i="12"/>
  <c r="Q22" i="12"/>
  <c r="I22" i="12"/>
  <c r="O22" i="12" s="1"/>
  <c r="G22" i="12"/>
  <c r="G20" i="12" s="1"/>
  <c r="F22" i="12"/>
  <c r="H21" i="12"/>
  <c r="G21" i="12"/>
  <c r="I21" i="12" s="1"/>
  <c r="F21" i="12"/>
  <c r="F20" i="12"/>
  <c r="E20" i="12"/>
  <c r="D20" i="12"/>
  <c r="R19" i="12"/>
  <c r="I19" i="12"/>
  <c r="J19" i="12" s="1"/>
  <c r="H19" i="12"/>
  <c r="G19" i="12"/>
  <c r="F19" i="12"/>
  <c r="R18" i="12"/>
  <c r="I18" i="12"/>
  <c r="O18" i="12" s="1"/>
  <c r="H18" i="12"/>
  <c r="G18" i="12"/>
  <c r="G17" i="12" s="1"/>
  <c r="F18" i="12"/>
  <c r="F17" i="12"/>
  <c r="E17" i="12"/>
  <c r="D17" i="12"/>
  <c r="E16" i="12"/>
  <c r="D16" i="12"/>
  <c r="G11" i="12"/>
  <c r="S11" i="12" s="1"/>
  <c r="F11" i="12"/>
  <c r="I10" i="12"/>
  <c r="Q10" i="12" s="1"/>
  <c r="H10" i="12"/>
  <c r="G10" i="12"/>
  <c r="S10" i="12" s="1"/>
  <c r="F10" i="12"/>
  <c r="M9" i="12"/>
  <c r="M8" i="12" s="1"/>
  <c r="M7" i="12" s="1"/>
  <c r="K9" i="12"/>
  <c r="G9" i="12"/>
  <c r="E9" i="12"/>
  <c r="E8" i="12" s="1"/>
  <c r="D9" i="12"/>
  <c r="D8" i="12" s="1"/>
  <c r="D7" i="12" s="1"/>
  <c r="K8" i="12"/>
  <c r="K7" i="12"/>
  <c r="G69" i="11"/>
  <c r="K68" i="11"/>
  <c r="G68" i="11"/>
  <c r="H68" i="11" s="1"/>
  <c r="F68" i="11"/>
  <c r="Q67" i="11"/>
  <c r="O67" i="11"/>
  <c r="M67" i="11"/>
  <c r="K67" i="11"/>
  <c r="I67" i="11"/>
  <c r="T67" i="11" s="1"/>
  <c r="E67" i="11"/>
  <c r="F67" i="11" s="1"/>
  <c r="D67" i="11"/>
  <c r="G66" i="11"/>
  <c r="J66" i="11" s="1"/>
  <c r="Q65" i="11"/>
  <c r="J65" i="11"/>
  <c r="H65" i="11"/>
  <c r="G65" i="11"/>
  <c r="F65" i="11"/>
  <c r="Q64" i="11"/>
  <c r="Q63" i="11" s="1"/>
  <c r="Q61" i="11" s="1"/>
  <c r="O64" i="11"/>
  <c r="O63" i="11" s="1"/>
  <c r="O61" i="11" s="1"/>
  <c r="M64" i="11"/>
  <c r="M63" i="11" s="1"/>
  <c r="M61" i="11" s="1"/>
  <c r="M58" i="11" s="1"/>
  <c r="K64" i="11"/>
  <c r="K63" i="11" s="1"/>
  <c r="K61" i="11" s="1"/>
  <c r="K58" i="11" s="1"/>
  <c r="I64" i="11"/>
  <c r="E64" i="11"/>
  <c r="D64" i="11"/>
  <c r="D63" i="11" s="1"/>
  <c r="D61" i="11" s="1"/>
  <c r="E63" i="11"/>
  <c r="E61" i="11" s="1"/>
  <c r="E58" i="11" s="1"/>
  <c r="Q60" i="11"/>
  <c r="Q59" i="11" s="1"/>
  <c r="J60" i="11"/>
  <c r="I60" i="11"/>
  <c r="O60" i="11" s="1"/>
  <c r="O59" i="11" s="1"/>
  <c r="H60" i="11"/>
  <c r="G60" i="11"/>
  <c r="G59" i="11" s="1"/>
  <c r="H59" i="11" s="1"/>
  <c r="F60" i="11"/>
  <c r="M59" i="11"/>
  <c r="K59" i="11"/>
  <c r="I59" i="11"/>
  <c r="E59" i="11"/>
  <c r="F59" i="11" s="1"/>
  <c r="D59" i="11"/>
  <c r="Q57" i="11"/>
  <c r="Q56" i="11" s="1"/>
  <c r="J57" i="11"/>
  <c r="H57" i="11"/>
  <c r="F57" i="11"/>
  <c r="O56" i="11"/>
  <c r="M56" i="11"/>
  <c r="K56" i="11"/>
  <c r="I56" i="11"/>
  <c r="T56" i="11" s="1"/>
  <c r="G56" i="11"/>
  <c r="H56" i="11" s="1"/>
  <c r="E56" i="11"/>
  <c r="F56" i="11" s="1"/>
  <c r="D56" i="11"/>
  <c r="Q55" i="11"/>
  <c r="O55" i="11"/>
  <c r="O53" i="11" s="1"/>
  <c r="O52" i="11" s="1"/>
  <c r="O51" i="11" s="1"/>
  <c r="O50" i="11" s="1"/>
  <c r="J55" i="11"/>
  <c r="H55" i="11"/>
  <c r="G55" i="11"/>
  <c r="F55" i="11"/>
  <c r="Q54" i="11"/>
  <c r="O54" i="11"/>
  <c r="G54" i="11"/>
  <c r="H54" i="11" s="1"/>
  <c r="F54" i="11"/>
  <c r="Q53" i="11"/>
  <c r="Q52" i="11" s="1"/>
  <c r="Q51" i="11" s="1"/>
  <c r="M53" i="11"/>
  <c r="M52" i="11" s="1"/>
  <c r="M51" i="11" s="1"/>
  <c r="M50" i="11" s="1"/>
  <c r="K53" i="11"/>
  <c r="I53" i="11"/>
  <c r="F53" i="11"/>
  <c r="E53" i="11"/>
  <c r="D53" i="11"/>
  <c r="D52" i="11" s="1"/>
  <c r="F52" i="11" s="1"/>
  <c r="K52" i="11"/>
  <c r="K51" i="11" s="1"/>
  <c r="K50" i="11" s="1"/>
  <c r="I52" i="11"/>
  <c r="S52" i="11" s="1"/>
  <c r="E52" i="11"/>
  <c r="E51" i="11" s="1"/>
  <c r="E50" i="11" s="1"/>
  <c r="G49" i="11"/>
  <c r="H49" i="11" s="1"/>
  <c r="F49" i="11"/>
  <c r="I48" i="11"/>
  <c r="J48" i="11" s="1"/>
  <c r="G48" i="11"/>
  <c r="H48" i="11" s="1"/>
  <c r="F48" i="11"/>
  <c r="Q47" i="11"/>
  <c r="Q46" i="11" s="1"/>
  <c r="Q45" i="11" s="1"/>
  <c r="O47" i="11"/>
  <c r="F47" i="11"/>
  <c r="E47" i="11"/>
  <c r="D47" i="11"/>
  <c r="O46" i="11"/>
  <c r="O45" i="11" s="1"/>
  <c r="E46" i="11"/>
  <c r="E45" i="11" s="1"/>
  <c r="D46" i="11"/>
  <c r="F46" i="11" s="1"/>
  <c r="G44" i="11"/>
  <c r="Q43" i="11"/>
  <c r="O43" i="11"/>
  <c r="M43" i="11"/>
  <c r="G43" i="11"/>
  <c r="J43" i="11" s="1"/>
  <c r="F43" i="11"/>
  <c r="K42" i="11"/>
  <c r="F42" i="11"/>
  <c r="E42" i="11"/>
  <c r="D42" i="11"/>
  <c r="G41" i="11"/>
  <c r="I41" i="11" s="1"/>
  <c r="F41" i="11"/>
  <c r="I40" i="11"/>
  <c r="M40" i="11" s="1"/>
  <c r="G40" i="11"/>
  <c r="H40" i="11" s="1"/>
  <c r="F40" i="11"/>
  <c r="K39" i="11"/>
  <c r="E39" i="11"/>
  <c r="F39" i="11" s="1"/>
  <c r="D39" i="11"/>
  <c r="G38" i="11"/>
  <c r="H38" i="11" s="1"/>
  <c r="F38" i="11"/>
  <c r="G37" i="11"/>
  <c r="G36" i="11" s="1"/>
  <c r="H36" i="11" s="1"/>
  <c r="F37" i="11"/>
  <c r="K36" i="11"/>
  <c r="E36" i="11"/>
  <c r="F36" i="11" s="1"/>
  <c r="D36" i="11"/>
  <c r="I33" i="11"/>
  <c r="G35" i="11"/>
  <c r="H35" i="11" s="1"/>
  <c r="F35" i="11"/>
  <c r="M34" i="11"/>
  <c r="K34" i="11"/>
  <c r="J34" i="11"/>
  <c r="H34" i="11"/>
  <c r="G34" i="11"/>
  <c r="F34" i="11"/>
  <c r="Q33" i="11"/>
  <c r="O33" i="11"/>
  <c r="H33" i="11"/>
  <c r="G33" i="11"/>
  <c r="F33" i="11"/>
  <c r="E33" i="11"/>
  <c r="D33" i="11"/>
  <c r="M32" i="11"/>
  <c r="K32" i="11"/>
  <c r="G32" i="11"/>
  <c r="H32" i="11" s="1"/>
  <c r="F32" i="11"/>
  <c r="M31" i="11"/>
  <c r="K31" i="11"/>
  <c r="G31" i="11"/>
  <c r="J31" i="11" s="1"/>
  <c r="F31" i="11"/>
  <c r="Q30" i="11"/>
  <c r="O30" i="11"/>
  <c r="I30" i="11"/>
  <c r="T30" i="11" s="1"/>
  <c r="E30" i="11"/>
  <c r="F30" i="11" s="1"/>
  <c r="D30" i="11"/>
  <c r="I29" i="11"/>
  <c r="J29" i="11" s="1"/>
  <c r="G29" i="11"/>
  <c r="H29" i="11" s="1"/>
  <c r="F29" i="11"/>
  <c r="Q28" i="11"/>
  <c r="O28" i="11"/>
  <c r="F28" i="11"/>
  <c r="E28" i="11"/>
  <c r="D28" i="11"/>
  <c r="E27" i="11"/>
  <c r="D27" i="11"/>
  <c r="Q26" i="11"/>
  <c r="O26" i="11"/>
  <c r="O24" i="11" s="1"/>
  <c r="O23" i="11" s="1"/>
  <c r="M26" i="11"/>
  <c r="K26" i="11"/>
  <c r="G26" i="11"/>
  <c r="Q25" i="11"/>
  <c r="Q24" i="11" s="1"/>
  <c r="Q23" i="11" s="1"/>
  <c r="O25" i="11"/>
  <c r="M25" i="11"/>
  <c r="K25" i="11"/>
  <c r="J25" i="11"/>
  <c r="H25" i="11"/>
  <c r="G25" i="11"/>
  <c r="G24" i="11" s="1"/>
  <c r="H24" i="11" s="1"/>
  <c r="F25" i="11"/>
  <c r="M24" i="11"/>
  <c r="M23" i="11" s="1"/>
  <c r="K24" i="11"/>
  <c r="K23" i="11" s="1"/>
  <c r="I24" i="11"/>
  <c r="T24" i="11" s="1"/>
  <c r="E24" i="11"/>
  <c r="F24" i="11" s="1"/>
  <c r="D24" i="11"/>
  <c r="D23" i="11" s="1"/>
  <c r="D15" i="11" s="1"/>
  <c r="D14" i="11" s="1"/>
  <c r="D13" i="11" s="1"/>
  <c r="G22" i="11"/>
  <c r="G20" i="11" s="1"/>
  <c r="H20" i="11" s="1"/>
  <c r="F22" i="11"/>
  <c r="G21" i="11"/>
  <c r="I21" i="11" s="1"/>
  <c r="F21" i="11"/>
  <c r="E20" i="11"/>
  <c r="F20" i="11" s="1"/>
  <c r="D20" i="11"/>
  <c r="R19" i="11"/>
  <c r="I19" i="11"/>
  <c r="T19" i="11" s="1"/>
  <c r="G19" i="11"/>
  <c r="H19" i="11" s="1"/>
  <c r="F19" i="11"/>
  <c r="R18" i="11"/>
  <c r="G18" i="11"/>
  <c r="H18" i="11" s="1"/>
  <c r="F18" i="11"/>
  <c r="F17" i="11"/>
  <c r="E17" i="11"/>
  <c r="E16" i="11" s="1"/>
  <c r="D17" i="11"/>
  <c r="D16" i="11"/>
  <c r="G11" i="11"/>
  <c r="I11" i="11" s="1"/>
  <c r="F11" i="11"/>
  <c r="Q10" i="11"/>
  <c r="O10" i="11"/>
  <c r="J10" i="11"/>
  <c r="I10" i="11"/>
  <c r="H10" i="11"/>
  <c r="G10" i="11"/>
  <c r="G9" i="11" s="1"/>
  <c r="F10" i="11"/>
  <c r="M9" i="11"/>
  <c r="M8" i="11" s="1"/>
  <c r="M7" i="11" s="1"/>
  <c r="K9" i="11"/>
  <c r="K8" i="11" s="1"/>
  <c r="K7" i="11" s="1"/>
  <c r="E9" i="11"/>
  <c r="F9" i="11" s="1"/>
  <c r="D9" i="11"/>
  <c r="D8" i="11" s="1"/>
  <c r="D7" i="11" s="1"/>
  <c r="O44" i="3"/>
  <c r="O43" i="3"/>
  <c r="K48" i="12" l="1"/>
  <c r="M48" i="12"/>
  <c r="J48" i="12"/>
  <c r="F8" i="12"/>
  <c r="E7" i="12"/>
  <c r="F7" i="12" s="1"/>
  <c r="H17" i="12"/>
  <c r="S17" i="12"/>
  <c r="H20" i="12"/>
  <c r="S20" i="12"/>
  <c r="M40" i="12"/>
  <c r="J40" i="12"/>
  <c r="O40" i="12"/>
  <c r="Q40" i="12"/>
  <c r="F46" i="12"/>
  <c r="D45" i="12"/>
  <c r="G8" i="11"/>
  <c r="H9" i="11"/>
  <c r="T41" i="11"/>
  <c r="J41" i="11"/>
  <c r="S41" i="11"/>
  <c r="M41" i="11"/>
  <c r="M39" i="11" s="1"/>
  <c r="Q41" i="11"/>
  <c r="O41" i="11"/>
  <c r="F45" i="12"/>
  <c r="H30" i="12"/>
  <c r="S30" i="12"/>
  <c r="O21" i="11"/>
  <c r="T21" i="11"/>
  <c r="S21" i="11"/>
  <c r="M21" i="11"/>
  <c r="Q21" i="11"/>
  <c r="O37" i="12"/>
  <c r="J37" i="12"/>
  <c r="M37" i="12"/>
  <c r="Q37" i="12"/>
  <c r="F51" i="12"/>
  <c r="E50" i="12"/>
  <c r="F50" i="12" s="1"/>
  <c r="O21" i="12"/>
  <c r="O20" i="12" s="1"/>
  <c r="I20" i="12"/>
  <c r="J20" i="12" s="1"/>
  <c r="Q21" i="12"/>
  <c r="Q20" i="12" s="1"/>
  <c r="J29" i="12"/>
  <c r="M29" i="12"/>
  <c r="M28" i="12" s="1"/>
  <c r="I28" i="12"/>
  <c r="J28" i="12" s="1"/>
  <c r="K29" i="12"/>
  <c r="K28" i="12" s="1"/>
  <c r="Q9" i="11"/>
  <c r="Q8" i="11" s="1"/>
  <c r="Q7" i="11" s="1"/>
  <c r="T11" i="11"/>
  <c r="S11" i="11"/>
  <c r="J11" i="11"/>
  <c r="Q11" i="11"/>
  <c r="I9" i="11"/>
  <c r="O11" i="11"/>
  <c r="O9" i="11" s="1"/>
  <c r="O8" i="11" s="1"/>
  <c r="O7" i="11" s="1"/>
  <c r="F67" i="12"/>
  <c r="S29" i="11"/>
  <c r="J56" i="11"/>
  <c r="C42" i="17"/>
  <c r="D42" i="17"/>
  <c r="M19" i="11"/>
  <c r="O19" i="11"/>
  <c r="I22" i="11"/>
  <c r="K30" i="11"/>
  <c r="I37" i="11"/>
  <c r="G39" i="11"/>
  <c r="H39" i="11" s="1"/>
  <c r="J68" i="11"/>
  <c r="Q19" i="12"/>
  <c r="J22" i="12"/>
  <c r="I38" i="12"/>
  <c r="I36" i="12" s="1"/>
  <c r="J36" i="12" s="1"/>
  <c r="G47" i="12"/>
  <c r="G52" i="12"/>
  <c r="G51" i="12" s="1"/>
  <c r="S51" i="12" s="1"/>
  <c r="G33" i="2"/>
  <c r="U33" i="2" s="1"/>
  <c r="S22" i="12"/>
  <c r="T48" i="11"/>
  <c r="E3" i="6"/>
  <c r="F3" i="6" s="1"/>
  <c r="O58" i="12"/>
  <c r="X59" i="5"/>
  <c r="Y59" i="5" s="1"/>
  <c r="H22" i="11"/>
  <c r="J32" i="11"/>
  <c r="H37" i="11"/>
  <c r="J54" i="11"/>
  <c r="F16" i="12"/>
  <c r="O19" i="12"/>
  <c r="O17" i="12" s="1"/>
  <c r="O16" i="12" s="1"/>
  <c r="O15" i="12" s="1"/>
  <c r="O14" i="12" s="1"/>
  <c r="O13" i="12" s="1"/>
  <c r="M32" i="12"/>
  <c r="M30" i="12" s="1"/>
  <c r="F47" i="12"/>
  <c r="I49" i="12"/>
  <c r="I47" i="12" s="1"/>
  <c r="F52" i="12"/>
  <c r="J64" i="12"/>
  <c r="S21" i="12"/>
  <c r="S40" i="12"/>
  <c r="X43" i="5"/>
  <c r="Q19" i="11"/>
  <c r="G30" i="11"/>
  <c r="H30" i="11" s="1"/>
  <c r="I39" i="11"/>
  <c r="I49" i="11"/>
  <c r="K22" i="12"/>
  <c r="I52" i="12"/>
  <c r="S25" i="12"/>
  <c r="S60" i="12"/>
  <c r="H49" i="12"/>
  <c r="E8" i="11"/>
  <c r="F8" i="11" s="1"/>
  <c r="E23" i="11"/>
  <c r="F23" i="11" s="1"/>
  <c r="J33" i="11"/>
  <c r="I44" i="11"/>
  <c r="G67" i="11"/>
  <c r="J67" i="11" s="1"/>
  <c r="M22" i="12"/>
  <c r="G28" i="12"/>
  <c r="G36" i="12"/>
  <c r="I44" i="12"/>
  <c r="I42" i="12" s="1"/>
  <c r="J42" i="12" s="1"/>
  <c r="G59" i="12"/>
  <c r="S43" i="12"/>
  <c r="T33" i="11"/>
  <c r="L61" i="17"/>
  <c r="M6" i="17" s="1"/>
  <c r="Q60" i="12"/>
  <c r="Q59" i="12" s="1"/>
  <c r="H9" i="12"/>
  <c r="M19" i="12"/>
  <c r="H22" i="12"/>
  <c r="K32" i="12"/>
  <c r="S48" i="11"/>
  <c r="T29" i="11"/>
  <c r="G28" i="11"/>
  <c r="J28" i="11" s="1"/>
  <c r="G47" i="11"/>
  <c r="G33" i="12"/>
  <c r="F63" i="12"/>
  <c r="S19" i="11"/>
  <c r="S53" i="11"/>
  <c r="Q50" i="11"/>
  <c r="F64" i="12"/>
  <c r="F9" i="12"/>
  <c r="K19" i="11"/>
  <c r="G17" i="11"/>
  <c r="G16" i="11" s="1"/>
  <c r="H16" i="11" s="1"/>
  <c r="I23" i="11"/>
  <c r="G53" i="11"/>
  <c r="I39" i="12"/>
  <c r="J39" i="12" s="1"/>
  <c r="I59" i="12"/>
  <c r="T52" i="11"/>
  <c r="D2" i="6"/>
  <c r="K48" i="11"/>
  <c r="I28" i="11"/>
  <c r="G42" i="11"/>
  <c r="H42" i="11" s="1"/>
  <c r="J10" i="12"/>
  <c r="D23" i="12"/>
  <c r="S64" i="12"/>
  <c r="T53" i="11"/>
  <c r="B9" i="17"/>
  <c r="H40" i="12"/>
  <c r="H43" i="12"/>
  <c r="S40" i="11"/>
  <c r="S56" i="11"/>
  <c r="S48" i="12"/>
  <c r="J60" i="12"/>
  <c r="M48" i="11"/>
  <c r="H48" i="12"/>
  <c r="S9" i="12"/>
  <c r="K29" i="11"/>
  <c r="K28" i="11" s="1"/>
  <c r="H41" i="11"/>
  <c r="H43" i="11"/>
  <c r="J59" i="11"/>
  <c r="F27" i="11"/>
  <c r="I18" i="11"/>
  <c r="H31" i="11"/>
  <c r="I38" i="11"/>
  <c r="O40" i="11"/>
  <c r="F64" i="11"/>
  <c r="H11" i="12"/>
  <c r="J31" i="12"/>
  <c r="H37" i="12"/>
  <c r="G39" i="12"/>
  <c r="G42" i="12"/>
  <c r="S24" i="11"/>
  <c r="S59" i="11"/>
  <c r="J5" i="14"/>
  <c r="T6" i="14"/>
  <c r="K6" i="14"/>
  <c r="U6" i="14"/>
  <c r="K19" i="12"/>
  <c r="F27" i="12"/>
  <c r="H35" i="12"/>
  <c r="H11" i="11"/>
  <c r="H21" i="11"/>
  <c r="Q40" i="11"/>
  <c r="G64" i="11"/>
  <c r="G63" i="11" s="1"/>
  <c r="I11" i="12"/>
  <c r="S34" i="12"/>
  <c r="T40" i="11"/>
  <c r="J19" i="11"/>
  <c r="M29" i="11"/>
  <c r="M28" i="11" s="1"/>
  <c r="J40" i="11"/>
  <c r="D45" i="11"/>
  <c r="F45" i="11" s="1"/>
  <c r="S64" i="11"/>
  <c r="T59" i="11"/>
  <c r="Q9" i="21"/>
  <c r="D21" i="17"/>
  <c r="C2" i="6"/>
  <c r="X42" i="5"/>
  <c r="M47" i="17"/>
  <c r="M36" i="17"/>
  <c r="M53" i="17"/>
  <c r="M33" i="17"/>
  <c r="M18" i="17"/>
  <c r="M12" i="17"/>
  <c r="M15" i="17"/>
  <c r="B4" i="17"/>
  <c r="Q22" i="17"/>
  <c r="Q21" i="17" s="1"/>
  <c r="C21" i="17"/>
  <c r="Q4" i="21"/>
  <c r="U72" i="15"/>
  <c r="K72" i="15"/>
  <c r="H70" i="14"/>
  <c r="G71" i="14"/>
  <c r="H5" i="13"/>
  <c r="G70" i="13"/>
  <c r="J70" i="13"/>
  <c r="U5" i="13"/>
  <c r="K5" i="13"/>
  <c r="U31" i="2"/>
  <c r="T64" i="2"/>
  <c r="T63" i="2" s="1"/>
  <c r="T61" i="2" s="1"/>
  <c r="U34" i="2"/>
  <c r="S67" i="11"/>
  <c r="I63" i="11"/>
  <c r="O58" i="11"/>
  <c r="Q58" i="11"/>
  <c r="T64" i="11"/>
  <c r="J67" i="12"/>
  <c r="S67" i="12"/>
  <c r="S24" i="12"/>
  <c r="M30" i="11"/>
  <c r="S33" i="11"/>
  <c r="M33" i="12"/>
  <c r="Q58" i="12"/>
  <c r="Q18" i="12"/>
  <c r="Q17" i="12" s="1"/>
  <c r="Q16" i="12" s="1"/>
  <c r="Q15" i="12" s="1"/>
  <c r="Q14" i="12" s="1"/>
  <c r="Q13" i="12" s="1"/>
  <c r="G8" i="12"/>
  <c r="S8" i="12" s="1"/>
  <c r="O10" i="12"/>
  <c r="K31" i="12"/>
  <c r="K30" i="12" s="1"/>
  <c r="J34" i="12"/>
  <c r="J41" i="12"/>
  <c r="I9" i="12"/>
  <c r="I30" i="12"/>
  <c r="J30" i="12" s="1"/>
  <c r="K34" i="12"/>
  <c r="M41" i="12"/>
  <c r="M39" i="12" s="1"/>
  <c r="J21" i="12"/>
  <c r="I33" i="12"/>
  <c r="J33" i="12" s="1"/>
  <c r="O41" i="12"/>
  <c r="O39" i="12" s="1"/>
  <c r="K21" i="12"/>
  <c r="K20" i="12" s="1"/>
  <c r="Q41" i="12"/>
  <c r="Q39" i="12" s="1"/>
  <c r="H67" i="12"/>
  <c r="M21" i="12"/>
  <c r="M20" i="12" s="1"/>
  <c r="E15" i="12"/>
  <c r="J18" i="12"/>
  <c r="G23" i="12"/>
  <c r="H24" i="12"/>
  <c r="J35" i="12"/>
  <c r="I51" i="12"/>
  <c r="I58" i="12"/>
  <c r="D61" i="12"/>
  <c r="G16" i="12"/>
  <c r="S16" i="12" s="1"/>
  <c r="K18" i="12"/>
  <c r="K35" i="12"/>
  <c r="I17" i="12"/>
  <c r="M18" i="12"/>
  <c r="G63" i="12"/>
  <c r="S63" i="12" s="1"/>
  <c r="H63" i="11"/>
  <c r="G61" i="11"/>
  <c r="J63" i="11"/>
  <c r="D58" i="11"/>
  <c r="F58" i="11" s="1"/>
  <c r="F61" i="11"/>
  <c r="O20" i="11"/>
  <c r="I51" i="11"/>
  <c r="J64" i="11"/>
  <c r="K22" i="11"/>
  <c r="J35" i="11"/>
  <c r="K18" i="11"/>
  <c r="K17" i="11" s="1"/>
  <c r="M35" i="11"/>
  <c r="M33" i="11" s="1"/>
  <c r="M22" i="11"/>
  <c r="M20" i="11" s="1"/>
  <c r="F16" i="11"/>
  <c r="G23" i="11"/>
  <c r="K35" i="11"/>
  <c r="K33" i="11" s="1"/>
  <c r="F63" i="11"/>
  <c r="J24" i="11"/>
  <c r="O22" i="11"/>
  <c r="D51" i="11"/>
  <c r="J22" i="11"/>
  <c r="I8" i="11"/>
  <c r="J21" i="11"/>
  <c r="K21" i="11"/>
  <c r="K20" i="11" s="1"/>
  <c r="Q22" i="11"/>
  <c r="Q20" i="11" s="1"/>
  <c r="I9" i="3"/>
  <c r="I4" i="3" s="1"/>
  <c r="I3" i="3" s="1"/>
  <c r="Q57" i="3"/>
  <c r="Q54" i="3"/>
  <c r="Q26" i="3"/>
  <c r="Q25" i="3"/>
  <c r="Q23" i="3"/>
  <c r="Q20" i="3"/>
  <c r="Q19" i="3"/>
  <c r="Q17" i="3"/>
  <c r="Q16" i="3"/>
  <c r="Q8" i="3"/>
  <c r="Q7" i="3"/>
  <c r="E50" i="3"/>
  <c r="E49" i="3" s="1"/>
  <c r="E48" i="3" s="1"/>
  <c r="B6" i="3"/>
  <c r="E6" i="3" s="1"/>
  <c r="E5" i="3" s="1"/>
  <c r="J47" i="12" l="1"/>
  <c r="I46" i="12"/>
  <c r="G52" i="11"/>
  <c r="H53" i="11"/>
  <c r="J44" i="12"/>
  <c r="M49" i="11"/>
  <c r="M47" i="11" s="1"/>
  <c r="M46" i="11" s="1"/>
  <c r="M45" i="11" s="1"/>
  <c r="K49" i="11"/>
  <c r="K47" i="11" s="1"/>
  <c r="K46" i="11" s="1"/>
  <c r="K45" i="11" s="1"/>
  <c r="J49" i="11"/>
  <c r="T49" i="11"/>
  <c r="S49" i="11"/>
  <c r="K27" i="11"/>
  <c r="H17" i="11"/>
  <c r="M17" i="12"/>
  <c r="M16" i="12" s="1"/>
  <c r="M15" i="12" s="1"/>
  <c r="M14" i="12" s="1"/>
  <c r="M13" i="12" s="1"/>
  <c r="M12" i="12" s="1"/>
  <c r="M6" i="12" s="1"/>
  <c r="M5" i="12" s="1"/>
  <c r="M70" i="12" s="1"/>
  <c r="Q39" i="11"/>
  <c r="H59" i="12"/>
  <c r="S59" i="12"/>
  <c r="J39" i="11"/>
  <c r="T39" i="11"/>
  <c r="S39" i="11"/>
  <c r="I20" i="11"/>
  <c r="T22" i="11"/>
  <c r="S22" i="11"/>
  <c r="Q44" i="12"/>
  <c r="Q42" i="12" s="1"/>
  <c r="O39" i="11"/>
  <c r="S33" i="12"/>
  <c r="H33" i="12"/>
  <c r="H36" i="12"/>
  <c r="S36" i="12"/>
  <c r="M38" i="11"/>
  <c r="J38" i="11"/>
  <c r="O38" i="11"/>
  <c r="T38" i="11"/>
  <c r="Q38" i="11"/>
  <c r="S38" i="11"/>
  <c r="G46" i="11"/>
  <c r="H47" i="11"/>
  <c r="G27" i="12"/>
  <c r="S28" i="12"/>
  <c r="H28" i="12"/>
  <c r="H67" i="11"/>
  <c r="K17" i="12"/>
  <c r="K16" i="12" s="1"/>
  <c r="K15" i="12" s="1"/>
  <c r="K14" i="12" s="1"/>
  <c r="K13" i="12" s="1"/>
  <c r="K12" i="12" s="1"/>
  <c r="K6" i="12" s="1"/>
  <c r="K5" i="12" s="1"/>
  <c r="K70" i="12" s="1"/>
  <c r="D9" i="17"/>
  <c r="D4" i="17" s="1"/>
  <c r="D3" i="17" s="1"/>
  <c r="D61" i="17" s="1"/>
  <c r="J59" i="12"/>
  <c r="J30" i="11"/>
  <c r="T51" i="11"/>
  <c r="S51" i="11"/>
  <c r="Q18" i="11"/>
  <c r="Q17" i="11" s="1"/>
  <c r="Q16" i="11" s="1"/>
  <c r="Q15" i="11" s="1"/>
  <c r="Q14" i="11" s="1"/>
  <c r="Q13" i="11" s="1"/>
  <c r="Q12" i="11" s="1"/>
  <c r="Q6" i="11" s="1"/>
  <c r="Q5" i="11" s="1"/>
  <c r="Q70" i="11" s="1"/>
  <c r="T18" i="11"/>
  <c r="S18" i="11"/>
  <c r="J18" i="11"/>
  <c r="O44" i="12"/>
  <c r="O42" i="12" s="1"/>
  <c r="H28" i="11"/>
  <c r="G27" i="11"/>
  <c r="H27" i="11" s="1"/>
  <c r="S44" i="11"/>
  <c r="Q44" i="11"/>
  <c r="Q42" i="11" s="1"/>
  <c r="I42" i="11"/>
  <c r="O44" i="11"/>
  <c r="O42" i="11" s="1"/>
  <c r="M44" i="11"/>
  <c r="M42" i="11" s="1"/>
  <c r="J44" i="11"/>
  <c r="H52" i="12"/>
  <c r="S52" i="12"/>
  <c r="T23" i="11"/>
  <c r="S23" i="11"/>
  <c r="T5" i="14"/>
  <c r="K5" i="14"/>
  <c r="J70" i="14"/>
  <c r="U5" i="14"/>
  <c r="E15" i="11"/>
  <c r="J53" i="11"/>
  <c r="O18" i="11"/>
  <c r="O17" i="11" s="1"/>
  <c r="J9" i="11"/>
  <c r="S9" i="11"/>
  <c r="T9" i="11"/>
  <c r="H64" i="11"/>
  <c r="M30" i="17"/>
  <c r="H42" i="12"/>
  <c r="S42" i="12"/>
  <c r="I47" i="11"/>
  <c r="T8" i="11"/>
  <c r="S8" i="11"/>
  <c r="Q38" i="12"/>
  <c r="Q36" i="12" s="1"/>
  <c r="Q27" i="12" s="1"/>
  <c r="Q12" i="12" s="1"/>
  <c r="Q6" i="12" s="1"/>
  <c r="Q5" i="12" s="1"/>
  <c r="Q70" i="12" s="1"/>
  <c r="O38" i="12"/>
  <c r="O36" i="12" s="1"/>
  <c r="O27" i="12" s="1"/>
  <c r="O12" i="12" s="1"/>
  <c r="M38" i="12"/>
  <c r="M36" i="12" s="1"/>
  <c r="M27" i="12" s="1"/>
  <c r="J38" i="12"/>
  <c r="M49" i="12"/>
  <c r="M47" i="12" s="1"/>
  <c r="M46" i="12" s="1"/>
  <c r="M45" i="12" s="1"/>
  <c r="K49" i="12"/>
  <c r="J49" i="12"/>
  <c r="G46" i="12"/>
  <c r="S47" i="12"/>
  <c r="H47" i="12"/>
  <c r="E7" i="11"/>
  <c r="M44" i="12"/>
  <c r="M42" i="12" s="1"/>
  <c r="U70" i="13"/>
  <c r="U74" i="13"/>
  <c r="U75" i="13" s="1"/>
  <c r="F23" i="12"/>
  <c r="D15" i="12"/>
  <c r="D14" i="12" s="1"/>
  <c r="D13" i="12" s="1"/>
  <c r="D12" i="12" s="1"/>
  <c r="D6" i="12" s="1"/>
  <c r="M18" i="11"/>
  <c r="M17" i="11" s="1"/>
  <c r="M16" i="11" s="1"/>
  <c r="M15" i="11" s="1"/>
  <c r="M14" i="11" s="1"/>
  <c r="M13" i="11" s="1"/>
  <c r="H39" i="12"/>
  <c r="S39" i="12"/>
  <c r="J52" i="12"/>
  <c r="G7" i="11"/>
  <c r="H7" i="11" s="1"/>
  <c r="H8" i="11"/>
  <c r="I17" i="11"/>
  <c r="J11" i="12"/>
  <c r="Q11" i="12"/>
  <c r="Q9" i="12" s="1"/>
  <c r="Q8" i="12" s="1"/>
  <c r="Q7" i="12" s="1"/>
  <c r="O11" i="12"/>
  <c r="O9" i="12" s="1"/>
  <c r="O8" i="12" s="1"/>
  <c r="O7" i="12" s="1"/>
  <c r="O6" i="12" s="1"/>
  <c r="O5" i="12" s="1"/>
  <c r="O70" i="12" s="1"/>
  <c r="S28" i="11"/>
  <c r="T28" i="11"/>
  <c r="I36" i="11"/>
  <c r="T37" i="11"/>
  <c r="Q37" i="11"/>
  <c r="Q36" i="11" s="1"/>
  <c r="Q27" i="11" s="1"/>
  <c r="S37" i="11"/>
  <c r="O37" i="11"/>
  <c r="O36" i="11" s="1"/>
  <c r="O27" i="11" s="1"/>
  <c r="M37" i="11"/>
  <c r="M36" i="11" s="1"/>
  <c r="M27" i="11" s="1"/>
  <c r="J37" i="11"/>
  <c r="K47" i="12"/>
  <c r="K46" i="12" s="1"/>
  <c r="K45" i="12" s="1"/>
  <c r="X41" i="5"/>
  <c r="C9" i="17"/>
  <c r="H70" i="13"/>
  <c r="G71" i="13"/>
  <c r="K70" i="13"/>
  <c r="I61" i="11"/>
  <c r="J61" i="11" s="1"/>
  <c r="S63" i="11"/>
  <c r="T63" i="11"/>
  <c r="H23" i="12"/>
  <c r="S23" i="12"/>
  <c r="H8" i="12"/>
  <c r="G7" i="12"/>
  <c r="S7" i="12" s="1"/>
  <c r="K33" i="12"/>
  <c r="K27" i="12" s="1"/>
  <c r="H16" i="12"/>
  <c r="G15" i="12"/>
  <c r="S15" i="12" s="1"/>
  <c r="J23" i="12"/>
  <c r="J17" i="12"/>
  <c r="I16" i="12"/>
  <c r="I27" i="12"/>
  <c r="J27" i="12" s="1"/>
  <c r="F61" i="12"/>
  <c r="D58" i="12"/>
  <c r="F58" i="12" s="1"/>
  <c r="J9" i="12"/>
  <c r="I8" i="12"/>
  <c r="J51" i="12"/>
  <c r="I50" i="12"/>
  <c r="E14" i="12"/>
  <c r="H51" i="12"/>
  <c r="G50" i="12"/>
  <c r="H63" i="12"/>
  <c r="G61" i="12"/>
  <c r="S61" i="12" s="1"/>
  <c r="J63" i="12"/>
  <c r="D5" i="12"/>
  <c r="D70" i="12" s="1"/>
  <c r="J46" i="12"/>
  <c r="I45" i="12"/>
  <c r="J8" i="11"/>
  <c r="I7" i="11"/>
  <c r="K16" i="11"/>
  <c r="K15" i="11" s="1"/>
  <c r="K14" i="11" s="1"/>
  <c r="K13" i="11" s="1"/>
  <c r="G58" i="11"/>
  <c r="H58" i="11" s="1"/>
  <c r="H61" i="11"/>
  <c r="I50" i="11"/>
  <c r="J17" i="11"/>
  <c r="I16" i="11"/>
  <c r="F7" i="11"/>
  <c r="O16" i="11"/>
  <c r="O15" i="11" s="1"/>
  <c r="O14" i="11" s="1"/>
  <c r="O13" i="11" s="1"/>
  <c r="F51" i="11"/>
  <c r="D50" i="11"/>
  <c r="J23" i="11"/>
  <c r="H23" i="11"/>
  <c r="G15" i="11"/>
  <c r="B36" i="3"/>
  <c r="B30" i="3"/>
  <c r="B33" i="3"/>
  <c r="B44" i="3"/>
  <c r="B40" i="3"/>
  <c r="Q40" i="3" s="1"/>
  <c r="B27" i="3"/>
  <c r="B24" i="3"/>
  <c r="B22" i="3"/>
  <c r="B18" i="3"/>
  <c r="B15" i="3"/>
  <c r="B12" i="3"/>
  <c r="D18" i="9"/>
  <c r="C18" i="9"/>
  <c r="E17" i="9"/>
  <c r="E16" i="9"/>
  <c r="M12" i="11" l="1"/>
  <c r="M6" i="11" s="1"/>
  <c r="M5" i="11" s="1"/>
  <c r="M70" i="11" s="1"/>
  <c r="J42" i="11"/>
  <c r="S42" i="11"/>
  <c r="T42" i="11"/>
  <c r="T70" i="14"/>
  <c r="K70" i="14"/>
  <c r="U70" i="14"/>
  <c r="H27" i="12"/>
  <c r="S27" i="12"/>
  <c r="J36" i="11"/>
  <c r="T36" i="11"/>
  <c r="S36" i="11"/>
  <c r="I27" i="11"/>
  <c r="F15" i="11"/>
  <c r="E14" i="11"/>
  <c r="T50" i="11"/>
  <c r="S50" i="11"/>
  <c r="J20" i="11"/>
  <c r="T20" i="11"/>
  <c r="S20" i="11"/>
  <c r="H50" i="12"/>
  <c r="S50" i="12"/>
  <c r="F15" i="12"/>
  <c r="T17" i="11"/>
  <c r="S17" i="11"/>
  <c r="H52" i="11"/>
  <c r="J52" i="11"/>
  <c r="G51" i="11"/>
  <c r="O12" i="11"/>
  <c r="O6" i="11" s="1"/>
  <c r="O5" i="11" s="1"/>
  <c r="O70" i="11" s="1"/>
  <c r="T16" i="11"/>
  <c r="S16" i="11"/>
  <c r="I46" i="11"/>
  <c r="S47" i="11"/>
  <c r="T47" i="11"/>
  <c r="J47" i="11"/>
  <c r="H46" i="11"/>
  <c r="G45" i="11"/>
  <c r="H45" i="11" s="1"/>
  <c r="K12" i="11"/>
  <c r="K6" i="11" s="1"/>
  <c r="K5" i="11" s="1"/>
  <c r="K70" i="11" s="1"/>
  <c r="H46" i="12"/>
  <c r="S46" i="12"/>
  <c r="G45" i="12"/>
  <c r="T7" i="11"/>
  <c r="S7" i="11"/>
  <c r="P12" i="3"/>
  <c r="P11" i="3" s="1"/>
  <c r="P10" i="3" s="1"/>
  <c r="P9" i="3" s="1"/>
  <c r="P4" i="3" s="1"/>
  <c r="P3" i="3" s="1"/>
  <c r="P58" i="3" s="1"/>
  <c r="X57" i="5"/>
  <c r="C4" i="17"/>
  <c r="Q9" i="17"/>
  <c r="E18" i="9"/>
  <c r="T61" i="11"/>
  <c r="S61" i="11"/>
  <c r="I58" i="11"/>
  <c r="J8" i="12"/>
  <c r="I7" i="12"/>
  <c r="G58" i="12"/>
  <c r="S58" i="12" s="1"/>
  <c r="H61" i="12"/>
  <c r="J61" i="12"/>
  <c r="I15" i="12"/>
  <c r="J16" i="12"/>
  <c r="O85" i="12"/>
  <c r="Q73" i="12"/>
  <c r="H7" i="12"/>
  <c r="J50" i="12"/>
  <c r="H15" i="12"/>
  <c r="G14" i="12"/>
  <c r="S14" i="12" s="1"/>
  <c r="F14" i="12"/>
  <c r="E13" i="12"/>
  <c r="J16" i="11"/>
  <c r="I15" i="11"/>
  <c r="Q73" i="11"/>
  <c r="O85" i="11"/>
  <c r="J7" i="11"/>
  <c r="G14" i="11"/>
  <c r="H15" i="11"/>
  <c r="F50" i="11"/>
  <c r="D12" i="11"/>
  <c r="D6" i="11" s="1"/>
  <c r="D5" i="11" s="1"/>
  <c r="D70" i="11" s="1"/>
  <c r="E44" i="3"/>
  <c r="E43" i="3" s="1"/>
  <c r="E15" i="3"/>
  <c r="D33" i="3"/>
  <c r="E33" i="3"/>
  <c r="D30" i="3"/>
  <c r="E30" i="3"/>
  <c r="E18" i="3"/>
  <c r="E12" i="3"/>
  <c r="D36" i="3"/>
  <c r="E36" i="3"/>
  <c r="C22" i="3"/>
  <c r="D22" i="3"/>
  <c r="C27" i="3"/>
  <c r="D27" i="3"/>
  <c r="B11" i="3"/>
  <c r="D12" i="3"/>
  <c r="C24" i="3"/>
  <c r="D24" i="3"/>
  <c r="C15" i="3"/>
  <c r="D15" i="3"/>
  <c r="C18" i="3"/>
  <c r="D18" i="3"/>
  <c r="C12" i="3"/>
  <c r="B21" i="3"/>
  <c r="G21" i="3" s="1"/>
  <c r="F14" i="11" l="1"/>
  <c r="E13" i="11"/>
  <c r="J51" i="11"/>
  <c r="H51" i="11"/>
  <c r="G50" i="11"/>
  <c r="H45" i="12"/>
  <c r="S45" i="12"/>
  <c r="T27" i="11"/>
  <c r="J27" i="11"/>
  <c r="S27" i="11"/>
  <c r="T15" i="11"/>
  <c r="S15" i="11"/>
  <c r="Q24" i="3"/>
  <c r="E21" i="3"/>
  <c r="T46" i="11"/>
  <c r="S46" i="11"/>
  <c r="I45" i="11"/>
  <c r="J46" i="11"/>
  <c r="J45" i="12"/>
  <c r="Q27" i="3"/>
  <c r="X60" i="5"/>
  <c r="C3" i="17"/>
  <c r="Q4" i="17"/>
  <c r="T58" i="11"/>
  <c r="S58" i="11"/>
  <c r="J58" i="11"/>
  <c r="J15" i="12"/>
  <c r="I14" i="12"/>
  <c r="H58" i="12"/>
  <c r="J58" i="12"/>
  <c r="F13" i="12"/>
  <c r="E12" i="12"/>
  <c r="G13" i="12"/>
  <c r="S13" i="12" s="1"/>
  <c r="H14" i="12"/>
  <c r="J7" i="12"/>
  <c r="J15" i="11"/>
  <c r="I14" i="11"/>
  <c r="G13" i="11"/>
  <c r="H14" i="11"/>
  <c r="E11" i="3"/>
  <c r="E10" i="3" s="1"/>
  <c r="E9" i="3" s="1"/>
  <c r="E4" i="3" s="1"/>
  <c r="E3" i="3" s="1"/>
  <c r="E58" i="3" s="1"/>
  <c r="D11" i="3"/>
  <c r="D10" i="3" s="1"/>
  <c r="D21" i="3"/>
  <c r="C11" i="3"/>
  <c r="C10" i="3" s="1"/>
  <c r="C21" i="3"/>
  <c r="P28" i="7"/>
  <c r="P27" i="7"/>
  <c r="P26" i="7"/>
  <c r="P24" i="7"/>
  <c r="P22" i="7"/>
  <c r="P21" i="7"/>
  <c r="P20" i="7"/>
  <c r="P19" i="7"/>
  <c r="P18" i="7"/>
  <c r="P17" i="7"/>
  <c r="P16" i="7"/>
  <c r="P14" i="7"/>
  <c r="P13" i="7"/>
  <c r="P12" i="7"/>
  <c r="P11" i="7"/>
  <c r="P10" i="7"/>
  <c r="P9" i="7"/>
  <c r="P8" i="7"/>
  <c r="P7" i="7"/>
  <c r="S14" i="11" l="1"/>
  <c r="T14" i="11"/>
  <c r="J50" i="11"/>
  <c r="H50" i="11"/>
  <c r="E12" i="11"/>
  <c r="F13" i="11"/>
  <c r="J45" i="11"/>
  <c r="S45" i="11"/>
  <c r="T45" i="11"/>
  <c r="E6" i="6"/>
  <c r="C61" i="17"/>
  <c r="J14" i="12"/>
  <c r="I13" i="12"/>
  <c r="H13" i="12"/>
  <c r="G12" i="12"/>
  <c r="S12" i="12" s="1"/>
  <c r="F12" i="12"/>
  <c r="E6" i="12"/>
  <c r="J14" i="11"/>
  <c r="I13" i="11"/>
  <c r="H13" i="11"/>
  <c r="G12" i="11"/>
  <c r="P23" i="7"/>
  <c r="T22" i="5"/>
  <c r="T5" i="5"/>
  <c r="S26" i="5"/>
  <c r="S17" i="5"/>
  <c r="S16" i="5"/>
  <c r="S15" i="5"/>
  <c r="S6" i="5"/>
  <c r="T55" i="5"/>
  <c r="T52" i="5"/>
  <c r="T49" i="5"/>
  <c r="T46" i="5"/>
  <c r="T43" i="5"/>
  <c r="T36" i="5"/>
  <c r="T33" i="5"/>
  <c r="T30" i="5"/>
  <c r="T29" i="5" s="1"/>
  <c r="K44" i="3"/>
  <c r="K43" i="3" s="1"/>
  <c r="Q90" i="3"/>
  <c r="F12" i="11" l="1"/>
  <c r="E6" i="11"/>
  <c r="S13" i="11"/>
  <c r="T13" i="11"/>
  <c r="E7" i="6"/>
  <c r="E2" i="6"/>
  <c r="T54" i="5"/>
  <c r="T51" i="5"/>
  <c r="T42" i="5"/>
  <c r="T41" i="5" s="1"/>
  <c r="T32" i="5"/>
  <c r="H12" i="12"/>
  <c r="G6" i="12"/>
  <c r="S6" i="12" s="1"/>
  <c r="J13" i="12"/>
  <c r="I12" i="12"/>
  <c r="F6" i="12"/>
  <c r="E5" i="12"/>
  <c r="H12" i="11"/>
  <c r="G6" i="11"/>
  <c r="J13" i="11"/>
  <c r="I12" i="11"/>
  <c r="T14" i="5"/>
  <c r="K33" i="3"/>
  <c r="K21" i="3" s="1"/>
  <c r="K9" i="3" s="1"/>
  <c r="K4" i="3" s="1"/>
  <c r="K3" i="3" s="1"/>
  <c r="O54" i="2"/>
  <c r="O55" i="2"/>
  <c r="S12" i="11" l="1"/>
  <c r="T12" i="11"/>
  <c r="F6" i="11"/>
  <c r="E5" i="11"/>
  <c r="T48" i="5"/>
  <c r="T28" i="5"/>
  <c r="T4" i="5"/>
  <c r="T3" i="5" s="1"/>
  <c r="J12" i="12"/>
  <c r="I6" i="12"/>
  <c r="H6" i="12"/>
  <c r="G5" i="12"/>
  <c r="S5" i="12" s="1"/>
  <c r="E70" i="12"/>
  <c r="F70" i="12" s="1"/>
  <c r="F5" i="12"/>
  <c r="J12" i="11"/>
  <c r="I6" i="11"/>
  <c r="H6" i="11"/>
  <c r="G5" i="11"/>
  <c r="G68" i="2"/>
  <c r="U68" i="2" s="1"/>
  <c r="G10" i="2"/>
  <c r="I10" i="2" s="1"/>
  <c r="F65" i="2"/>
  <c r="G65" i="2"/>
  <c r="U65" i="2" s="1"/>
  <c r="G66" i="2"/>
  <c r="U66" i="2" s="1"/>
  <c r="G60" i="2"/>
  <c r="G54" i="2"/>
  <c r="U54" i="2" s="1"/>
  <c r="G48" i="2"/>
  <c r="G49" i="2"/>
  <c r="G44" i="2"/>
  <c r="G43" i="2"/>
  <c r="G40" i="2"/>
  <c r="I40" i="2" s="1"/>
  <c r="U40" i="2" s="1"/>
  <c r="G37" i="2"/>
  <c r="I37" i="2" s="1"/>
  <c r="U37" i="2" s="1"/>
  <c r="G29" i="2"/>
  <c r="G22" i="2"/>
  <c r="G21" i="2"/>
  <c r="G19" i="2"/>
  <c r="G18" i="2"/>
  <c r="E64" i="2"/>
  <c r="D64" i="2"/>
  <c r="N4" i="8"/>
  <c r="N3" i="8"/>
  <c r="N2" i="8"/>
  <c r="I4" i="8"/>
  <c r="I3" i="8"/>
  <c r="I2" i="8"/>
  <c r="B14" i="8"/>
  <c r="B6" i="8"/>
  <c r="B3" i="8"/>
  <c r="B2" i="8" s="1"/>
  <c r="B17" i="8" s="1"/>
  <c r="C8" i="8"/>
  <c r="R19" i="2"/>
  <c r="R18" i="2"/>
  <c r="L51" i="3"/>
  <c r="L53" i="3"/>
  <c r="L55" i="3"/>
  <c r="F30" i="7"/>
  <c r="E30" i="7"/>
  <c r="D30" i="7"/>
  <c r="C30" i="7"/>
  <c r="F29" i="7"/>
  <c r="E29" i="7"/>
  <c r="D29" i="7"/>
  <c r="C29" i="7"/>
  <c r="E28" i="7"/>
  <c r="D28" i="7"/>
  <c r="M27" i="7"/>
  <c r="M26" i="7" s="1"/>
  <c r="L27" i="7"/>
  <c r="K27" i="7"/>
  <c r="J27" i="7"/>
  <c r="I27" i="7"/>
  <c r="H27" i="7"/>
  <c r="G27" i="7"/>
  <c r="M23" i="7"/>
  <c r="L23" i="7"/>
  <c r="K23" i="7"/>
  <c r="J23" i="7"/>
  <c r="I23" i="7"/>
  <c r="H23" i="7"/>
  <c r="G23" i="7"/>
  <c r="F23" i="7"/>
  <c r="E23" i="7"/>
  <c r="D23" i="7"/>
  <c r="C23" i="7"/>
  <c r="M20" i="7"/>
  <c r="L20" i="7"/>
  <c r="K20" i="7"/>
  <c r="J20" i="7"/>
  <c r="I20" i="7"/>
  <c r="H20" i="7"/>
  <c r="G20" i="7"/>
  <c r="F20" i="7"/>
  <c r="E20" i="7"/>
  <c r="D20" i="7"/>
  <c r="C20" i="7"/>
  <c r="F19" i="7"/>
  <c r="E19" i="7"/>
  <c r="D19" i="7"/>
  <c r="C19" i="7"/>
  <c r="E18" i="7"/>
  <c r="D18" i="7"/>
  <c r="F17" i="7"/>
  <c r="E17" i="7"/>
  <c r="D17" i="7"/>
  <c r="C17" i="7"/>
  <c r="E16" i="7"/>
  <c r="D16" i="7"/>
  <c r="C16" i="7"/>
  <c r="E15" i="7"/>
  <c r="D15" i="7"/>
  <c r="C15" i="7"/>
  <c r="E14" i="7"/>
  <c r="E13" i="7"/>
  <c r="D13" i="7"/>
  <c r="M12" i="7"/>
  <c r="L12" i="7"/>
  <c r="K12" i="7"/>
  <c r="J12" i="7"/>
  <c r="I12" i="7"/>
  <c r="H12" i="7"/>
  <c r="G12" i="7"/>
  <c r="F10" i="7"/>
  <c r="F9" i="7" s="1"/>
  <c r="D10" i="7"/>
  <c r="D9" i="7" s="1"/>
  <c r="C10" i="7"/>
  <c r="C9" i="7" s="1"/>
  <c r="M9" i="7"/>
  <c r="L9" i="7"/>
  <c r="K9" i="7"/>
  <c r="J9" i="7"/>
  <c r="I9" i="7"/>
  <c r="H9" i="7"/>
  <c r="G9" i="7"/>
  <c r="E9" i="7"/>
  <c r="F7" i="7"/>
  <c r="F6" i="7" s="1"/>
  <c r="E7" i="7"/>
  <c r="E6" i="7" s="1"/>
  <c r="D7" i="7"/>
  <c r="D6" i="7" s="1"/>
  <c r="C7" i="7"/>
  <c r="C6" i="7" s="1"/>
  <c r="M6" i="7"/>
  <c r="L6" i="7"/>
  <c r="K6" i="7"/>
  <c r="J6" i="7"/>
  <c r="I6" i="7"/>
  <c r="H6" i="7"/>
  <c r="G6" i="7"/>
  <c r="B13" i="8" l="1"/>
  <c r="B10" i="8" s="1"/>
  <c r="I5" i="8" s="1"/>
  <c r="E70" i="11"/>
  <c r="F70" i="11" s="1"/>
  <c r="F5" i="11"/>
  <c r="S6" i="11"/>
  <c r="T6" i="11"/>
  <c r="T57" i="5"/>
  <c r="I44" i="2"/>
  <c r="U44" i="2" s="1"/>
  <c r="U43" i="2"/>
  <c r="U10" i="2"/>
  <c r="J6" i="12"/>
  <c r="I5" i="12"/>
  <c r="G70" i="12"/>
  <c r="H5" i="12"/>
  <c r="J6" i="11"/>
  <c r="I5" i="11"/>
  <c r="H5" i="11"/>
  <c r="G70" i="11"/>
  <c r="H70" i="11" s="1"/>
  <c r="G64" i="2"/>
  <c r="G63" i="2" s="1"/>
  <c r="L48" i="3"/>
  <c r="F12" i="7"/>
  <c r="F5" i="7" s="1"/>
  <c r="D27" i="7"/>
  <c r="D26" i="7" s="1"/>
  <c r="C27" i="7"/>
  <c r="C12" i="7"/>
  <c r="C5" i="7" s="1"/>
  <c r="H5" i="7"/>
  <c r="H26" i="7"/>
  <c r="I26" i="7"/>
  <c r="J26" i="7"/>
  <c r="I5" i="7"/>
  <c r="K26" i="7"/>
  <c r="G5" i="7"/>
  <c r="G26" i="7"/>
  <c r="M5" i="7"/>
  <c r="M4" i="7" s="1"/>
  <c r="C26" i="7"/>
  <c r="D12" i="7"/>
  <c r="D5" i="7" s="1"/>
  <c r="L26" i="7"/>
  <c r="E12" i="7"/>
  <c r="E5" i="7" s="1"/>
  <c r="F27" i="7"/>
  <c r="F26" i="7" s="1"/>
  <c r="J5" i="7"/>
  <c r="E27" i="7"/>
  <c r="E26" i="7" s="1"/>
  <c r="K5" i="7"/>
  <c r="L5" i="7"/>
  <c r="I6" i="8" l="1"/>
  <c r="N5" i="8"/>
  <c r="N6" i="8" s="1"/>
  <c r="L4" i="7"/>
  <c r="S5" i="11"/>
  <c r="T5" i="11"/>
  <c r="H70" i="12"/>
  <c r="S70" i="12"/>
  <c r="I70" i="12"/>
  <c r="J70" i="12" s="1"/>
  <c r="J5" i="12"/>
  <c r="J5" i="11"/>
  <c r="I70" i="11"/>
  <c r="T70" i="11" s="1"/>
  <c r="L31" i="7"/>
  <c r="H4" i="7"/>
  <c r="H31" i="7" s="1"/>
  <c r="M31" i="7"/>
  <c r="F4" i="7"/>
  <c r="F31" i="7" s="1"/>
  <c r="D4" i="7"/>
  <c r="D31" i="7" s="1"/>
  <c r="E4" i="7"/>
  <c r="E31" i="7" s="1"/>
  <c r="I4" i="7"/>
  <c r="I31" i="7" s="1"/>
  <c r="K4" i="7"/>
  <c r="K31" i="7" s="1"/>
  <c r="J4" i="7"/>
  <c r="J31" i="7" s="1"/>
  <c r="C4" i="7"/>
  <c r="C31" i="7" s="1"/>
  <c r="G4" i="7"/>
  <c r="G31" i="7" s="1"/>
  <c r="J70" i="11" l="1"/>
  <c r="S70" i="11"/>
  <c r="I58" i="3"/>
  <c r="Q95" i="3" s="1"/>
  <c r="U55" i="5"/>
  <c r="U52" i="5"/>
  <c r="U49" i="5"/>
  <c r="Y49" i="5" s="1"/>
  <c r="U33" i="5"/>
  <c r="U30" i="5"/>
  <c r="U46" i="5"/>
  <c r="Y46" i="5" s="1"/>
  <c r="R39" i="5"/>
  <c r="R37" i="5"/>
  <c r="R26" i="5"/>
  <c r="R22" i="5" s="1"/>
  <c r="R17" i="5"/>
  <c r="R16" i="5"/>
  <c r="R15" i="5"/>
  <c r="R12" i="5"/>
  <c r="R6" i="5"/>
  <c r="R55" i="5"/>
  <c r="R54" i="5" s="1"/>
  <c r="S55" i="5"/>
  <c r="S54" i="5" s="1"/>
  <c r="Q55" i="5"/>
  <c r="Q54" i="5" s="1"/>
  <c r="P55" i="5"/>
  <c r="P54" i="5" s="1"/>
  <c r="S52" i="5"/>
  <c r="S51" i="5" s="1"/>
  <c r="R52" i="5"/>
  <c r="R51" i="5" s="1"/>
  <c r="Q52" i="5"/>
  <c r="Q51" i="5" s="1"/>
  <c r="P52" i="5"/>
  <c r="P51" i="5" s="1"/>
  <c r="M50" i="5"/>
  <c r="L50" i="5"/>
  <c r="K50" i="5"/>
  <c r="J50" i="5"/>
  <c r="I50" i="5"/>
  <c r="H50" i="5"/>
  <c r="G50" i="5"/>
  <c r="F50" i="5"/>
  <c r="E50" i="5"/>
  <c r="D50" i="5"/>
  <c r="C50" i="5"/>
  <c r="S49" i="5"/>
  <c r="R49" i="5"/>
  <c r="Q49" i="5"/>
  <c r="P49" i="5"/>
  <c r="C49" i="5"/>
  <c r="C48" i="5" s="1"/>
  <c r="C47" i="5" s="1"/>
  <c r="M48" i="5"/>
  <c r="M47" i="5" s="1"/>
  <c r="M46" i="5" s="1"/>
  <c r="L48" i="5"/>
  <c r="L47" i="5" s="1"/>
  <c r="L46" i="5" s="1"/>
  <c r="K48" i="5"/>
  <c r="K47" i="5" s="1"/>
  <c r="J48" i="5"/>
  <c r="J47" i="5" s="1"/>
  <c r="I48" i="5"/>
  <c r="I47" i="5" s="1"/>
  <c r="H48" i="5"/>
  <c r="H47" i="5" s="1"/>
  <c r="G48" i="5"/>
  <c r="G47" i="5" s="1"/>
  <c r="G46" i="5" s="1"/>
  <c r="F48" i="5"/>
  <c r="F47" i="5" s="1"/>
  <c r="E48" i="5"/>
  <c r="E47" i="5" s="1"/>
  <c r="D48" i="5"/>
  <c r="D47" i="5" s="1"/>
  <c r="R46" i="5"/>
  <c r="Q46" i="5"/>
  <c r="P46" i="5"/>
  <c r="R43" i="5"/>
  <c r="R42" i="5" s="1"/>
  <c r="Q43" i="5"/>
  <c r="Q42" i="5" s="1"/>
  <c r="P43" i="5"/>
  <c r="P42" i="5" s="1"/>
  <c r="M38" i="5"/>
  <c r="L38" i="5"/>
  <c r="K38" i="5"/>
  <c r="J38" i="5"/>
  <c r="I38" i="5"/>
  <c r="H38" i="5"/>
  <c r="G38" i="5"/>
  <c r="F38" i="5"/>
  <c r="E38" i="5"/>
  <c r="D38" i="5"/>
  <c r="C38" i="5"/>
  <c r="Q36" i="5"/>
  <c r="P36" i="5"/>
  <c r="M36" i="5"/>
  <c r="L36" i="5"/>
  <c r="K36" i="5"/>
  <c r="J36" i="5"/>
  <c r="I36" i="5"/>
  <c r="H36" i="5"/>
  <c r="G36" i="5"/>
  <c r="F36" i="5"/>
  <c r="E36" i="5"/>
  <c r="D36" i="5"/>
  <c r="C36" i="5"/>
  <c r="F34" i="5"/>
  <c r="R33" i="5"/>
  <c r="R32" i="5" s="1"/>
  <c r="Q33" i="5"/>
  <c r="Q32" i="5" s="1"/>
  <c r="P33" i="5"/>
  <c r="P32" i="5" s="1"/>
  <c r="F33" i="5"/>
  <c r="F32" i="5"/>
  <c r="F31" i="5" s="1"/>
  <c r="E32" i="5"/>
  <c r="E31" i="5" s="1"/>
  <c r="D32" i="5"/>
  <c r="D31" i="5" s="1"/>
  <c r="C32" i="5"/>
  <c r="C31" i="5" s="1"/>
  <c r="M31" i="5"/>
  <c r="L31" i="5"/>
  <c r="K31" i="5"/>
  <c r="J31" i="5"/>
  <c r="I31" i="5"/>
  <c r="H31" i="5"/>
  <c r="G31" i="5"/>
  <c r="S30" i="5"/>
  <c r="R30" i="5"/>
  <c r="R29" i="5" s="1"/>
  <c r="Q30" i="5"/>
  <c r="Q29" i="5" s="1"/>
  <c r="P30" i="5"/>
  <c r="P29" i="5" s="1"/>
  <c r="E30" i="5"/>
  <c r="D30" i="5"/>
  <c r="F29" i="5"/>
  <c r="E29" i="5"/>
  <c r="D29" i="5"/>
  <c r="C29" i="5"/>
  <c r="F28" i="5"/>
  <c r="E28" i="5"/>
  <c r="D28" i="5"/>
  <c r="C28" i="5"/>
  <c r="E27" i="5"/>
  <c r="D27" i="5"/>
  <c r="Q26" i="5"/>
  <c r="Q22" i="5" s="1"/>
  <c r="M26" i="5"/>
  <c r="L26" i="5"/>
  <c r="K26" i="5"/>
  <c r="J26" i="5"/>
  <c r="I26" i="5"/>
  <c r="H26" i="5"/>
  <c r="G26" i="5"/>
  <c r="P22" i="5"/>
  <c r="M22" i="5"/>
  <c r="L22" i="5"/>
  <c r="K22" i="5"/>
  <c r="J22" i="5"/>
  <c r="I22" i="5"/>
  <c r="H22" i="5"/>
  <c r="G22" i="5"/>
  <c r="F22" i="5"/>
  <c r="E22" i="5"/>
  <c r="D22" i="5"/>
  <c r="C22" i="5"/>
  <c r="M19" i="5"/>
  <c r="L19" i="5"/>
  <c r="K19" i="5"/>
  <c r="J19" i="5"/>
  <c r="I19" i="5"/>
  <c r="H19" i="5"/>
  <c r="G19" i="5"/>
  <c r="F19" i="5"/>
  <c r="E19" i="5"/>
  <c r="D19" i="5"/>
  <c r="C19" i="5"/>
  <c r="F18" i="5"/>
  <c r="E18" i="5"/>
  <c r="D18" i="5"/>
  <c r="C18" i="5"/>
  <c r="S14" i="5"/>
  <c r="Q17" i="5"/>
  <c r="E17" i="5"/>
  <c r="D17" i="5"/>
  <c r="Q16" i="5"/>
  <c r="F16" i="5"/>
  <c r="E16" i="5"/>
  <c r="D16" i="5"/>
  <c r="C16" i="5"/>
  <c r="Q15" i="5"/>
  <c r="E15" i="5"/>
  <c r="D15" i="5"/>
  <c r="C15" i="5"/>
  <c r="P14" i="5"/>
  <c r="E14" i="5"/>
  <c r="D14" i="5"/>
  <c r="C14" i="5"/>
  <c r="E13" i="5"/>
  <c r="E12" i="5"/>
  <c r="D12" i="5"/>
  <c r="M11" i="5"/>
  <c r="L11" i="5"/>
  <c r="K11" i="5"/>
  <c r="J11" i="5"/>
  <c r="I11" i="5"/>
  <c r="H11" i="5"/>
  <c r="G11" i="5"/>
  <c r="F9" i="5"/>
  <c r="F8" i="5" s="1"/>
  <c r="D9" i="5"/>
  <c r="D8" i="5" s="1"/>
  <c r="C9" i="5"/>
  <c r="C8" i="5" s="1"/>
  <c r="M8" i="5"/>
  <c r="L8" i="5"/>
  <c r="K8" i="5"/>
  <c r="J8" i="5"/>
  <c r="I8" i="5"/>
  <c r="H8" i="5"/>
  <c r="G8" i="5"/>
  <c r="E8" i="5"/>
  <c r="Q6" i="5"/>
  <c r="Q5" i="5" s="1"/>
  <c r="F6" i="5"/>
  <c r="F5" i="5" s="1"/>
  <c r="E6" i="5"/>
  <c r="E5" i="5" s="1"/>
  <c r="D6" i="5"/>
  <c r="D5" i="5" s="1"/>
  <c r="C6" i="5"/>
  <c r="C5" i="5" s="1"/>
  <c r="P5" i="5"/>
  <c r="M5" i="5"/>
  <c r="L5" i="5"/>
  <c r="K5" i="5"/>
  <c r="J5" i="5"/>
  <c r="I5" i="5"/>
  <c r="H5" i="5"/>
  <c r="G5" i="5"/>
  <c r="U29" i="5" l="1"/>
  <c r="Y30" i="5"/>
  <c r="U32" i="5"/>
  <c r="Y32" i="5" s="1"/>
  <c r="Y33" i="5"/>
  <c r="U51" i="5"/>
  <c r="Y51" i="5" s="1"/>
  <c r="Y52" i="5"/>
  <c r="U54" i="5"/>
  <c r="Y54" i="5" s="1"/>
  <c r="Y55" i="5"/>
  <c r="R5" i="5"/>
  <c r="E35" i="5"/>
  <c r="F11" i="5"/>
  <c r="F4" i="5" s="1"/>
  <c r="M25" i="5"/>
  <c r="C35" i="5"/>
  <c r="F35" i="5"/>
  <c r="G35" i="5"/>
  <c r="I4" i="5"/>
  <c r="J4" i="5"/>
  <c r="I25" i="5"/>
  <c r="D35" i="5"/>
  <c r="P28" i="5"/>
  <c r="G25" i="5"/>
  <c r="E26" i="5"/>
  <c r="E25" i="5" s="1"/>
  <c r="Q41" i="5"/>
  <c r="C11" i="5"/>
  <c r="C4" i="5" s="1"/>
  <c r="K46" i="5"/>
  <c r="U48" i="5"/>
  <c r="Y48" i="5" s="1"/>
  <c r="P4" i="5"/>
  <c r="P3" i="5" s="1"/>
  <c r="Q14" i="5"/>
  <c r="Q4" i="5" s="1"/>
  <c r="Q3" i="5" s="1"/>
  <c r="C26" i="5"/>
  <c r="C25" i="5" s="1"/>
  <c r="M35" i="5"/>
  <c r="F26" i="5"/>
  <c r="F25" i="5" s="1"/>
  <c r="H25" i="5"/>
  <c r="S22" i="5"/>
  <c r="S33" i="5"/>
  <c r="S32" i="5" s="1"/>
  <c r="P41" i="5"/>
  <c r="D26" i="5"/>
  <c r="D25" i="5" s="1"/>
  <c r="H35" i="5"/>
  <c r="J46" i="5"/>
  <c r="S36" i="5"/>
  <c r="D46" i="5"/>
  <c r="E46" i="5"/>
  <c r="F46" i="5"/>
  <c r="H4" i="5"/>
  <c r="S46" i="5"/>
  <c r="H46" i="5"/>
  <c r="E11" i="5"/>
  <c r="E4" i="5" s="1"/>
  <c r="J25" i="5"/>
  <c r="D11" i="5"/>
  <c r="D4" i="5" s="1"/>
  <c r="K25" i="5"/>
  <c r="Q28" i="5"/>
  <c r="L25" i="5"/>
  <c r="I35" i="5"/>
  <c r="R14" i="5"/>
  <c r="R4" i="5" s="1"/>
  <c r="R3" i="5" s="1"/>
  <c r="J35" i="5"/>
  <c r="G4" i="5"/>
  <c r="K4" i="5"/>
  <c r="K35" i="5"/>
  <c r="S43" i="5"/>
  <c r="S42" i="5" s="1"/>
  <c r="I46" i="5"/>
  <c r="C46" i="5"/>
  <c r="L4" i="5"/>
  <c r="L35" i="5"/>
  <c r="M4" i="5"/>
  <c r="M3" i="5" s="1"/>
  <c r="M57" i="5" s="1"/>
  <c r="R36" i="5"/>
  <c r="R48" i="5"/>
  <c r="R41" i="5"/>
  <c r="P48" i="5"/>
  <c r="Q48" i="5"/>
  <c r="S5" i="5"/>
  <c r="S29" i="5"/>
  <c r="S48" i="5"/>
  <c r="U28" i="5" l="1"/>
  <c r="Y28" i="5" s="1"/>
  <c r="Y29" i="5"/>
  <c r="I3" i="5"/>
  <c r="J3" i="5"/>
  <c r="J57" i="5" s="1"/>
  <c r="G3" i="5"/>
  <c r="G57" i="5" s="1"/>
  <c r="E3" i="5"/>
  <c r="E57" i="5" s="1"/>
  <c r="H3" i="5"/>
  <c r="H57" i="5" s="1"/>
  <c r="F3" i="5"/>
  <c r="F57" i="5" s="1"/>
  <c r="P57" i="5"/>
  <c r="U5" i="5"/>
  <c r="Y5" i="5" s="1"/>
  <c r="P6" i="7"/>
  <c r="P15" i="7"/>
  <c r="Q57" i="5"/>
  <c r="D3" i="5"/>
  <c r="D57" i="5" s="1"/>
  <c r="I57" i="5"/>
  <c r="S4" i="5"/>
  <c r="S3" i="5" s="1"/>
  <c r="C3" i="5"/>
  <c r="C57" i="5" s="1"/>
  <c r="K3" i="5"/>
  <c r="K57" i="5" s="1"/>
  <c r="S41" i="5"/>
  <c r="L3" i="5"/>
  <c r="L57" i="5" s="1"/>
  <c r="R28" i="5"/>
  <c r="R57" i="5" s="1"/>
  <c r="S28" i="5"/>
  <c r="P5" i="7" l="1"/>
  <c r="P4" i="7" s="1"/>
  <c r="S57" i="5"/>
  <c r="U14" i="5" l="1"/>
  <c r="K197" i="4"/>
  <c r="J197" i="4"/>
  <c r="I197" i="4"/>
  <c r="H197" i="4"/>
  <c r="G197" i="4"/>
  <c r="F197" i="4"/>
  <c r="E197" i="4"/>
  <c r="D197" i="4"/>
  <c r="C197" i="4"/>
  <c r="B197" i="4"/>
  <c r="U4" i="5" l="1"/>
  <c r="Y14" i="5"/>
  <c r="N39" i="3"/>
  <c r="H58" i="3"/>
  <c r="H5" i="3"/>
  <c r="H4" i="3" s="1"/>
  <c r="U3" i="5" l="1"/>
  <c r="Y4" i="5"/>
  <c r="B55" i="3"/>
  <c r="B53" i="3"/>
  <c r="N53" i="3"/>
  <c r="G53" i="3"/>
  <c r="G22" i="3"/>
  <c r="Q22" i="3" s="1"/>
  <c r="Q57" i="2"/>
  <c r="M9" i="2"/>
  <c r="M8" i="2" s="1"/>
  <c r="M7" i="2" s="1"/>
  <c r="K9" i="2"/>
  <c r="K8" i="2" s="1"/>
  <c r="K7" i="2" s="1"/>
  <c r="Q28" i="2"/>
  <c r="O28" i="2"/>
  <c r="Q30" i="2"/>
  <c r="L24" i="3" s="1"/>
  <c r="O30" i="2"/>
  <c r="Q33" i="2"/>
  <c r="L27" i="3" s="1"/>
  <c r="O33" i="2"/>
  <c r="K36" i="2"/>
  <c r="K39" i="2"/>
  <c r="K42" i="2"/>
  <c r="Q47" i="2"/>
  <c r="Q46" i="2" s="1"/>
  <c r="Q45" i="2" s="1"/>
  <c r="L40" i="3" s="1"/>
  <c r="O47" i="2"/>
  <c r="O46" i="2" s="1"/>
  <c r="O45" i="2" s="1"/>
  <c r="M53" i="2"/>
  <c r="M52" i="2" s="1"/>
  <c r="M51" i="2" s="1"/>
  <c r="K53" i="2"/>
  <c r="K52" i="2" s="1"/>
  <c r="K51" i="2" s="1"/>
  <c r="Q56" i="2"/>
  <c r="B47" i="3" s="1"/>
  <c r="L47" i="3" s="1"/>
  <c r="O56" i="2"/>
  <c r="M56" i="2"/>
  <c r="K56" i="2"/>
  <c r="M59" i="2"/>
  <c r="K59" i="2"/>
  <c r="O64" i="2"/>
  <c r="O63" i="2" s="1"/>
  <c r="O61" i="2" s="1"/>
  <c r="M64" i="2"/>
  <c r="M63" i="2" s="1"/>
  <c r="M61" i="2" s="1"/>
  <c r="K64" i="2"/>
  <c r="K63" i="2" s="1"/>
  <c r="K61" i="2" s="1"/>
  <c r="Q67" i="2"/>
  <c r="O67" i="2"/>
  <c r="M67" i="2"/>
  <c r="Q65" i="2"/>
  <c r="Q64" i="2" s="1"/>
  <c r="Q44" i="2"/>
  <c r="T44" i="2" s="1"/>
  <c r="O44" i="2"/>
  <c r="Q43" i="2"/>
  <c r="T43" i="2" s="1"/>
  <c r="O43" i="2"/>
  <c r="M44" i="2"/>
  <c r="M43" i="2"/>
  <c r="M42" i="2" s="1"/>
  <c r="Q26" i="2"/>
  <c r="T26" i="2" s="1"/>
  <c r="O26" i="2"/>
  <c r="M26" i="2"/>
  <c r="K26" i="2"/>
  <c r="H65" i="2"/>
  <c r="H57" i="2"/>
  <c r="H43" i="2"/>
  <c r="H22" i="2"/>
  <c r="H19" i="2"/>
  <c r="J65" i="2"/>
  <c r="J57" i="2"/>
  <c r="J44" i="2"/>
  <c r="J43" i="2"/>
  <c r="I56" i="2"/>
  <c r="I42" i="2"/>
  <c r="U42" i="2" s="1"/>
  <c r="I64" i="2"/>
  <c r="G69" i="2"/>
  <c r="U69" i="2" s="1"/>
  <c r="G61" i="2"/>
  <c r="G59" i="2"/>
  <c r="H54" i="2"/>
  <c r="H49" i="2"/>
  <c r="I48" i="2"/>
  <c r="G41" i="2"/>
  <c r="J40" i="2"/>
  <c r="G38" i="2"/>
  <c r="I38" i="2" s="1"/>
  <c r="H37" i="2"/>
  <c r="M34" i="2"/>
  <c r="J35" i="2"/>
  <c r="K31" i="2"/>
  <c r="J32" i="2"/>
  <c r="G28" i="2"/>
  <c r="G26" i="2"/>
  <c r="G25" i="2"/>
  <c r="G20" i="2"/>
  <c r="G17" i="2"/>
  <c r="J10" i="2"/>
  <c r="G11" i="2"/>
  <c r="I11" i="2" s="1"/>
  <c r="G55" i="2"/>
  <c r="Q55" i="2"/>
  <c r="T55" i="2" s="1"/>
  <c r="Q54" i="2"/>
  <c r="T54" i="2" s="1"/>
  <c r="T53" i="2" s="1"/>
  <c r="T52" i="2" s="1"/>
  <c r="T51" i="2" s="1"/>
  <c r="T50" i="2" s="1"/>
  <c r="F68" i="2"/>
  <c r="F60" i="2"/>
  <c r="F57" i="2"/>
  <c r="F55" i="2"/>
  <c r="F54" i="2"/>
  <c r="F49" i="2"/>
  <c r="F48" i="2"/>
  <c r="F43" i="2"/>
  <c r="F41" i="2"/>
  <c r="F40" i="2"/>
  <c r="F38" i="2"/>
  <c r="F37" i="2"/>
  <c r="F35" i="2"/>
  <c r="F34" i="2"/>
  <c r="F32" i="2"/>
  <c r="F31" i="2"/>
  <c r="F29" i="2"/>
  <c r="F25" i="2"/>
  <c r="F22" i="2"/>
  <c r="F21" i="2"/>
  <c r="F19" i="2"/>
  <c r="F18" i="2"/>
  <c r="F11" i="2"/>
  <c r="F10" i="2"/>
  <c r="E59" i="2"/>
  <c r="E67" i="2"/>
  <c r="E63" i="2"/>
  <c r="E61" i="2" s="1"/>
  <c r="E58" i="2" s="1"/>
  <c r="G56" i="2"/>
  <c r="E56" i="2"/>
  <c r="E53" i="2"/>
  <c r="E52" i="2" s="1"/>
  <c r="E51" i="2" s="1"/>
  <c r="E47" i="2"/>
  <c r="E46" i="2" s="1"/>
  <c r="E45" i="2" s="1"/>
  <c r="G42" i="2"/>
  <c r="E42" i="2"/>
  <c r="E39" i="2"/>
  <c r="E36" i="2"/>
  <c r="E33" i="2"/>
  <c r="E30" i="2"/>
  <c r="E28" i="2"/>
  <c r="E24" i="2"/>
  <c r="E23" i="2" s="1"/>
  <c r="E20" i="2"/>
  <c r="E17" i="2"/>
  <c r="E9" i="2"/>
  <c r="E8" i="2" s="1"/>
  <c r="E7" i="2" s="1"/>
  <c r="D56" i="2"/>
  <c r="D67" i="2"/>
  <c r="D63" i="2"/>
  <c r="D61" i="2" s="1"/>
  <c r="D59" i="2"/>
  <c r="D53" i="2"/>
  <c r="D52" i="2" s="1"/>
  <c r="D51" i="2" s="1"/>
  <c r="D47" i="2"/>
  <c r="D46" i="2" s="1"/>
  <c r="D45" i="2" s="1"/>
  <c r="D42" i="2"/>
  <c r="D39" i="2"/>
  <c r="D36" i="2"/>
  <c r="D33" i="2"/>
  <c r="D30" i="2"/>
  <c r="D28" i="2"/>
  <c r="D24" i="2"/>
  <c r="D23" i="2" s="1"/>
  <c r="D20" i="2"/>
  <c r="D17" i="2"/>
  <c r="D9" i="2"/>
  <c r="D8" i="2" s="1"/>
  <c r="D7" i="2" s="1"/>
  <c r="L76" i="1"/>
  <c r="K76" i="1"/>
  <c r="J76" i="1"/>
  <c r="I76" i="1"/>
  <c r="H76" i="1"/>
  <c r="G76" i="1"/>
  <c r="F76" i="1"/>
  <c r="E76" i="1"/>
  <c r="D76" i="1"/>
  <c r="C76" i="1"/>
  <c r="L75" i="1"/>
  <c r="K75" i="1"/>
  <c r="J75" i="1"/>
  <c r="I75" i="1"/>
  <c r="H75" i="1"/>
  <c r="G75" i="1"/>
  <c r="F75" i="1"/>
  <c r="E75" i="1"/>
  <c r="D75" i="1"/>
  <c r="C75" i="1"/>
  <c r="D65" i="1"/>
  <c r="E65" i="1" s="1"/>
  <c r="C64" i="1"/>
  <c r="L62" i="1"/>
  <c r="L61" i="1" s="1"/>
  <c r="L59" i="1" s="1"/>
  <c r="K62" i="1"/>
  <c r="K61" i="1" s="1"/>
  <c r="K59" i="1" s="1"/>
  <c r="J62" i="1"/>
  <c r="J61" i="1" s="1"/>
  <c r="J59" i="1" s="1"/>
  <c r="I62" i="1"/>
  <c r="I61" i="1" s="1"/>
  <c r="I59" i="1" s="1"/>
  <c r="H62" i="1"/>
  <c r="H61" i="1" s="1"/>
  <c r="H59" i="1" s="1"/>
  <c r="G62" i="1"/>
  <c r="G61" i="1" s="1"/>
  <c r="G59" i="1" s="1"/>
  <c r="F62" i="1"/>
  <c r="F61" i="1" s="1"/>
  <c r="F59" i="1" s="1"/>
  <c r="E62" i="1"/>
  <c r="E61" i="1" s="1"/>
  <c r="E59" i="1" s="1"/>
  <c r="D62" i="1"/>
  <c r="D61" i="1" s="1"/>
  <c r="D59" i="1" s="1"/>
  <c r="C62" i="1"/>
  <c r="C61" i="1" s="1"/>
  <c r="C59" i="1" s="1"/>
  <c r="D58" i="1"/>
  <c r="E58" i="1" s="1"/>
  <c r="C57" i="1"/>
  <c r="L55" i="1"/>
  <c r="K55" i="1"/>
  <c r="J55" i="1"/>
  <c r="I55" i="1"/>
  <c r="I53" i="1" s="1"/>
  <c r="I52" i="1" s="1"/>
  <c r="I51" i="1" s="1"/>
  <c r="I50" i="1" s="1"/>
  <c r="H55" i="1"/>
  <c r="G55" i="1"/>
  <c r="F55" i="1"/>
  <c r="E55" i="1"/>
  <c r="D55" i="1"/>
  <c r="L54" i="1"/>
  <c r="K54" i="1"/>
  <c r="J54" i="1"/>
  <c r="I54" i="1"/>
  <c r="H54" i="1"/>
  <c r="H53" i="1" s="1"/>
  <c r="H52" i="1" s="1"/>
  <c r="H51" i="1" s="1"/>
  <c r="H50" i="1" s="1"/>
  <c r="G54" i="1"/>
  <c r="F54" i="1"/>
  <c r="E54" i="1"/>
  <c r="D54" i="1"/>
  <c r="J53" i="1"/>
  <c r="J52" i="1" s="1"/>
  <c r="J51" i="1" s="1"/>
  <c r="J50" i="1" s="1"/>
  <c r="C53" i="1"/>
  <c r="C52" i="1" s="1"/>
  <c r="C51" i="1" s="1"/>
  <c r="C50" i="1" s="1"/>
  <c r="D49" i="1"/>
  <c r="E49" i="1" s="1"/>
  <c r="F49" i="1" s="1"/>
  <c r="G49" i="1" s="1"/>
  <c r="H49" i="1" s="1"/>
  <c r="I49" i="1" s="1"/>
  <c r="J49" i="1" s="1"/>
  <c r="K49" i="1" s="1"/>
  <c r="L49" i="1" s="1"/>
  <c r="D48" i="1"/>
  <c r="E48" i="1" s="1"/>
  <c r="C47" i="1"/>
  <c r="C46" i="1"/>
  <c r="C45" i="1" s="1"/>
  <c r="D44" i="1"/>
  <c r="E44" i="1" s="1"/>
  <c r="F44" i="1" s="1"/>
  <c r="G44" i="1" s="1"/>
  <c r="H44" i="1" s="1"/>
  <c r="I44" i="1" s="1"/>
  <c r="J44" i="1" s="1"/>
  <c r="K44" i="1" s="1"/>
  <c r="L44" i="1" s="1"/>
  <c r="D43" i="1"/>
  <c r="E43" i="1" s="1"/>
  <c r="C42" i="1"/>
  <c r="D41" i="1"/>
  <c r="E41" i="1" s="1"/>
  <c r="F41" i="1" s="1"/>
  <c r="G41" i="1" s="1"/>
  <c r="H41" i="1" s="1"/>
  <c r="I41" i="1" s="1"/>
  <c r="J41" i="1" s="1"/>
  <c r="K41" i="1" s="1"/>
  <c r="L41" i="1" s="1"/>
  <c r="D40" i="1"/>
  <c r="E40" i="1" s="1"/>
  <c r="C39" i="1"/>
  <c r="D38" i="1"/>
  <c r="E38" i="1" s="1"/>
  <c r="F38" i="1" s="1"/>
  <c r="G38" i="1" s="1"/>
  <c r="H38" i="1" s="1"/>
  <c r="I38" i="1" s="1"/>
  <c r="J38" i="1" s="1"/>
  <c r="K38" i="1" s="1"/>
  <c r="L38" i="1" s="1"/>
  <c r="D37" i="1"/>
  <c r="E37" i="1" s="1"/>
  <c r="C36" i="1"/>
  <c r="D35" i="1"/>
  <c r="E35" i="1" s="1"/>
  <c r="F35" i="1" s="1"/>
  <c r="G35" i="1" s="1"/>
  <c r="H35" i="1" s="1"/>
  <c r="I35" i="1" s="1"/>
  <c r="J35" i="1" s="1"/>
  <c r="K35" i="1" s="1"/>
  <c r="L35" i="1" s="1"/>
  <c r="D34" i="1"/>
  <c r="C33" i="1"/>
  <c r="D32" i="1"/>
  <c r="E32" i="1" s="1"/>
  <c r="F32" i="1" s="1"/>
  <c r="G32" i="1" s="1"/>
  <c r="H32" i="1" s="1"/>
  <c r="I32" i="1" s="1"/>
  <c r="J32" i="1" s="1"/>
  <c r="K32" i="1" s="1"/>
  <c r="L32" i="1" s="1"/>
  <c r="D31" i="1"/>
  <c r="E31" i="1" s="1"/>
  <c r="C30" i="1"/>
  <c r="D29" i="1"/>
  <c r="E29" i="1" s="1"/>
  <c r="E28" i="1" s="1"/>
  <c r="D28" i="1"/>
  <c r="C28" i="1"/>
  <c r="D25" i="1"/>
  <c r="E25" i="1" s="1"/>
  <c r="F25" i="1" s="1"/>
  <c r="G25" i="1" s="1"/>
  <c r="H25" i="1" s="1"/>
  <c r="I25" i="1" s="1"/>
  <c r="J25" i="1" s="1"/>
  <c r="K25" i="1" s="1"/>
  <c r="L25" i="1" s="1"/>
  <c r="D24" i="1"/>
  <c r="E24" i="1" s="1"/>
  <c r="C23" i="1"/>
  <c r="C22" i="1" s="1"/>
  <c r="D21" i="1"/>
  <c r="E21" i="1" s="1"/>
  <c r="F21" i="1" s="1"/>
  <c r="G21" i="1" s="1"/>
  <c r="H21" i="1" s="1"/>
  <c r="I21" i="1" s="1"/>
  <c r="J21" i="1" s="1"/>
  <c r="K21" i="1" s="1"/>
  <c r="L21" i="1" s="1"/>
  <c r="D20" i="1"/>
  <c r="E20" i="1" s="1"/>
  <c r="C19" i="1"/>
  <c r="D17" i="1"/>
  <c r="E17" i="1" s="1"/>
  <c r="F17" i="1" s="1"/>
  <c r="G17" i="1" s="1"/>
  <c r="H17" i="1" s="1"/>
  <c r="I17" i="1" s="1"/>
  <c r="J17" i="1" s="1"/>
  <c r="K17" i="1" s="1"/>
  <c r="L17" i="1" s="1"/>
  <c r="D16" i="1"/>
  <c r="E16" i="1" s="1"/>
  <c r="C14" i="1"/>
  <c r="D8" i="1"/>
  <c r="E8" i="1" s="1"/>
  <c r="F8" i="1" s="1"/>
  <c r="G8" i="1" s="1"/>
  <c r="H8" i="1" s="1"/>
  <c r="I8" i="1" s="1"/>
  <c r="J8" i="1" s="1"/>
  <c r="K8" i="1" s="1"/>
  <c r="L8" i="1" s="1"/>
  <c r="D7" i="1"/>
  <c r="E7" i="1" s="1"/>
  <c r="C6" i="1"/>
  <c r="C5" i="1" s="1"/>
  <c r="C4" i="1" s="1"/>
  <c r="Y3" i="5" l="1"/>
  <c r="P78" i="15"/>
  <c r="O76" i="2"/>
  <c r="O78" i="2" s="1"/>
  <c r="O80" i="2" s="1"/>
  <c r="P76" i="14"/>
  <c r="P78" i="14" s="1"/>
  <c r="P82" i="14" s="1"/>
  <c r="P76" i="13"/>
  <c r="O76" i="11"/>
  <c r="O78" i="11" s="1"/>
  <c r="O82" i="11" s="1"/>
  <c r="O76" i="12"/>
  <c r="O78" i="12" s="1"/>
  <c r="O82" i="12" s="1"/>
  <c r="L53" i="1"/>
  <c r="L52" i="1" s="1"/>
  <c r="L51" i="1" s="1"/>
  <c r="L50" i="1" s="1"/>
  <c r="D6" i="1"/>
  <c r="D5" i="1" s="1"/>
  <c r="D4" i="1" s="1"/>
  <c r="C13" i="1"/>
  <c r="C12" i="1" s="1"/>
  <c r="C11" i="1" s="1"/>
  <c r="C10" i="1" s="1"/>
  <c r="C71" i="1" s="1"/>
  <c r="D14" i="1"/>
  <c r="Q63" i="2"/>
  <c r="Q61" i="2" s="1"/>
  <c r="B55" i="21"/>
  <c r="B55" i="19"/>
  <c r="B55" i="18"/>
  <c r="B55" i="20"/>
  <c r="B55" i="17"/>
  <c r="E53" i="1"/>
  <c r="E52" i="1" s="1"/>
  <c r="E51" i="1" s="1"/>
  <c r="E50" i="1" s="1"/>
  <c r="F53" i="1"/>
  <c r="F52" i="1" s="1"/>
  <c r="F51" i="1" s="1"/>
  <c r="F50" i="1" s="1"/>
  <c r="C56" i="1"/>
  <c r="P80" i="14"/>
  <c r="O80" i="12"/>
  <c r="O80" i="11"/>
  <c r="I63" i="2"/>
  <c r="J63" i="2" s="1"/>
  <c r="U64" i="2"/>
  <c r="H55" i="2"/>
  <c r="U55" i="2"/>
  <c r="U56" i="2"/>
  <c r="J38" i="2"/>
  <c r="U38" i="2"/>
  <c r="J48" i="2"/>
  <c r="U48" i="2"/>
  <c r="J25" i="2"/>
  <c r="U25" i="2"/>
  <c r="T42" i="2"/>
  <c r="J11" i="2"/>
  <c r="U11" i="2"/>
  <c r="Q53" i="3"/>
  <c r="C55" i="3"/>
  <c r="Q55" i="3"/>
  <c r="I41" i="2"/>
  <c r="O42" i="2"/>
  <c r="L22" i="3"/>
  <c r="D27" i="2"/>
  <c r="D16" i="2"/>
  <c r="D15" i="2" s="1"/>
  <c r="D14" i="2" s="1"/>
  <c r="D13" i="2" s="1"/>
  <c r="M25" i="2"/>
  <c r="M24" i="2" s="1"/>
  <c r="M23" i="2" s="1"/>
  <c r="K58" i="2"/>
  <c r="M58" i="2"/>
  <c r="Q42" i="2"/>
  <c r="L36" i="3" s="1"/>
  <c r="K50" i="2"/>
  <c r="M50" i="2"/>
  <c r="K68" i="2"/>
  <c r="K67" i="2" s="1"/>
  <c r="C7" i="8"/>
  <c r="B52" i="3"/>
  <c r="Q53" i="2"/>
  <c r="Q52" i="2" s="1"/>
  <c r="Q51" i="2" s="1"/>
  <c r="Q50" i="2" s="1"/>
  <c r="B39" i="3"/>
  <c r="E77" i="1"/>
  <c r="E84" i="1" s="1"/>
  <c r="G77" i="1"/>
  <c r="G84" i="1" s="1"/>
  <c r="J77" i="1"/>
  <c r="J84" i="1" s="1"/>
  <c r="K77" i="1"/>
  <c r="K84" i="1" s="1"/>
  <c r="G5" i="3"/>
  <c r="K58" i="3"/>
  <c r="C10" i="9" s="1"/>
  <c r="H28" i="2"/>
  <c r="O25" i="2"/>
  <c r="O24" i="2" s="1"/>
  <c r="O23" i="2" s="1"/>
  <c r="H63" i="2"/>
  <c r="Q25" i="2"/>
  <c r="H42" i="2"/>
  <c r="K48" i="2"/>
  <c r="M38" i="2"/>
  <c r="H56" i="2"/>
  <c r="M48" i="2"/>
  <c r="O38" i="2"/>
  <c r="Q38" i="2"/>
  <c r="T38" i="2" s="1"/>
  <c r="M31" i="2"/>
  <c r="M40" i="2"/>
  <c r="K32" i="2"/>
  <c r="K30" i="2" s="1"/>
  <c r="O40" i="2"/>
  <c r="H25" i="2"/>
  <c r="O10" i="2"/>
  <c r="M32" i="2"/>
  <c r="Q40" i="2"/>
  <c r="T40" i="2" s="1"/>
  <c r="H34" i="2"/>
  <c r="Q10" i="2"/>
  <c r="T10" i="2" s="1"/>
  <c r="K34" i="2"/>
  <c r="H17" i="2"/>
  <c r="H41" i="2"/>
  <c r="O11" i="2"/>
  <c r="H20" i="2"/>
  <c r="H61" i="2"/>
  <c r="Q11" i="2"/>
  <c r="T11" i="2" s="1"/>
  <c r="K35" i="2"/>
  <c r="K25" i="2"/>
  <c r="K24" i="2" s="1"/>
  <c r="K23" i="2" s="1"/>
  <c r="M35" i="2"/>
  <c r="M33" i="2" s="1"/>
  <c r="H29" i="2"/>
  <c r="H32" i="2"/>
  <c r="H48" i="2"/>
  <c r="H64" i="2"/>
  <c r="H31" i="2"/>
  <c r="H35" i="2"/>
  <c r="H18" i="2"/>
  <c r="H68" i="2"/>
  <c r="H21" i="2"/>
  <c r="F59" i="2"/>
  <c r="H38" i="2"/>
  <c r="H40" i="2"/>
  <c r="H10" i="2"/>
  <c r="H11" i="2"/>
  <c r="H59" i="2"/>
  <c r="H60" i="2"/>
  <c r="F39" i="2"/>
  <c r="F33" i="2"/>
  <c r="F36" i="2"/>
  <c r="D50" i="2"/>
  <c r="F56" i="2"/>
  <c r="G36" i="2"/>
  <c r="H36" i="2" s="1"/>
  <c r="J55" i="2"/>
  <c r="J56" i="2"/>
  <c r="D58" i="2"/>
  <c r="J54" i="2"/>
  <c r="F23" i="2"/>
  <c r="J68" i="2"/>
  <c r="I67" i="2"/>
  <c r="F51" i="2"/>
  <c r="J64" i="2"/>
  <c r="I22" i="2"/>
  <c r="U22" i="2" s="1"/>
  <c r="F61" i="2"/>
  <c r="F67" i="2"/>
  <c r="I49" i="2"/>
  <c r="U49" i="2" s="1"/>
  <c r="F20" i="2"/>
  <c r="I29" i="2"/>
  <c r="U29" i="2" s="1"/>
  <c r="F30" i="2"/>
  <c r="J42" i="2"/>
  <c r="J66" i="2"/>
  <c r="F7" i="2"/>
  <c r="F28" i="2"/>
  <c r="I53" i="2"/>
  <c r="F42" i="2"/>
  <c r="F45" i="2"/>
  <c r="F52" i="2"/>
  <c r="G53" i="2"/>
  <c r="F53" i="2"/>
  <c r="I18" i="2"/>
  <c r="I19" i="2"/>
  <c r="I60" i="2"/>
  <c r="U60" i="2" s="1"/>
  <c r="G24" i="2"/>
  <c r="I21" i="2"/>
  <c r="J41" i="2"/>
  <c r="J34" i="2"/>
  <c r="J31" i="2"/>
  <c r="I24" i="2"/>
  <c r="U24" i="2" s="1"/>
  <c r="I9" i="2"/>
  <c r="F17" i="2"/>
  <c r="H33" i="2"/>
  <c r="H30" i="2"/>
  <c r="F8" i="2"/>
  <c r="F24" i="2"/>
  <c r="G9" i="2"/>
  <c r="F46" i="2"/>
  <c r="F47" i="2"/>
  <c r="F63" i="2"/>
  <c r="F9" i="2"/>
  <c r="F64" i="2"/>
  <c r="G67" i="2"/>
  <c r="H67" i="2" s="1"/>
  <c r="G47" i="2"/>
  <c r="G39" i="2"/>
  <c r="H39" i="2" s="1"/>
  <c r="I77" i="1"/>
  <c r="I84" i="1" s="1"/>
  <c r="G58" i="2"/>
  <c r="G16" i="2"/>
  <c r="E50" i="2"/>
  <c r="E27" i="2"/>
  <c r="E16" i="2"/>
  <c r="D30" i="1"/>
  <c r="D57" i="1"/>
  <c r="D56" i="1" s="1"/>
  <c r="K53" i="1"/>
  <c r="K52" i="1" s="1"/>
  <c r="K51" i="1" s="1"/>
  <c r="K50" i="1" s="1"/>
  <c r="C26" i="1"/>
  <c r="C9" i="1" s="1"/>
  <c r="C3" i="1" s="1"/>
  <c r="C2" i="1" s="1"/>
  <c r="C67" i="1" s="1"/>
  <c r="C83" i="1" s="1"/>
  <c r="D53" i="1"/>
  <c r="D52" i="1" s="1"/>
  <c r="D51" i="1" s="1"/>
  <c r="D50" i="1" s="1"/>
  <c r="D36" i="1"/>
  <c r="D23" i="1"/>
  <c r="D22" i="1" s="1"/>
  <c r="D33" i="1"/>
  <c r="G53" i="1"/>
  <c r="G52" i="1" s="1"/>
  <c r="G51" i="1" s="1"/>
  <c r="G50" i="1" s="1"/>
  <c r="H77" i="1"/>
  <c r="H84" i="1" s="1"/>
  <c r="L77" i="1"/>
  <c r="L84" i="1" s="1"/>
  <c r="F77" i="1"/>
  <c r="F84" i="1" s="1"/>
  <c r="E39" i="1"/>
  <c r="F40" i="1"/>
  <c r="C70" i="1"/>
  <c r="F58" i="1"/>
  <c r="E57" i="1"/>
  <c r="E56" i="1" s="1"/>
  <c r="F65" i="1"/>
  <c r="E64" i="1"/>
  <c r="F43" i="1"/>
  <c r="E42" i="1"/>
  <c r="E14" i="1"/>
  <c r="F16" i="1"/>
  <c r="F20" i="1"/>
  <c r="E19" i="1"/>
  <c r="E36" i="1"/>
  <c r="F37" i="1"/>
  <c r="E6" i="1"/>
  <c r="F7" i="1"/>
  <c r="F31" i="1"/>
  <c r="E30" i="1"/>
  <c r="F48" i="1"/>
  <c r="E47" i="1"/>
  <c r="E46" i="1" s="1"/>
  <c r="E45" i="1" s="1"/>
  <c r="E23" i="1"/>
  <c r="E22" i="1" s="1"/>
  <c r="F24" i="1"/>
  <c r="D42" i="1"/>
  <c r="D47" i="1"/>
  <c r="D46" i="1" s="1"/>
  <c r="D45" i="1" s="1"/>
  <c r="D19" i="1"/>
  <c r="D13" i="1" s="1"/>
  <c r="D12" i="1" s="1"/>
  <c r="D11" i="1" s="1"/>
  <c r="D10" i="1" s="1"/>
  <c r="D64" i="1"/>
  <c r="C77" i="1"/>
  <c r="C84" i="1" s="1"/>
  <c r="D39" i="1"/>
  <c r="D77" i="1"/>
  <c r="D84" i="1" s="1"/>
  <c r="E34" i="1"/>
  <c r="F29" i="1"/>
  <c r="J55" i="20" l="1"/>
  <c r="J61" i="20" s="1"/>
  <c r="Q55" i="20"/>
  <c r="B54" i="20"/>
  <c r="Q55" i="18"/>
  <c r="B54" i="18"/>
  <c r="J55" i="18"/>
  <c r="J61" i="18" s="1"/>
  <c r="J55" i="19"/>
  <c r="J61" i="19" s="1"/>
  <c r="Q55" i="19"/>
  <c r="B54" i="19"/>
  <c r="J55" i="21"/>
  <c r="J61" i="21" s="1"/>
  <c r="B54" i="21"/>
  <c r="Q55" i="21"/>
  <c r="C69" i="1"/>
  <c r="C79" i="1" s="1"/>
  <c r="B54" i="17"/>
  <c r="J55" i="17"/>
  <c r="J61" i="17" s="1"/>
  <c r="Q55" i="17"/>
  <c r="P78" i="13"/>
  <c r="P82" i="13" s="1"/>
  <c r="T9" i="2"/>
  <c r="T8" i="2" s="1"/>
  <c r="T7" i="2" s="1"/>
  <c r="P80" i="15"/>
  <c r="P84" i="15" s="1"/>
  <c r="P82" i="15"/>
  <c r="U53" i="2"/>
  <c r="Q24" i="2"/>
  <c r="Q23" i="2" s="1"/>
  <c r="T25" i="2"/>
  <c r="T24" i="2" s="1"/>
  <c r="T23" i="2" s="1"/>
  <c r="Q41" i="2"/>
  <c r="T41" i="2" s="1"/>
  <c r="T39" i="2" s="1"/>
  <c r="U41" i="2"/>
  <c r="T21" i="2"/>
  <c r="U21" i="2"/>
  <c r="C6" i="9"/>
  <c r="U67" i="2"/>
  <c r="I61" i="2"/>
  <c r="U63" i="2"/>
  <c r="U9" i="2"/>
  <c r="U19" i="2"/>
  <c r="O18" i="2"/>
  <c r="U18" i="2"/>
  <c r="B51" i="3"/>
  <c r="Q52" i="3"/>
  <c r="C39" i="3"/>
  <c r="C9" i="3" s="1"/>
  <c r="C4" i="3" s="1"/>
  <c r="C3" i="3" s="1"/>
  <c r="C58" i="3" s="1"/>
  <c r="Y9" i="9" s="1"/>
  <c r="D39" i="3"/>
  <c r="D9" i="3" s="1"/>
  <c r="D4" i="3" s="1"/>
  <c r="D3" i="3" s="1"/>
  <c r="D58" i="3" s="1"/>
  <c r="Z9" i="9" s="1"/>
  <c r="M41" i="2"/>
  <c r="M39" i="2" s="1"/>
  <c r="I39" i="2"/>
  <c r="O9" i="2"/>
  <c r="O8" i="2" s="1"/>
  <c r="O7" i="2" s="1"/>
  <c r="O41" i="2"/>
  <c r="O39" i="2" s="1"/>
  <c r="Q39" i="2"/>
  <c r="L33" i="3" s="1"/>
  <c r="C12" i="8"/>
  <c r="D12" i="8" s="1"/>
  <c r="Q96" i="3"/>
  <c r="F50" i="2"/>
  <c r="H16" i="2"/>
  <c r="C6" i="8"/>
  <c r="D6" i="8" s="1"/>
  <c r="D7" i="8"/>
  <c r="Q19" i="2"/>
  <c r="T19" i="2" s="1"/>
  <c r="O19" i="2"/>
  <c r="O17" i="2" s="1"/>
  <c r="L18" i="3"/>
  <c r="K33" i="2"/>
  <c r="Q9" i="2"/>
  <c r="J52" i="3"/>
  <c r="J58" i="3" s="1"/>
  <c r="M30" i="2"/>
  <c r="B60" i="3"/>
  <c r="J21" i="2"/>
  <c r="Q21" i="2"/>
  <c r="O21" i="2"/>
  <c r="M21" i="2"/>
  <c r="K21" i="2"/>
  <c r="J22" i="2"/>
  <c r="Q22" i="2"/>
  <c r="T22" i="2" s="1"/>
  <c r="O22" i="2"/>
  <c r="M22" i="2"/>
  <c r="K22" i="2"/>
  <c r="Q37" i="2"/>
  <c r="O37" i="2"/>
  <c r="O36" i="2" s="1"/>
  <c r="M37" i="2"/>
  <c r="M36" i="2" s="1"/>
  <c r="J19" i="2"/>
  <c r="M19" i="2"/>
  <c r="K19" i="2"/>
  <c r="J60" i="2"/>
  <c r="Q60" i="2"/>
  <c r="T60" i="2" s="1"/>
  <c r="T59" i="2" s="1"/>
  <c r="T58" i="2" s="1"/>
  <c r="O60" i="2"/>
  <c r="O59" i="2" s="1"/>
  <c r="O58" i="2" s="1"/>
  <c r="I59" i="2"/>
  <c r="U59" i="2" s="1"/>
  <c r="J18" i="2"/>
  <c r="K18" i="2"/>
  <c r="M18" i="2"/>
  <c r="Q18" i="2"/>
  <c r="T18" i="2" s="1"/>
  <c r="M29" i="2"/>
  <c r="M28" i="2" s="1"/>
  <c r="K29" i="2"/>
  <c r="K28" i="2" s="1"/>
  <c r="J49" i="2"/>
  <c r="M49" i="2"/>
  <c r="M47" i="2" s="1"/>
  <c r="M46" i="2" s="1"/>
  <c r="M45" i="2" s="1"/>
  <c r="K49" i="2"/>
  <c r="K47" i="2" s="1"/>
  <c r="K46" i="2" s="1"/>
  <c r="K45" i="2" s="1"/>
  <c r="O53" i="2"/>
  <c r="O52" i="2" s="1"/>
  <c r="O51" i="2" s="1"/>
  <c r="O50" i="2" s="1"/>
  <c r="G46" i="2"/>
  <c r="H47" i="2"/>
  <c r="G23" i="2"/>
  <c r="H23" i="2" s="1"/>
  <c r="H24" i="2"/>
  <c r="G8" i="2"/>
  <c r="H9" i="2"/>
  <c r="G52" i="2"/>
  <c r="H53" i="2"/>
  <c r="H58" i="2"/>
  <c r="J67" i="2"/>
  <c r="F58" i="2"/>
  <c r="I47" i="2"/>
  <c r="I20" i="2"/>
  <c r="J30" i="2"/>
  <c r="J33" i="2"/>
  <c r="J53" i="2"/>
  <c r="I52" i="2"/>
  <c r="I28" i="2"/>
  <c r="J29" i="2"/>
  <c r="J37" i="2"/>
  <c r="I36" i="2"/>
  <c r="G27" i="2"/>
  <c r="I17" i="2"/>
  <c r="I23" i="2"/>
  <c r="J24" i="2"/>
  <c r="I8" i="2"/>
  <c r="J9" i="2"/>
  <c r="E15" i="2"/>
  <c r="F16" i="2"/>
  <c r="F27" i="2"/>
  <c r="D12" i="2"/>
  <c r="D6" i="2" s="1"/>
  <c r="D5" i="2" s="1"/>
  <c r="D70" i="2" s="1"/>
  <c r="D26" i="1"/>
  <c r="D9" i="1" s="1"/>
  <c r="D3" i="1" s="1"/>
  <c r="D2" i="1" s="1"/>
  <c r="D67" i="1" s="1"/>
  <c r="D83" i="1" s="1"/>
  <c r="D85" i="1" s="1"/>
  <c r="G20" i="1"/>
  <c r="F19" i="1"/>
  <c r="E13" i="1"/>
  <c r="E12" i="1" s="1"/>
  <c r="E11" i="1" s="1"/>
  <c r="E10" i="1" s="1"/>
  <c r="G48" i="1"/>
  <c r="F47" i="1"/>
  <c r="F46" i="1" s="1"/>
  <c r="F45" i="1" s="1"/>
  <c r="F14" i="1"/>
  <c r="F13" i="1" s="1"/>
  <c r="G16" i="1"/>
  <c r="G31" i="1"/>
  <c r="F30" i="1"/>
  <c r="F6" i="1"/>
  <c r="G7" i="1"/>
  <c r="C85" i="1"/>
  <c r="C72" i="1"/>
  <c r="C80" i="1" s="1"/>
  <c r="C73" i="1"/>
  <c r="E5" i="1"/>
  <c r="E4" i="1" s="1"/>
  <c r="D69" i="1"/>
  <c r="D79" i="1" s="1"/>
  <c r="D70" i="1"/>
  <c r="D71" i="1"/>
  <c r="F36" i="1"/>
  <c r="G37" i="1"/>
  <c r="G29" i="1"/>
  <c r="F28" i="1"/>
  <c r="G65" i="1"/>
  <c r="F64" i="1"/>
  <c r="G43" i="1"/>
  <c r="F42" i="1"/>
  <c r="E33" i="1"/>
  <c r="E26" i="1" s="1"/>
  <c r="F34" i="1"/>
  <c r="F23" i="1"/>
  <c r="F22" i="1" s="1"/>
  <c r="G24" i="1"/>
  <c r="F39" i="1"/>
  <c r="G40" i="1"/>
  <c r="G58" i="1"/>
  <c r="F57" i="1"/>
  <c r="F56" i="1" s="1"/>
  <c r="Q54" i="21" l="1"/>
  <c r="Q51" i="21" s="1"/>
  <c r="B51" i="21"/>
  <c r="B3" i="21" s="1"/>
  <c r="Q54" i="17"/>
  <c r="Q51" i="17" s="1"/>
  <c r="B51" i="17"/>
  <c r="B3" i="17" s="1"/>
  <c r="Q54" i="19"/>
  <c r="Q51" i="19" s="1"/>
  <c r="B51" i="19"/>
  <c r="B3" i="19" s="1"/>
  <c r="Q54" i="18"/>
  <c r="Q51" i="18" s="1"/>
  <c r="B51" i="18"/>
  <c r="B3" i="18" s="1"/>
  <c r="Q54" i="20"/>
  <c r="Q51" i="20" s="1"/>
  <c r="B51" i="20"/>
  <c r="B3" i="20" s="1"/>
  <c r="U23" i="2"/>
  <c r="P80" i="13"/>
  <c r="U28" i="2"/>
  <c r="I27" i="2"/>
  <c r="U27" i="2" s="1"/>
  <c r="T20" i="2"/>
  <c r="U61" i="2"/>
  <c r="J61" i="2"/>
  <c r="Q36" i="2"/>
  <c r="Q27" i="2" s="1"/>
  <c r="T37" i="2"/>
  <c r="T36" i="2" s="1"/>
  <c r="T27" i="2" s="1"/>
  <c r="U52" i="2"/>
  <c r="I46" i="2"/>
  <c r="U46" i="2" s="1"/>
  <c r="U47" i="2"/>
  <c r="T17" i="2"/>
  <c r="T16" i="2" s="1"/>
  <c r="T15" i="2" s="1"/>
  <c r="T14" i="2" s="1"/>
  <c r="T13" i="2" s="1"/>
  <c r="T12" i="2" s="1"/>
  <c r="T6" i="2" s="1"/>
  <c r="T5" i="2" s="1"/>
  <c r="T70" i="2" s="1"/>
  <c r="J36" i="2"/>
  <c r="U36" i="2"/>
  <c r="J39" i="2"/>
  <c r="U39" i="2"/>
  <c r="J20" i="2"/>
  <c r="U20" i="2"/>
  <c r="U8" i="2"/>
  <c r="U17" i="2"/>
  <c r="J3" i="8"/>
  <c r="O3" i="8" s="1"/>
  <c r="K17" i="2"/>
  <c r="O27" i="2"/>
  <c r="J23" i="2"/>
  <c r="B43" i="3"/>
  <c r="K27" i="2"/>
  <c r="Q8" i="2"/>
  <c r="Q7" i="2" s="1"/>
  <c r="Q17" i="2"/>
  <c r="L12" i="3" s="1"/>
  <c r="G15" i="2"/>
  <c r="G14" i="2" s="1"/>
  <c r="M17" i="2"/>
  <c r="M27" i="2"/>
  <c r="Q59" i="2"/>
  <c r="Q58" i="2" s="1"/>
  <c r="L50" i="3"/>
  <c r="L44" i="3"/>
  <c r="L6" i="3"/>
  <c r="B5" i="3"/>
  <c r="I58" i="2"/>
  <c r="U58" i="2" s="1"/>
  <c r="J59" i="2"/>
  <c r="K20" i="2"/>
  <c r="Q20" i="2"/>
  <c r="M20" i="2"/>
  <c r="O20" i="2"/>
  <c r="O16" i="2" s="1"/>
  <c r="O15" i="2" s="1"/>
  <c r="O14" i="2" s="1"/>
  <c r="O13" i="2" s="1"/>
  <c r="G45" i="2"/>
  <c r="H45" i="2" s="1"/>
  <c r="H46" i="2"/>
  <c r="G51" i="2"/>
  <c r="H52" i="2"/>
  <c r="G7" i="2"/>
  <c r="H7" i="2" s="1"/>
  <c r="H8" i="2"/>
  <c r="H27" i="2"/>
  <c r="I16" i="2"/>
  <c r="J47" i="2"/>
  <c r="J17" i="2"/>
  <c r="J28" i="2"/>
  <c r="J52" i="2"/>
  <c r="I51" i="2"/>
  <c r="I45" i="2"/>
  <c r="J46" i="2"/>
  <c r="I7" i="2"/>
  <c r="J8" i="2"/>
  <c r="E14" i="2"/>
  <c r="F15" i="2"/>
  <c r="F12" i="1"/>
  <c r="F11" i="1" s="1"/>
  <c r="F10" i="1" s="1"/>
  <c r="H43" i="1"/>
  <c r="G42" i="1"/>
  <c r="G14" i="1"/>
  <c r="H16" i="1"/>
  <c r="D72" i="1"/>
  <c r="D80" i="1" s="1"/>
  <c r="D73" i="1"/>
  <c r="H48" i="1"/>
  <c r="G47" i="1"/>
  <c r="G46" i="1" s="1"/>
  <c r="G45" i="1" s="1"/>
  <c r="E70" i="1"/>
  <c r="E9" i="1"/>
  <c r="E3" i="1" s="1"/>
  <c r="E2" i="1" s="1"/>
  <c r="E67" i="1" s="1"/>
  <c r="E83" i="1" s="1"/>
  <c r="E85" i="1" s="1"/>
  <c r="E69" i="1"/>
  <c r="E79" i="1" s="1"/>
  <c r="F33" i="1"/>
  <c r="F69" i="1" s="1"/>
  <c r="F79" i="1" s="1"/>
  <c r="G34" i="1"/>
  <c r="F71" i="1"/>
  <c r="F5" i="1"/>
  <c r="F4" i="1" s="1"/>
  <c r="H31" i="1"/>
  <c r="G30" i="1"/>
  <c r="H29" i="1"/>
  <c r="G28" i="1"/>
  <c r="G36" i="1"/>
  <c r="H37" i="1"/>
  <c r="G39" i="1"/>
  <c r="H40" i="1"/>
  <c r="H20" i="1"/>
  <c r="G19" i="1"/>
  <c r="G23" i="1"/>
  <c r="G22" i="1" s="1"/>
  <c r="H24" i="1"/>
  <c r="E71" i="1"/>
  <c r="G6" i="1"/>
  <c r="H7" i="1"/>
  <c r="H65" i="1"/>
  <c r="G64" i="1"/>
  <c r="H58" i="1"/>
  <c r="G57" i="1"/>
  <c r="G56" i="1" s="1"/>
  <c r="Q3" i="20" l="1"/>
  <c r="Q61" i="20" s="1"/>
  <c r="B61" i="20"/>
  <c r="B61" i="18"/>
  <c r="Q3" i="18"/>
  <c r="Q61" i="18" s="1"/>
  <c r="B61" i="19"/>
  <c r="Q3" i="19"/>
  <c r="Q61" i="19" s="1"/>
  <c r="U45" i="2"/>
  <c r="M16" i="2"/>
  <c r="M15" i="2" s="1"/>
  <c r="M14" i="2" s="1"/>
  <c r="M13" i="2" s="1"/>
  <c r="B61" i="17"/>
  <c r="B77" i="17" s="1"/>
  <c r="Q3" i="17"/>
  <c r="Q61" i="17" s="1"/>
  <c r="J27" i="2"/>
  <c r="B61" i="21"/>
  <c r="Q3" i="21"/>
  <c r="Q61" i="21" s="1"/>
  <c r="U51" i="2"/>
  <c r="O12" i="2"/>
  <c r="O6" i="2" s="1"/>
  <c r="O5" i="2" s="1"/>
  <c r="O70" i="2" s="1"/>
  <c r="J16" i="2"/>
  <c r="U16" i="2"/>
  <c r="U7" i="2"/>
  <c r="K16" i="2"/>
  <c r="K15" i="2" s="1"/>
  <c r="K14" i="2" s="1"/>
  <c r="K13" i="2" s="1"/>
  <c r="K12" i="2" s="1"/>
  <c r="K6" i="2" s="1"/>
  <c r="K5" i="2" s="1"/>
  <c r="K70" i="2" s="1"/>
  <c r="J45" i="2"/>
  <c r="M12" i="2"/>
  <c r="M6" i="2" s="1"/>
  <c r="M5" i="2" s="1"/>
  <c r="M70" i="2" s="1"/>
  <c r="H15" i="2"/>
  <c r="B49" i="3"/>
  <c r="B48" i="3" s="1"/>
  <c r="Q16" i="2"/>
  <c r="Q15" i="2" s="1"/>
  <c r="Q14" i="2" s="1"/>
  <c r="Q13" i="2" s="1"/>
  <c r="Q12" i="2" s="1"/>
  <c r="Q6" i="2" s="1"/>
  <c r="Q5" i="2" s="1"/>
  <c r="Q70" i="2" s="1"/>
  <c r="L15" i="3"/>
  <c r="L30" i="3"/>
  <c r="G43" i="3"/>
  <c r="G9" i="3" s="1"/>
  <c r="G4" i="3" s="1"/>
  <c r="G3" i="3" s="1"/>
  <c r="G58" i="3" s="1"/>
  <c r="J58" i="2"/>
  <c r="C5" i="8"/>
  <c r="D5" i="8" s="1"/>
  <c r="G13" i="2"/>
  <c r="H14" i="2"/>
  <c r="J7" i="2"/>
  <c r="G50" i="2"/>
  <c r="H50" i="2" s="1"/>
  <c r="H51" i="2"/>
  <c r="I15" i="2"/>
  <c r="J51" i="2"/>
  <c r="I50" i="2"/>
  <c r="E13" i="2"/>
  <c r="F14" i="2"/>
  <c r="F26" i="1"/>
  <c r="F9" i="1" s="1"/>
  <c r="F3" i="1" s="1"/>
  <c r="F2" i="1" s="1"/>
  <c r="F67" i="1" s="1"/>
  <c r="F83" i="1" s="1"/>
  <c r="F85" i="1" s="1"/>
  <c r="F72" i="1"/>
  <c r="F80" i="1" s="1"/>
  <c r="F73" i="1"/>
  <c r="F70" i="1"/>
  <c r="H23" i="1"/>
  <c r="H22" i="1" s="1"/>
  <c r="I24" i="1"/>
  <c r="H19" i="1"/>
  <c r="I20" i="1"/>
  <c r="H39" i="1"/>
  <c r="I40" i="1"/>
  <c r="I58" i="1"/>
  <c r="H57" i="1"/>
  <c r="H56" i="1" s="1"/>
  <c r="G13" i="1"/>
  <c r="G12" i="1" s="1"/>
  <c r="G11" i="1" s="1"/>
  <c r="G10" i="1" s="1"/>
  <c r="I31" i="1"/>
  <c r="H30" i="1"/>
  <c r="H34" i="1"/>
  <c r="G33" i="1"/>
  <c r="G26" i="1" s="1"/>
  <c r="H36" i="1"/>
  <c r="I37" i="1"/>
  <c r="H14" i="1"/>
  <c r="I16" i="1"/>
  <c r="I29" i="1"/>
  <c r="H28" i="1"/>
  <c r="E72" i="1"/>
  <c r="E80" i="1" s="1"/>
  <c r="E73" i="1"/>
  <c r="I48" i="1"/>
  <c r="H47" i="1"/>
  <c r="H46" i="1" s="1"/>
  <c r="H45" i="1" s="1"/>
  <c r="H64" i="1"/>
  <c r="I65" i="1"/>
  <c r="H6" i="1"/>
  <c r="I7" i="1"/>
  <c r="G5" i="1"/>
  <c r="G4" i="1" s="1"/>
  <c r="I43" i="1"/>
  <c r="H42" i="1"/>
  <c r="Q89" i="18" l="1"/>
  <c r="Q89" i="20"/>
  <c r="Q94" i="19"/>
  <c r="Q94" i="20"/>
  <c r="Q89" i="19"/>
  <c r="Q94" i="18"/>
  <c r="Q94" i="17"/>
  <c r="Q103" i="17" s="1"/>
  <c r="Q104" i="17" s="1"/>
  <c r="Q106" i="17" s="1"/>
  <c r="Q109" i="17" s="1"/>
  <c r="Q89" i="17"/>
  <c r="Q88" i="17"/>
  <c r="Q72" i="17"/>
  <c r="Q86" i="17"/>
  <c r="O82" i="2"/>
  <c r="Q72" i="19"/>
  <c r="Q88" i="19"/>
  <c r="Q90" i="19" s="1"/>
  <c r="Q103" i="19"/>
  <c r="Q104" i="19" s="1"/>
  <c r="Q106" i="19" s="1"/>
  <c r="Q109" i="19" s="1"/>
  <c r="C8" i="6"/>
  <c r="C10" i="6" s="1"/>
  <c r="Q86" i="19"/>
  <c r="Q95" i="19" s="1"/>
  <c r="Q91" i="3"/>
  <c r="Q86" i="3"/>
  <c r="B8" i="6"/>
  <c r="F8" i="6" s="1"/>
  <c r="Q73" i="18"/>
  <c r="Q103" i="18"/>
  <c r="Q104" i="18" s="1"/>
  <c r="Q106" i="18" s="1"/>
  <c r="Q109" i="18" s="1"/>
  <c r="Q88" i="18"/>
  <c r="Q90" i="18" s="1"/>
  <c r="Q86" i="18"/>
  <c r="Q95" i="18" s="1"/>
  <c r="O85" i="2"/>
  <c r="Q73" i="21"/>
  <c r="E8" i="6"/>
  <c r="E10" i="6" s="1"/>
  <c r="P30" i="7"/>
  <c r="P29" i="7" s="1"/>
  <c r="P31" i="7" s="1"/>
  <c r="D8" i="6"/>
  <c r="D10" i="6" s="1"/>
  <c r="Q72" i="20"/>
  <c r="Q86" i="20"/>
  <c r="Q95" i="20" s="1"/>
  <c r="Q88" i="20"/>
  <c r="Q103" i="20"/>
  <c r="Q104" i="20" s="1"/>
  <c r="Q106" i="20" s="1"/>
  <c r="Q109" i="20" s="1"/>
  <c r="U50" i="2"/>
  <c r="U15" i="2"/>
  <c r="C14" i="8"/>
  <c r="D14" i="8" s="1"/>
  <c r="Q94" i="3"/>
  <c r="Q73" i="2"/>
  <c r="U43" i="5"/>
  <c r="B10" i="3"/>
  <c r="B9" i="3" s="1"/>
  <c r="J50" i="2"/>
  <c r="C15" i="8"/>
  <c r="H13" i="2"/>
  <c r="G12" i="2"/>
  <c r="I14" i="2"/>
  <c r="J15" i="2"/>
  <c r="F13" i="2"/>
  <c r="E12" i="2"/>
  <c r="I34" i="1"/>
  <c r="H33" i="1"/>
  <c r="H26" i="1" s="1"/>
  <c r="G70" i="1"/>
  <c r="G9" i="1"/>
  <c r="G3" i="1" s="1"/>
  <c r="G2" i="1" s="1"/>
  <c r="G67" i="1" s="1"/>
  <c r="G83" i="1" s="1"/>
  <c r="G85" i="1" s="1"/>
  <c r="G69" i="1"/>
  <c r="G79" i="1" s="1"/>
  <c r="I57" i="1"/>
  <c r="I56" i="1" s="1"/>
  <c r="J58" i="1"/>
  <c r="I6" i="1"/>
  <c r="J7" i="1"/>
  <c r="I30" i="1"/>
  <c r="J31" i="1"/>
  <c r="I14" i="1"/>
  <c r="I13" i="1" s="1"/>
  <c r="J16" i="1"/>
  <c r="H71" i="1"/>
  <c r="H5" i="1"/>
  <c r="H4" i="1" s="1"/>
  <c r="I64" i="1"/>
  <c r="J65" i="1"/>
  <c r="I47" i="1"/>
  <c r="I46" i="1" s="1"/>
  <c r="I45" i="1" s="1"/>
  <c r="J48" i="1"/>
  <c r="I19" i="1"/>
  <c r="J20" i="1"/>
  <c r="J29" i="1"/>
  <c r="I28" i="1"/>
  <c r="H13" i="1"/>
  <c r="H12" i="1" s="1"/>
  <c r="H11" i="1" s="1"/>
  <c r="H10" i="1" s="1"/>
  <c r="I39" i="1"/>
  <c r="J40" i="1"/>
  <c r="I23" i="1"/>
  <c r="I22" i="1" s="1"/>
  <c r="J24" i="1"/>
  <c r="I42" i="1"/>
  <c r="J43" i="1"/>
  <c r="I36" i="1"/>
  <c r="J37" i="1"/>
  <c r="G71" i="1"/>
  <c r="Q95" i="17" l="1"/>
  <c r="Q90" i="17"/>
  <c r="U42" i="5"/>
  <c r="Y43" i="5"/>
  <c r="Q90" i="20"/>
  <c r="U14" i="2"/>
  <c r="B4" i="3"/>
  <c r="B3" i="3" s="1"/>
  <c r="B58" i="3" s="1"/>
  <c r="L58" i="3"/>
  <c r="M50" i="3" s="1"/>
  <c r="Q50" i="3" s="1"/>
  <c r="G6" i="2"/>
  <c r="H12" i="2"/>
  <c r="I13" i="2"/>
  <c r="J14" i="2"/>
  <c r="E6" i="2"/>
  <c r="F12" i="2"/>
  <c r="J42" i="1"/>
  <c r="K43" i="1"/>
  <c r="I12" i="1"/>
  <c r="I11" i="1" s="1"/>
  <c r="I10" i="1" s="1"/>
  <c r="H70" i="1"/>
  <c r="H9" i="1"/>
  <c r="H3" i="1" s="1"/>
  <c r="H2" i="1" s="1"/>
  <c r="H67" i="1" s="1"/>
  <c r="H83" i="1" s="1"/>
  <c r="H85" i="1" s="1"/>
  <c r="H69" i="1"/>
  <c r="H79" i="1" s="1"/>
  <c r="H73" i="1"/>
  <c r="H72" i="1"/>
  <c r="H80" i="1" s="1"/>
  <c r="J6" i="1"/>
  <c r="K7" i="1"/>
  <c r="K29" i="1"/>
  <c r="J28" i="1"/>
  <c r="K16" i="1"/>
  <c r="J14" i="1"/>
  <c r="J13" i="1" s="1"/>
  <c r="J12" i="1" s="1"/>
  <c r="J11" i="1" s="1"/>
  <c r="J10" i="1" s="1"/>
  <c r="J30" i="1"/>
  <c r="K31" i="1"/>
  <c r="J57" i="1"/>
  <c r="J56" i="1" s="1"/>
  <c r="K58" i="1"/>
  <c r="J23" i="1"/>
  <c r="J22" i="1" s="1"/>
  <c r="K24" i="1"/>
  <c r="J39" i="1"/>
  <c r="K40" i="1"/>
  <c r="I71" i="1"/>
  <c r="I5" i="1"/>
  <c r="I4" i="1" s="1"/>
  <c r="G73" i="1"/>
  <c r="G72" i="1"/>
  <c r="G80" i="1" s="1"/>
  <c r="J36" i="1"/>
  <c r="K37" i="1"/>
  <c r="J64" i="1"/>
  <c r="K65" i="1"/>
  <c r="J19" i="1"/>
  <c r="K20" i="1"/>
  <c r="J47" i="1"/>
  <c r="J46" i="1" s="1"/>
  <c r="J45" i="1" s="1"/>
  <c r="K48" i="1"/>
  <c r="J34" i="1"/>
  <c r="I33" i="1"/>
  <c r="I26" i="1" s="1"/>
  <c r="U41" i="5" l="1"/>
  <c r="Y42" i="5"/>
  <c r="U13" i="2"/>
  <c r="I12" i="2"/>
  <c r="N49" i="3"/>
  <c r="M12" i="3"/>
  <c r="M33" i="3"/>
  <c r="Q33" i="3" s="1"/>
  <c r="M36" i="3"/>
  <c r="Q36" i="3" s="1"/>
  <c r="M18" i="3"/>
  <c r="M6" i="3"/>
  <c r="Q6" i="3" s="1"/>
  <c r="M30" i="3"/>
  <c r="Q30" i="3" s="1"/>
  <c r="M44" i="3"/>
  <c r="Q44" i="3" s="1"/>
  <c r="M15" i="3"/>
  <c r="G5" i="2"/>
  <c r="G70" i="2" s="1"/>
  <c r="G71" i="2" s="1"/>
  <c r="H6" i="2"/>
  <c r="J13" i="2"/>
  <c r="E5" i="2"/>
  <c r="E70" i="2" s="1"/>
  <c r="F6" i="2"/>
  <c r="K64" i="1"/>
  <c r="L65" i="1"/>
  <c r="L64" i="1" s="1"/>
  <c r="L37" i="1"/>
  <c r="L36" i="1" s="1"/>
  <c r="K36" i="1"/>
  <c r="K14" i="1"/>
  <c r="L16" i="1"/>
  <c r="L14" i="1" s="1"/>
  <c r="I73" i="1"/>
  <c r="I72" i="1"/>
  <c r="I80" i="1" s="1"/>
  <c r="I70" i="1"/>
  <c r="I9" i="1"/>
  <c r="I3" i="1" s="1"/>
  <c r="I2" i="1" s="1"/>
  <c r="I67" i="1" s="1"/>
  <c r="I83" i="1" s="1"/>
  <c r="I85" i="1" s="1"/>
  <c r="I69" i="1"/>
  <c r="I79" i="1" s="1"/>
  <c r="K6" i="1"/>
  <c r="L7" i="1"/>
  <c r="L6" i="1" s="1"/>
  <c r="K39" i="1"/>
  <c r="L40" i="1"/>
  <c r="L39" i="1" s="1"/>
  <c r="K42" i="1"/>
  <c r="L43" i="1"/>
  <c r="L42" i="1" s="1"/>
  <c r="L29" i="1"/>
  <c r="L28" i="1" s="1"/>
  <c r="K28" i="1"/>
  <c r="J71" i="1"/>
  <c r="J5" i="1"/>
  <c r="J4" i="1" s="1"/>
  <c r="K34" i="1"/>
  <c r="J33" i="1"/>
  <c r="J70" i="1" s="1"/>
  <c r="K23" i="1"/>
  <c r="K22" i="1" s="1"/>
  <c r="L24" i="1"/>
  <c r="L23" i="1" s="1"/>
  <c r="L22" i="1" s="1"/>
  <c r="K47" i="1"/>
  <c r="K46" i="1" s="1"/>
  <c r="K45" i="1" s="1"/>
  <c r="L48" i="1"/>
  <c r="L47" i="1" s="1"/>
  <c r="L46" i="1" s="1"/>
  <c r="L45" i="1" s="1"/>
  <c r="K57" i="1"/>
  <c r="K56" i="1" s="1"/>
  <c r="L58" i="1"/>
  <c r="L57" i="1" s="1"/>
  <c r="L56" i="1" s="1"/>
  <c r="K19" i="1"/>
  <c r="L20" i="1"/>
  <c r="L19" i="1" s="1"/>
  <c r="K30" i="1"/>
  <c r="L31" i="1"/>
  <c r="L30" i="1" s="1"/>
  <c r="U57" i="5" l="1"/>
  <c r="Y41" i="5"/>
  <c r="U12" i="2"/>
  <c r="O18" i="3"/>
  <c r="Q18" i="3" s="1"/>
  <c r="N48" i="3"/>
  <c r="Q48" i="3" s="1"/>
  <c r="Q49" i="3"/>
  <c r="O15" i="3"/>
  <c r="O11" i="3" s="1"/>
  <c r="O10" i="3" s="1"/>
  <c r="O9" i="3" s="1"/>
  <c r="O4" i="3" s="1"/>
  <c r="O3" i="3" s="1"/>
  <c r="O58" i="3" s="1"/>
  <c r="N43" i="3"/>
  <c r="Q43" i="3" s="1"/>
  <c r="N5" i="3"/>
  <c r="Q5" i="3" s="1"/>
  <c r="N21" i="3"/>
  <c r="Q21" i="3" s="1"/>
  <c r="H70" i="2"/>
  <c r="H5" i="2"/>
  <c r="J12" i="2"/>
  <c r="I6" i="2"/>
  <c r="F70" i="2"/>
  <c r="F5" i="2"/>
  <c r="K13" i="1"/>
  <c r="K12" i="1" s="1"/>
  <c r="K11" i="1" s="1"/>
  <c r="K10" i="1" s="1"/>
  <c r="K71" i="1" s="1"/>
  <c r="L13" i="1"/>
  <c r="J26" i="1"/>
  <c r="J9" i="1" s="1"/>
  <c r="J69" i="1"/>
  <c r="J79" i="1" s="1"/>
  <c r="L12" i="1"/>
  <c r="L11" i="1" s="1"/>
  <c r="L10" i="1" s="1"/>
  <c r="L71" i="1" s="1"/>
  <c r="J73" i="1"/>
  <c r="J72" i="1"/>
  <c r="J80" i="1" s="1"/>
  <c r="L34" i="1"/>
  <c r="L33" i="1" s="1"/>
  <c r="K33" i="1"/>
  <c r="K26" i="1" s="1"/>
  <c r="L5" i="1"/>
  <c r="L4" i="1" s="1"/>
  <c r="J3" i="1"/>
  <c r="J2" i="1" s="1"/>
  <c r="J67" i="1" s="1"/>
  <c r="J83" i="1" s="1"/>
  <c r="J85" i="1" s="1"/>
  <c r="L26" i="1"/>
  <c r="K5" i="1"/>
  <c r="K4" i="1" s="1"/>
  <c r="U60" i="5" l="1"/>
  <c r="Y57" i="5"/>
  <c r="C9" i="9"/>
  <c r="P88" i="15"/>
  <c r="P89" i="15" s="1"/>
  <c r="C11" i="8"/>
  <c r="P86" i="13"/>
  <c r="P87" i="13" s="1"/>
  <c r="P86" i="14"/>
  <c r="P87" i="14" s="1"/>
  <c r="O86" i="12"/>
  <c r="O87" i="12" s="1"/>
  <c r="O86" i="11"/>
  <c r="O87" i="11" s="1"/>
  <c r="O86" i="2"/>
  <c r="O87" i="2" s="1"/>
  <c r="C4" i="8"/>
  <c r="C3" i="8" s="1"/>
  <c r="U6" i="2"/>
  <c r="Q98" i="3"/>
  <c r="Q99" i="3"/>
  <c r="N11" i="3"/>
  <c r="I5" i="2"/>
  <c r="J6" i="2"/>
  <c r="K9" i="1"/>
  <c r="K3" i="1" s="1"/>
  <c r="K2" i="1" s="1"/>
  <c r="K67" i="1" s="1"/>
  <c r="K83" i="1" s="1"/>
  <c r="K85" i="1" s="1"/>
  <c r="K69" i="1"/>
  <c r="K79" i="1" s="1"/>
  <c r="K70" i="1"/>
  <c r="K73" i="1"/>
  <c r="K72" i="1"/>
  <c r="K80" i="1" s="1"/>
  <c r="L73" i="1"/>
  <c r="L72" i="1"/>
  <c r="L80" i="1" s="1"/>
  <c r="L9" i="1"/>
  <c r="L3" i="1" s="1"/>
  <c r="L2" i="1" s="1"/>
  <c r="L67" i="1" s="1"/>
  <c r="L83" i="1" s="1"/>
  <c r="L85" i="1" s="1"/>
  <c r="L69" i="1"/>
  <c r="L79" i="1" s="1"/>
  <c r="L70" i="1"/>
  <c r="J2" i="8" l="1"/>
  <c r="O2" i="8" s="1"/>
  <c r="D11" i="8"/>
  <c r="AA9" i="9"/>
  <c r="C12" i="9"/>
  <c r="D4" i="8"/>
  <c r="B6" i="6"/>
  <c r="Y60" i="5"/>
  <c r="C5" i="9"/>
  <c r="C7" i="9" s="1"/>
  <c r="U5" i="2"/>
  <c r="N10" i="3"/>
  <c r="N9" i="3" s="1"/>
  <c r="Q9" i="3" s="1"/>
  <c r="N3" i="4"/>
  <c r="D3" i="8"/>
  <c r="C2" i="8"/>
  <c r="D2" i="8" s="1"/>
  <c r="I70" i="2"/>
  <c r="J5" i="2"/>
  <c r="D9" i="9" l="1"/>
  <c r="D11" i="9"/>
  <c r="D10" i="9"/>
  <c r="B7" i="6"/>
  <c r="F7" i="6" s="1"/>
  <c r="F6" i="6"/>
  <c r="B2" i="6"/>
  <c r="D72" i="3"/>
  <c r="G72" i="3" s="1"/>
  <c r="D75" i="18"/>
  <c r="D75" i="19"/>
  <c r="D75" i="21"/>
  <c r="D75" i="20"/>
  <c r="D75" i="17"/>
  <c r="D6" i="9"/>
  <c r="D5" i="9"/>
  <c r="U70" i="2"/>
  <c r="J70" i="2"/>
  <c r="B10" i="6" l="1"/>
  <c r="F10" i="6" s="1"/>
  <c r="F2" i="6"/>
  <c r="N4" i="3"/>
  <c r="N3" i="3" l="1"/>
  <c r="Q4" i="3"/>
  <c r="N58" i="3" l="1"/>
  <c r="Q3" i="3"/>
  <c r="Q97" i="3" l="1"/>
  <c r="Q58" i="3"/>
  <c r="C16" i="8"/>
  <c r="Q51" i="3"/>
  <c r="Q47" i="3"/>
  <c r="Q83" i="3" l="1"/>
  <c r="Q92" i="3" s="1"/>
  <c r="C17" i="8"/>
  <c r="D17" i="8" s="1"/>
  <c r="Q100" i="3"/>
  <c r="Q101" i="3" s="1"/>
  <c r="Q103" i="3" s="1"/>
  <c r="Q106" i="3" s="1"/>
  <c r="Q85" i="3"/>
  <c r="Q87" i="3" s="1"/>
  <c r="D16" i="8"/>
  <c r="J4" i="8"/>
  <c r="C13" i="8"/>
  <c r="D13" i="8" l="1"/>
  <c r="C10" i="8"/>
  <c r="C21" i="8" s="1"/>
  <c r="O4" i="8"/>
  <c r="D10" i="8" l="1"/>
  <c r="J5" i="8"/>
  <c r="O5" i="8" l="1"/>
  <c r="O6" i="8" s="1"/>
  <c r="J6" i="8"/>
</calcChain>
</file>

<file path=xl/sharedStrings.xml><?xml version="1.0" encoding="utf-8"?>
<sst xmlns="http://schemas.openxmlformats.org/spreadsheetml/2006/main" count="2269" uniqueCount="626">
  <si>
    <t xml:space="preserve">CODIGO </t>
  </si>
  <si>
    <t>DESCRIPCION</t>
  </si>
  <si>
    <t>3233-01</t>
  </si>
  <si>
    <t xml:space="preserve">INGRESOS DE LOS ESTABLECIMIENTOS </t>
  </si>
  <si>
    <t>3233-0101</t>
  </si>
  <si>
    <t xml:space="preserve">INGRESOS CORRIENTES </t>
  </si>
  <si>
    <t>3233-010101</t>
  </si>
  <si>
    <t xml:space="preserve">TRIBUTARIOS </t>
  </si>
  <si>
    <t>3233-01010101</t>
  </si>
  <si>
    <t xml:space="preserve"> IMPUESTOS DIRECTOS </t>
  </si>
  <si>
    <t>3233-0101010101</t>
  </si>
  <si>
    <t xml:space="preserve">  SOBRETASA AMBIENTAL </t>
  </si>
  <si>
    <t>3233-0101010102</t>
  </si>
  <si>
    <t xml:space="preserve">   Vigencia actual </t>
  </si>
  <si>
    <t>3332-01010102</t>
  </si>
  <si>
    <t xml:space="preserve">   Vigencia anterior </t>
  </si>
  <si>
    <t>3332-0101010201</t>
  </si>
  <si>
    <t xml:space="preserve"> NO TRIBUTARIOS </t>
  </si>
  <si>
    <t>3332-0101010202</t>
  </si>
  <si>
    <t xml:space="preserve">  CONTRIBUCIONES </t>
  </si>
  <si>
    <t>3233-010102</t>
  </si>
  <si>
    <t xml:space="preserve">  CONTRIBUCIONES DIVERSAS</t>
  </si>
  <si>
    <t>3233-01010201</t>
  </si>
  <si>
    <t xml:space="preserve">  CONTRIBUCIONES SECTOR ELECTRICO </t>
  </si>
  <si>
    <t>3233-0101020102</t>
  </si>
  <si>
    <t xml:space="preserve">  ENERGIA CONVENCIONAL </t>
  </si>
  <si>
    <t>3233-010102010201</t>
  </si>
  <si>
    <t xml:space="preserve">    TEBSA </t>
  </si>
  <si>
    <t>3233-010102010202</t>
  </si>
  <si>
    <t>3233-0101020103</t>
  </si>
  <si>
    <t xml:space="preserve">     Vigencia actual </t>
  </si>
  <si>
    <t>3233-010102010301</t>
  </si>
  <si>
    <t xml:space="preserve">     Vigencia anterior </t>
  </si>
  <si>
    <t>3233-010102010302</t>
  </si>
  <si>
    <t>3233-0101020104</t>
  </si>
  <si>
    <t xml:space="preserve">   TERMOFLORES </t>
  </si>
  <si>
    <t>3233-010102010401</t>
  </si>
  <si>
    <t xml:space="preserve">    Vigencia actual</t>
  </si>
  <si>
    <t>3233-010102010402</t>
  </si>
  <si>
    <t xml:space="preserve">    Vigencia anterior </t>
  </si>
  <si>
    <t>3233-0101020105</t>
  </si>
  <si>
    <t xml:space="preserve">  ENERGIA NO CONVENCIONAL </t>
  </si>
  <si>
    <t>3233-010102010501</t>
  </si>
  <si>
    <t xml:space="preserve">    MONOMEROS </t>
  </si>
  <si>
    <t>3233-010102010502</t>
  </si>
  <si>
    <t>3233-0101020106</t>
  </si>
  <si>
    <t>3233-010102010601</t>
  </si>
  <si>
    <t xml:space="preserve"> TASAS Y DERECHOS ADMINISTRATIVOS </t>
  </si>
  <si>
    <t>3233-010102010602</t>
  </si>
  <si>
    <t>3233-0101020107</t>
  </si>
  <si>
    <t xml:space="preserve">   CERTIFICACIONES Y CONSTANCIAS </t>
  </si>
  <si>
    <t>3233-010102010701</t>
  </si>
  <si>
    <t>3233-010102010702</t>
  </si>
  <si>
    <t xml:space="preserve">EVALUACION DE LICENCIAS Y TRAMITES </t>
  </si>
  <si>
    <t>3233-01010202</t>
  </si>
  <si>
    <t xml:space="preserve">    Vigencia actual </t>
  </si>
  <si>
    <t>3233-0101020201</t>
  </si>
  <si>
    <t>3233-010102020101</t>
  </si>
  <si>
    <t xml:space="preserve"> SEGUIMIENTO A LICENCIAS Y TRAMITES AMBIENTALES</t>
  </si>
  <si>
    <t>3233-010102020102</t>
  </si>
  <si>
    <t>3233-0101020202</t>
  </si>
  <si>
    <t>3233-010102020201</t>
  </si>
  <si>
    <t xml:space="preserve"> TASA POR USO DEL AGUA </t>
  </si>
  <si>
    <t>3233-010102020202</t>
  </si>
  <si>
    <t>3233-0101020203</t>
  </si>
  <si>
    <t>3233-010102020301</t>
  </si>
  <si>
    <t xml:space="preserve"> TASA RETRIBUTIVA </t>
  </si>
  <si>
    <t>3233-010102020302</t>
  </si>
  <si>
    <t>3233-01010203</t>
  </si>
  <si>
    <t>3233-0101020301</t>
  </si>
  <si>
    <t xml:space="preserve"> TASA POR APROVECHAMIENTO FORESTAL </t>
  </si>
  <si>
    <t>3233-010102030101</t>
  </si>
  <si>
    <t>3233-010102030102</t>
  </si>
  <si>
    <t>3233-0101020302</t>
  </si>
  <si>
    <t xml:space="preserve"> MULTAS SANCIONES E INTERESES DE MORA </t>
  </si>
  <si>
    <t>3233-010102030201</t>
  </si>
  <si>
    <t xml:space="preserve">  MULTAS Y SANCIONES </t>
  </si>
  <si>
    <t>3233-010102030202</t>
  </si>
  <si>
    <t xml:space="preserve">    MULTAS AMBIENTALES</t>
  </si>
  <si>
    <t>3233-0101020305</t>
  </si>
  <si>
    <t>3233-010102030501</t>
  </si>
  <si>
    <t xml:space="preserve"> TRASFERENCIAS CORRIENTES </t>
  </si>
  <si>
    <t xml:space="preserve">  TRASFERENCIAS DIFEENTES AL SGP</t>
  </si>
  <si>
    <t xml:space="preserve">   PARTICIPACION EN IMPUESTOS </t>
  </si>
  <si>
    <t xml:space="preserve">    PARTICIPACION AMBIENTAL EN EL IMPUESTO PREDIAL </t>
  </si>
  <si>
    <t>3233-010102030502</t>
  </si>
  <si>
    <t xml:space="preserve">RECURSOS DE CAPITAL </t>
  </si>
  <si>
    <t>3233-0101020306</t>
  </si>
  <si>
    <t xml:space="preserve">  RENDIMIENTOS FINANCIEROS </t>
  </si>
  <si>
    <t>3233-0102</t>
  </si>
  <si>
    <t xml:space="preserve">   Depósitos </t>
  </si>
  <si>
    <t>3233-010201</t>
  </si>
  <si>
    <t xml:space="preserve"> TRANSFERENCIAS DE CAPITAL </t>
  </si>
  <si>
    <t>3233-010202</t>
  </si>
  <si>
    <t xml:space="preserve">Recursos del credito </t>
  </si>
  <si>
    <t>3233-02</t>
  </si>
  <si>
    <t xml:space="preserve">  DE OTRAS ENTIDADES DE GOBIERNO </t>
  </si>
  <si>
    <t>3233-0201</t>
  </si>
  <si>
    <t xml:space="preserve">   CONDICIONADAS A LA ADQUISICION DE UN ACTIVO </t>
  </si>
  <si>
    <t>3233-020101</t>
  </si>
  <si>
    <t>3233-020102</t>
  </si>
  <si>
    <t xml:space="preserve">RECURSOS DE LA NACION </t>
  </si>
  <si>
    <t>3233-0202</t>
  </si>
  <si>
    <t xml:space="preserve">   Funcionamiento </t>
  </si>
  <si>
    <t>3233-020201</t>
  </si>
  <si>
    <t xml:space="preserve">    Inversión </t>
  </si>
  <si>
    <t xml:space="preserve">TOTAL INGRESOS DE LA VIGENCIA </t>
  </si>
  <si>
    <t xml:space="preserve">RECURSOS PARA FUNCIONAMIENTO </t>
  </si>
  <si>
    <t>RECURSOS PARA TRASFERENCIAS FCA</t>
  </si>
  <si>
    <t xml:space="preserve">RECURSOS PARA INVERSION </t>
  </si>
  <si>
    <t xml:space="preserve">    GASTOS OPERATIVOS DE INVERSION (10%)</t>
  </si>
  <si>
    <t xml:space="preserve">     GASTOS DE INVERSION Y SERVICIO DE LA DEUDA</t>
  </si>
  <si>
    <t xml:space="preserve">NOMINA FUNCIONAMIENTO </t>
  </si>
  <si>
    <t xml:space="preserve">NOMINA GASTOS OPERATIVOS DE INVERSION </t>
  </si>
  <si>
    <t xml:space="preserve">TOTAL  GASTOS DE PERSONAL  DE LA VIGENCIA </t>
  </si>
  <si>
    <t>% INGRESOS FUNCIONAMIENTO DIRIGIDOS A NOMINA</t>
  </si>
  <si>
    <t xml:space="preserve">% GASTOS OPERAT. INVERSION DIRIGIDOS A NOMINA </t>
  </si>
  <si>
    <t xml:space="preserve">INGRESOS TOTALES </t>
  </si>
  <si>
    <t xml:space="preserve">GASTOS DE PERSONAL </t>
  </si>
  <si>
    <t>% SOBRE INGRESOS TOTALES</t>
  </si>
  <si>
    <t xml:space="preserve">  TRASFERENCIAS DIFERENTES AL SGP</t>
  </si>
  <si>
    <t xml:space="preserve">  OTRAS UNIDADES DE GOBIERNO GENERAL </t>
  </si>
  <si>
    <t>%</t>
  </si>
  <si>
    <t>PROYECCION 2023</t>
  </si>
  <si>
    <t>% INCREM</t>
  </si>
  <si>
    <t>DESTINACIONES</t>
  </si>
  <si>
    <t xml:space="preserve">FUNCIONAMIENTO </t>
  </si>
  <si>
    <t xml:space="preserve">FCA </t>
  </si>
  <si>
    <t xml:space="preserve">INVERSION </t>
  </si>
  <si>
    <t xml:space="preserve">VALOR </t>
  </si>
  <si>
    <t>GOI</t>
  </si>
  <si>
    <t xml:space="preserve">RESTO </t>
  </si>
  <si>
    <t xml:space="preserve">PIGNORACIONES Y VIGENCIAS FUTURAS </t>
  </si>
  <si>
    <t xml:space="preserve">DEFICIT FISCAL </t>
  </si>
  <si>
    <t>INVERSION EN  MUNICIPIOS</t>
  </si>
  <si>
    <t>ARROYOS BARRANQUILLA (ACUE. 008 DE 2016) 3 -1176</t>
  </si>
  <si>
    <t xml:space="preserve">SERVICIO DE LA DEUDA  PUBLICA </t>
  </si>
  <si>
    <t>EL SALAO - SOLEDAD (ACUERDO 011 DE 2017) 3 -1161</t>
  </si>
  <si>
    <t>Funcionamiento</t>
  </si>
  <si>
    <t>Inversion</t>
  </si>
  <si>
    <t>TOTAL INGRESOS ( l+ ll )</t>
  </si>
  <si>
    <t xml:space="preserve">TOTAL PIGNORACIONES </t>
  </si>
  <si>
    <t>TOTAL GASTOS DE FUNCIONAMIENTO (Funcionamiento + Fondo de Compensacion Ambiental)  (1+2)</t>
  </si>
  <si>
    <t xml:space="preserve">INGRERSOS DE LOS ESTABLECIMIENTOS </t>
  </si>
  <si>
    <t xml:space="preserve"> TRIBUTARIOS </t>
  </si>
  <si>
    <t xml:space="preserve">    Sobretasa ambiental </t>
  </si>
  <si>
    <t xml:space="preserve">     Contribuciones sector electrico </t>
  </si>
  <si>
    <t xml:space="preserve">  TASAS Y DERECHOS ADMINISTRATIVOS </t>
  </si>
  <si>
    <t xml:space="preserve">     Certificaciones y constancias </t>
  </si>
  <si>
    <t xml:space="preserve">     Evaluación de licencias y támites </t>
  </si>
  <si>
    <t xml:space="preserve">    Seguimiento de licencias y trámtes </t>
  </si>
  <si>
    <t xml:space="preserve">    Tasa por uso de agua </t>
  </si>
  <si>
    <t xml:space="preserve">    Tasa retributiva </t>
  </si>
  <si>
    <t xml:space="preserve">    Tasa por aprovechamiento forestal </t>
  </si>
  <si>
    <t xml:space="preserve"> MULTAS Y SANCIONES AMBIENTALES</t>
  </si>
  <si>
    <t xml:space="preserve">    Multas ambientales </t>
  </si>
  <si>
    <t xml:space="preserve"> TRANSFERENCIAS CORRIENTES </t>
  </si>
  <si>
    <t xml:space="preserve">   Participación ambiental en el  impuesto predial </t>
  </si>
  <si>
    <t xml:space="preserve">   De otras unidades de gobierno </t>
  </si>
  <si>
    <t xml:space="preserve">    Depositos </t>
  </si>
  <si>
    <t xml:space="preserve">  TRANSFERENCIAS DE CAPITAL </t>
  </si>
  <si>
    <t xml:space="preserve">    Condicionadas a la adquisición de un activo </t>
  </si>
  <si>
    <t xml:space="preserve">  RECURSOS DEL CREDITO </t>
  </si>
  <si>
    <t xml:space="preserve">         Tebsa </t>
  </si>
  <si>
    <t xml:space="preserve">         Termoflores </t>
  </si>
  <si>
    <t>PAI 2020-2023 "ATLÁNTICO SOSTENIBLE Y RESILIENTE"</t>
  </si>
  <si>
    <t>RECURSOS DE INVERSIÓN</t>
  </si>
  <si>
    <t xml:space="preserve">FUENTES DE FINANCIACION  DISPONIBLES </t>
  </si>
  <si>
    <t>TEBSA</t>
  </si>
  <si>
    <t>TERMOFLORES</t>
  </si>
  <si>
    <t xml:space="preserve">AUTOGENERADORES </t>
  </si>
  <si>
    <t xml:space="preserve">TASA RETRIBUTIVA </t>
  </si>
  <si>
    <t xml:space="preserve">TASA COMPENSATORIA DE APROVECHAMIENTO FORESTAL </t>
  </si>
  <si>
    <t xml:space="preserve">RENDIMIENTOS FINANCIEROS </t>
  </si>
  <si>
    <t xml:space="preserve">TOTAL </t>
  </si>
  <si>
    <t>ACCIÓN ESTRATÉGICA</t>
  </si>
  <si>
    <t xml:space="preserve">1.1.1.1. Iniciar el proceso de formulación del Plan de Ordenación y Manejo de Cuencas Hidrográfica de la cuenca de Mar Caribe. </t>
  </si>
  <si>
    <t>1.1.1.2. Adoptar los Planes de Ordenación y Manejo de: Cuencas Hidrográficas del Canal del Dique, Cuenca del complejo de humedades del Rio Magdalena y Cuenca de los Arroyos directos al Mar Caribe.</t>
  </si>
  <si>
    <t>1.1.1.3. Implementar el Plan de Ordenación y Manejo de Cuencas Hidrográficas de la Ciénaga de Mallorquín y los Arroyos Grande y León.</t>
  </si>
  <si>
    <t>1.1.1.4. Implementar el Plan de Ordenación y Manejo de Cuencas Hidrográficas del Complejo de Humedades del Río Magdalena.</t>
  </si>
  <si>
    <t>1.1.1.5. Implementar el Plan de Ordenación y Manejo de Cuencas Hidrográficas del Canal del Dique.</t>
  </si>
  <si>
    <t>1.1.1.6. Formular el Plan de Manejo de la Ciénaga de Mallorquín (delimitación y zonificación del humedal a escala 1:25.000), el cual hace parte de sitio RAMSAR Sistema Delta Estuario Ciénaga Grande de Santa Marta.</t>
  </si>
  <si>
    <t>1.1.1.7. Formular el Plan de Manejo de Acuífero de Sabanalarga - Tubará de acuerdo a la priorización definida en los criterios del Decreto 1640 de 2012.</t>
  </si>
  <si>
    <t>1.1.1.8. Actualizar el índice del Uso de Agua para el Departamento del Atlántico, ya que éste fue construido en el año 2013.</t>
  </si>
  <si>
    <t xml:space="preserve">1.1.1.9. Elaborar una Resolución de Priorización de los cuerpos de agua que requieren ser acotados en el departamento. </t>
  </si>
  <si>
    <t>1.1.1.10. Realizar estudios de Rondas Hídricas de los cuerpos de agua priorizados en el departamento (Malambo y Bahía).</t>
  </si>
  <si>
    <t>1.1.1.11. Elaborar Planes de Ordenamiento del Recurso Hídrico en las Ciénagas Priorizadas del Departamento (Sabanagrande, Santo Tomas, Palmar de Varela, Canal del Dique y Malambo).</t>
  </si>
  <si>
    <t>1.1.1.12. Implementar los Planes de Ordenamiento del Recurso Hídrico que se encuentra elaborados en el departamento (Embalse del Guájaro, la ciénaga de  Luruaco y la ciénaga de Mallorquín).</t>
  </si>
  <si>
    <t>1.1.2.1. Conformar un Equipo de Trabajo fortalecido con herramientas e insumos necesarios para llevar a cabo la Planificación, Administración y Gestión del recurso hídrico.</t>
  </si>
  <si>
    <t>1.1.2.2. Implementar los cuatro Consejos de Cuenca (Mallorquin, Canal del Dique, Rio Magdalena y Caribe) como mecanismo de participación efectiva de los usuarios en la Planeación, Administración, Vigilancia y Monitoreo del recurso Hídrico.</t>
  </si>
  <si>
    <t xml:space="preserve">1.1.3.1. Realizar el mantenimiento a las compuertas de Villa Rosa y el Porvenir que regulan el Embalse del Guájaro. </t>
  </si>
  <si>
    <t>1.1.3.2.  Realizar intervenciones para la Recuperación Ambiental de los Humedales asociados a la Cuenca del Canal del Dique (Hidrodinámica del Embalse El Guajaro y los afluentes del ecosistema).</t>
  </si>
  <si>
    <t>1.1.3.3.  Realizar intervenciones en los Humedales asociados a la vertiente occidental del Rio Magdalena. (Ciénagas de Malambo, Sabanagrande, Santo Tomás y Palmar de Varela).</t>
  </si>
  <si>
    <t xml:space="preserve">1.1.3.4.  Realizar intervenciones para la Recuperación ambiental de la Cuenca de la Ciénaga de Mallorquín (Cienaga de Mallorquin y Cienaga Rincon o Lago El Cisne). </t>
  </si>
  <si>
    <t>1.1.3.5.  Realizar repoblamientos anuales como estrategia de implementación de recuperación de poblaciones naturales de especies nativas asociadas al recurso hidrobiológico en los humedales del departamento.</t>
  </si>
  <si>
    <t>1.2.1.1. Incrementar el número de usuarios del recurso hídrico con Planes de Ahorro y Uso eficiente del Agua.</t>
  </si>
  <si>
    <t xml:space="preserve">1.2.1.2. Realizar seguimiento a la implementación de los Programas de Ahorro y uso eficiente del agua de los usuarios del Recurso Hídrico. </t>
  </si>
  <si>
    <t>1.2.1.3. Elaborar e Implementar Proyectos para las zonas priorizadas como zonas abastecedora de recurso Hídrico.</t>
  </si>
  <si>
    <t xml:space="preserve">1.2.2.1. Realizar inventario y registro de usuario (Legales y por legalizar) del recurso Hídrico, en relación con las aguas superficiales y subterráneas. </t>
  </si>
  <si>
    <t>1.2.2.2. Monitorear la Calidad del Recurso Hídrico de las Aguas Continentales</t>
  </si>
  <si>
    <t>1.2.2.3. Monitorear la Calidad del Recurso Hídrico de las aguas Marinas (18 puntos establecidos en la REDCAM).</t>
  </si>
  <si>
    <t>1.2.2.4. Realizar reglamentación de los aportes puntuales de carga contaminante en los cuerpos de agua receptores de vertimientos en el Departamento del Atlántico</t>
  </si>
  <si>
    <t>1.2.2.5. Realizar seguimiento de las metas de Carga Contaminantes para el periodo 2020-2023.</t>
  </si>
  <si>
    <t>1.2.2.6. Realizar inventario de los corregimientos que carecen de Saneamiento Básico en todo el departamento.</t>
  </si>
  <si>
    <t>1.2.2.7. Realizar seguimiento a los vertimientos de los corregimientos del departamento del Atlántico.</t>
  </si>
  <si>
    <t>1.2.3.1. Realizar control, seguimiento y evaluación de los vertimientos, que permita conocer el estado de los cuerpos de agua receptores.</t>
  </si>
  <si>
    <t xml:space="preserve">1.2.3.2. Reducir los aportes de contaminación puntual a los cuerpos de agua a través de sistemas de tratamiento de agua residuales. </t>
  </si>
  <si>
    <t>1.3.1.1. Identificar y caracterizar la Vulnerabilidad de los ecosistemas claves para la regulación Hídrica e inventariar los riesgos sobre infraestructuras de abastecimiento de agua.</t>
  </si>
  <si>
    <t>1.3.1.2. Diseñar e Implementar medidas de adaptación a los efectos del cambio climático asociados al recurso Hídrico (Reconformación de taludes y/o diques de protección)</t>
  </si>
  <si>
    <t>1.3.1.3. Construir la Canalización para la Recuperación Paisajística y ambiental del Arroyo el Salao Ubicado en el Municipio de Soledad.</t>
  </si>
  <si>
    <t>1.3.1.4. Realizar seguimiento ambiental a la Canalización para la Recuperación Paisajística y ambiental del Arroyo el Salao Ubicado en el Municipio de Soledad.</t>
  </si>
  <si>
    <t xml:space="preserve">1.3.1.5. Realizar seguimiento ambiental a las Obras de canalización de los arroyos del Distrito de Barranquilla. </t>
  </si>
  <si>
    <t>2.1.1.1 Implementar el Plan de Acción Regional de Lucha contra la Desertificación y la Sequia que  contribuya a la restauración de ecosistemas en zonas secas</t>
  </si>
  <si>
    <t>2.1.1.2 Producir 150.000 plantulas, adecuar el sitio y fortalecer técnica y ambientalmente la producción de plantulas en los viveros  de la CRA con fines de restauración y recuperación de suelos.</t>
  </si>
  <si>
    <t xml:space="preserve">2.1.1.3 Implementar un programa de deforestación evitada que incluya al menos las siguientes lineas de acción: articulación con sectores o entes territoriales para incentivar modelos agroambientales, alternativas de eficiencia energetica en hogares y restaurantes y educación ambiental para disminuir la extracción de leña y carbon vegetal </t>
  </si>
  <si>
    <t>2.1.1.4. Ejecutar un programa comunitario de medidas de adoptación al cambio climático basadas en la conservación de los ecosistemas estrategicos (bosque seco y manglar) y enfocadas a la reconverción hacia sistemas sostenibles de producción</t>
  </si>
  <si>
    <t xml:space="preserve">2.1.1.5 Implementar un programa de conservación de suelos y promoción de sistemas sostenibles de producción </t>
  </si>
  <si>
    <t>2.1.2.1.Realizar el diagnóstico de las especies invasoras del departamento y diseñar una estrategia regional para el control de especies invasoras, exóticas y trasplantadas</t>
  </si>
  <si>
    <t>2.1.2.2. Implementar medidas de prevención, control y manejo de las principales especies invasoras del departamento</t>
  </si>
  <si>
    <t>2.1.2.3. Implementar proyectos comunitarios  para la conservación y uso sostenible de especies amenazadas priorizadas para el departamento del Atlántico.</t>
  </si>
  <si>
    <t>2.1.2.4. Actualizar el inventario de Fauna y Flora Silvestre del Departamento del Atlántico</t>
  </si>
  <si>
    <t>2.1.2.5. Diseñar  y ejecutar acciones de conservación y manejo para 6 especies amanezadas</t>
  </si>
  <si>
    <t>2.2.1.1. Adoptar e implementar el Plan de Ordenación y Manejo-POMIUAC  de la Unidad Ambiental Costera-UAC del Rio Magdalena</t>
  </si>
  <si>
    <t>2.2.1.2. Adelantar e implentar acciones encaminadas a impulsar el ecoturismo sostenible en zonas de la franja costera del departamento del Atlántico.</t>
  </si>
  <si>
    <t>2.2.2.1. Definir e implementar acciones para controlar y mitigar el estado de la Erosión Costera en el Departamento del Atlàntico.</t>
  </si>
  <si>
    <t>2.2.3.1. Diseñar  y ejecutar un  programa educativo  dirigido a  la conservación de la Biodiversidad Marino-Costera del departamento del Atlántico, con enfasis en el cumplimiento de las leyes y orientado a controlar la destrucción de barreras naturales de protección de las costas, tales como manglares, arrecifes coralinos, islas de barrera y otras características geomorfológicas de protección.</t>
  </si>
  <si>
    <t>2.2.3.2. Establecer un  Programa de  Control y Monitoreo de la Unidad Ambiental Costera</t>
  </si>
  <si>
    <t xml:space="preserve">2.3.1.1. Actualizar y ejecutar los  Planes de Manejo Ambiental de las Áreas Protegidas del Departamento </t>
  </si>
  <si>
    <t xml:space="preserve">2.3.1.2. Establecer acciones para promover la conservación efectiva y el cumplimiento del plan de manejo de las áreas protegidas declaradas. </t>
  </si>
  <si>
    <t xml:space="preserve">2.3.1.3. Implementar proyectos de restauraciòn  y conectividad del  Bosque Seco enmarcadas en el SIRAP, SIDAP, SILAP, en el Atlántico.  </t>
  </si>
  <si>
    <t xml:space="preserve">2.3.1.4. Adquirir predios privados localizados al interior de las Áreas protegidas </t>
  </si>
  <si>
    <t>2.3.1.5. Declarar nuevas Áreas Protegidas en el Departamento con registro ante el RUNAP</t>
  </si>
  <si>
    <t xml:space="preserve">2.3.1.6. Formular y ejecutar Programas de asistencia técnica para la implementación de estrategias educativo ambientales y de participación encaminadas a la conservación de las áreas protegidas declaradas en el departamento del Atlántico. </t>
  </si>
  <si>
    <t>2.3.1.7. Formular e implementar activiades de protección y recuperación de las zonas de acuiferos ubicadas en las áreas protegidas, para prevenir y mitigar el impacto negativo en en el recurso hídrico</t>
  </si>
  <si>
    <t>2.3.1.8. Desarrollar estrategias de participación efectiva dirigidas a  los propietarios de predios privados y comunidades de las áreas protegidas enfocadas a la conservación y a la implementación de sistemas productivos sostenibles como medida de adaptación al cambio climático</t>
  </si>
  <si>
    <t>2.3.1.9. Formular e implementar  proyectos Ecoturísticos  de acuerdo con los lineamientos establecidos por la Unidad Administrativa de Parques Nacionales de Colombia (UASPNN), como alternativa sostenible en las áreas protegidas y sus zonas aledañas</t>
  </si>
  <si>
    <t>2.3.1.10. Desarrollar  e implementar estudios técnicos que definan la capacidad de carga para el control de ingreso e impactos ambientales generados por los visitantes de las áreas protegidas en el Atlántico</t>
  </si>
  <si>
    <t>2.3.1.11. Gestión del riesgo de desastre por incendio de cobertura vegetal en áreas declaradas como áreas protegidas.</t>
  </si>
  <si>
    <t>2.3.2.1. Actualizar  la  ventanilla nodo de negocios verdes creada para el departamento del Atlántico.</t>
  </si>
  <si>
    <t>2.3.2.2.  Diseñar la Asistencia técnica que permita la consolidación, fortalecimiento  de los Negocios Verdes en el Atlántico</t>
  </si>
  <si>
    <t>2.3.2.3. Desarrollar Ferias para la promoción, divulgaciòn y realización de Negocios Verdes en el departamento del Atlántico.</t>
  </si>
  <si>
    <t xml:space="preserve">2.3.2.4. Celebrar Convenios de Cooperación o alianzas con el sector público o privado nacional o internacional que permita fortalecer la oferta de asitencia técnica y de marketing de los Negocios Verdes existentes en el departamento del Atlántico. </t>
  </si>
  <si>
    <t>2.3.3.1. Estructurar e implementar la primera fase del Programa Regional de compensaciones ambientales agrupadas denominado Bolsa Verde Atlántico, con el objetivo de preservar y restaurar las áreas prioritarias de conservación de la biodiversidad del Atlántico</t>
  </si>
  <si>
    <t>3.1.1.1.  Brindar asistencia técnica a los CIDEA municipales para apoyar la formulación del Plan Municipal de Educación Ambiental PMEA</t>
  </si>
  <si>
    <t>3.1.1.2.  Apoyar dos acciones contempladas en los PMEA del CIDEA en cada uno de los 22 municipios</t>
  </si>
  <si>
    <t>3.1.1.3.  Apoyar la realización de acciones coordinadas y aprobadas por el comité técnico del CIDEA Departamental.</t>
  </si>
  <si>
    <t>3.1.2.1.  Brindar asesoría técnica a los Proyectos Ambientales Escolares (PRAE) y apoyar acciones para su implementación.</t>
  </si>
  <si>
    <t>3.1.2.2.  Impulsar la conformación y/o operatividad de Semilleros de Investigación, Grupos Ecológicos o Clubes de Ciencia y dinamizadores ambientales de los municipios del departamento.</t>
  </si>
  <si>
    <t>3.1.2.3.  Establecer alianzas estratégicas con Instituciones de Educación Superior para apoyar la realización de acciones que promuevan la dimensión ambiental.</t>
  </si>
  <si>
    <t>3.1.2.4.  Promover la investigación en educación ambiental en el departamento en el marco de la política nacional de educación ambiental (PNEA).</t>
  </si>
  <si>
    <t>3.1.3.1. Brindar apoyo y acompañamiento a los PROCEDA como motivadores de cultura ambiental ciudadana y promotores de la gestión y la resolución de los conflictos socioambientales a nivel local.</t>
  </si>
  <si>
    <t>3.1.3.2.  Desarrollar un programa de capacitación para formar a jóvenes como gestores ambientales urbanos GAU en el departamento</t>
  </si>
  <si>
    <t>3.1.4.1.  Posicionar el tema de la prevención y gestión del riesgo del desastre desde una visión educativa integradora en los Consejos Municipales de Gestión del Riesgo-CMGR de los municipios del Atlántico</t>
  </si>
  <si>
    <t>3.1.4.2.  Apoyar a las Instituciones Educativas para la formulación y/o actualización de los Planes Escolares de Gestión del Riesgo-PEGR.</t>
  </si>
  <si>
    <t>3.2.1.1.  Brindar el servicio de talleres de educación en temas ambientales relacionados a: Conservación de la biodiversidad, servicios ecosistémicos, manejo y uso sostenible de los ecosistemas marino-costeros, gestión del cambio climático, contaminación de suelo, agua y aire, gestión integral de residuos y Economía Circular, contaminación con metales pesados (mercurio), salud ambiental (COTSA), normatividad ambiental.</t>
  </si>
  <si>
    <t>3.2.1.2. Implementar jornadas pedagógicas a través de las Aulas Ambientales itinerantes para promover una conciencia y cultura ambiental en las comunidades del departamento.</t>
  </si>
  <si>
    <t>3.2.2.1.  Apoyar las iniciativas de las ONG´s ambientalistas que coadyuve a gestión ambiental de la Corporación CRA en los municipios del Departamento.</t>
  </si>
  <si>
    <t>3.2.2.2.  Apoyo a proyectos productivos para la seguridad alimentaria de las comunidades de pescadores y agricultores del departamento.</t>
  </si>
  <si>
    <t xml:space="preserve">3.2.3.1.  Optimizar el servicio de divulgación de la información que genera la Corporación sobre las iniciativas en las temáticas de educación ambiental y participación y los temas ambientales en general. </t>
  </si>
  <si>
    <t>3.2.3.2.  Desarrollar jornadas anuales, a nivel departamental, de recolección de residuos posconsumo peligrosos, especiales y RAEE (envases y bolsas de agroquímicos, medicamentos vencidos, baterías usadas plomo ácido, bombillas, pilas, computadores y llantas usadas).</t>
  </si>
  <si>
    <t>3.2.3.3.  Promover la utilización de las TICs, a través de la implementación de proyectos virtuales de educación ambiental en busca de innovación, agilidad y cobertura en el acceso a la información y la construcción de conocimiento ambiental.</t>
  </si>
  <si>
    <t>3.2.3.4.  Promocionar escenarios de divulgación e intercambio de conocimientos e iniciativas innovadoras en el marco de la educación ambiental, a nivel regional, nacional e internacional.</t>
  </si>
  <si>
    <t>3.2.4.1.  Apoyar iniciativas con enfoque diferencial que incorporen la perspectiva de género asociados a la gestión ambiental de la Corporación CRA.</t>
  </si>
  <si>
    <t>3.3.1.1.  Apoyar con enfoque diferencial de las iniciativas integrales de emprendimientos produtivos (plantas medicinales, frutales, huertas caseras, y piscicultura entre otras) o iniciativas de protección de la biodiversidad (reforestación, siembra de manglares entre otras)</t>
  </si>
  <si>
    <t>3.3.1.2.  Implementación de acciones con enfoque diferencial para fortalecer los conocimientos, usos, costumbres, saberes y prácticas tradicionales ambientales de las comunidades indígenas y Rom del departamento.</t>
  </si>
  <si>
    <t>3.3.1.3.  Implementación de acciones con enfoque diferencial para fortalecer los conocimientos, usos, costumbres, saberes y prácticas tradicionales ambientales de las comunidades negras, afrocolombianas, raizales y palenqueras NARP del departamento.</t>
  </si>
  <si>
    <t xml:space="preserve">3.3.1.4.  Apoyar iniciativas productivas con enfoque diferencial de las comunidades negras, afrocolombianas, raizales y palenqueras NARP del departamento articuladas al PAI de la Corporación CRA. </t>
  </si>
  <si>
    <t>3.4.1.1.  Crear los comités municipales de guardianes del medio ambiente -GUMA para apoyar la gestión ambiental de la CRA</t>
  </si>
  <si>
    <t>3.4.2.1.  Elaborar una matriz para realizar el seguimiento a los indicadores sociales, económicos y ambientales articulados a los ODS en los municipios del departamento del atlántico.</t>
  </si>
  <si>
    <t xml:space="preserve">4.1.1.1. Implementar Convenios de Producción más Limpia con los sectores de equipamiento urbano </t>
  </si>
  <si>
    <t>4.2.1.1. Fomentar el conocimiento sobre el Potencial energético de la generación de biogás a partir de residuos pecuarios en el Departamento del Atlántico</t>
  </si>
  <si>
    <t xml:space="preserve">4.2.2.1. Impulsar proyectos de generación de Fuentes No convencionales de Energía Renovable-FNCER, cogeneración a partir de la misma generación distribuida y de gestión eficiente de la energía. </t>
  </si>
  <si>
    <t>4.2.3.1. Conocer el potencial de energía eólica en el Departamento del Atlántico</t>
  </si>
  <si>
    <t xml:space="preserve">4.3.1.1. Asesorar a los municipios del Dpto. en la inclusión del componente ambiental en los procesos de planificación y ordenamiento territorial, con énfasis en la incorporación de las determinantes ambientales </t>
  </si>
  <si>
    <t>4.3.1.2. Construir el Plan de Gestión Regional. Ambiental - PGAR para la vigencia 2023-2032</t>
  </si>
  <si>
    <t xml:space="preserve">4.3.2.1. Asistir a los municipios en la implementación y seguimiento de esquemas de pago por servicios ambientales </t>
  </si>
  <si>
    <t>4.3.3.1. Ejecutar acciones orientadas a actualizar la información ambiental en el marco del ordenamiento ambiental y territorial que sirvan de insumo para la elaboración de los POT.</t>
  </si>
  <si>
    <t>4.3.4.1. Ejecutar acciones orientadas a implementar la Política Integral del Salud Ambiental en la jurisdicción de la CRA</t>
  </si>
  <si>
    <t>4.4.1.1. Realizar acciones tendientes a actualizar la situación de concentración de contaminantes criterio en la calidad del aire del Departamento del Atlántico</t>
  </si>
  <si>
    <t>4.4.1.2. Realizar un rediseño del sistema de vigilancia de la calidad del aire en el Departamento del Atlántico.</t>
  </si>
  <si>
    <t>4.4.1.3. Realizar informes mensuales para el Sistema de Calidad del Aire -SISAIRE (Resolución 651 de 29 de marzo de 2010).</t>
  </si>
  <si>
    <t>4.4.1.4. Tramitar y obtener certificado de acreditación del Sistema de Vigilancia de la Calidad del Aire acreditado con NTC ISO 17025 por el IDEAM ( Par. 2 del artículo 2.2.8.9.1.5 del Decreto Único 1076 de 2015).</t>
  </si>
  <si>
    <t>4.4.1.5. Realizar evaluación, seguimiento y control ambiental de las emisiones atmosféricas en el Departamento.</t>
  </si>
  <si>
    <t>4.4.1.6. Estimar las emisiones de Gases de Efecto Invernadero (GEI) sectorial en el Departamento del Atlántico.</t>
  </si>
  <si>
    <t>4.4.1.7. Elaborar el Inventario de emisiones atmosféricas aplicando la Guía para la elaboración de Inventario de Emisiones Atmosféricas</t>
  </si>
  <si>
    <t xml:space="preserve">4.4.2.1. Controlar las actividades productoras de olores ofensivos en el Departamento </t>
  </si>
  <si>
    <t>4.4.3.1. Actualizar  los mapas de ruido diurno y nocturno en los municipios con más de 100.000 habitantes del Departamento</t>
  </si>
  <si>
    <t>4.4.3.2. Promover la adecuada gestión ambiental de las actividades generadoras de emisiones de ruido en el Departamento del Atlántico</t>
  </si>
  <si>
    <t>4.4.3.3. Proporcionar apoyo técnico a los municipios del Departamento del Atlántico en las mediciones de emisión de ruido</t>
  </si>
  <si>
    <t>4.4.4.1. Fomentar el aprovechamiento local del plástico y otros materiales reciclables en los municipios costeros del Departamento del Atlántico</t>
  </si>
  <si>
    <t>4.4.4.2. Realizar seguimiento a la  implementación del PGIRS  municipios de la jurisdicción de la CRA.</t>
  </si>
  <si>
    <t>4.4.4.3. Realizar seguimiento a la  implementación  del Plan de Gestión de Residuos Peligrosos de los municipios de la jurisdicción de la CRA.</t>
  </si>
  <si>
    <t xml:space="preserve">4.4.4.4. Actualizar el registro y reporte de usuarios generadores de RESPEL </t>
  </si>
  <si>
    <t>4.4.4.5. Crear una Agenda Departamental de  Economía Circular: materiales industriales y productos de uso masivo (RAEE, RESPEL, llantas usadas), Materiales de envases y empaques; Flujos de Biomasa, Flujos de Agua, Fuentes y flujos de energía, materiales de construcción.</t>
  </si>
  <si>
    <t xml:space="preserve">4.4.4.6. Ejecutar proyectos en el marco de la Agenda Departamental de Economía </t>
  </si>
  <si>
    <t>4.5.1.1. Promover la eficiencia en la evaluación, seguimiento y control de  trámites ambientales</t>
  </si>
  <si>
    <t xml:space="preserve">4.5.1.2. Atender oportuna y eficazmente las quejas ambientales y procesos sancionatorios </t>
  </si>
  <si>
    <t>4.5.1.3. Realizar seguimiento a medidas de compensación</t>
  </si>
  <si>
    <t>4.5.1.4. Promover instrumentos de formalización minera  para identificar  actividades ilegales en los Sectores productivos de alto impacto</t>
  </si>
  <si>
    <t>4.5.1.5. Promover instrumentos de formalización minera  para identificar y monitorear actividades ilegales en los Sectores productivos de alto impacto</t>
  </si>
  <si>
    <t>4.5.1.6. Atender oportuna y eficazmente las quejas ambientales</t>
  </si>
  <si>
    <t xml:space="preserve">4.5.1.7.  Controlar el tráfico ilegal de especies de Fauna y Flora en el Atlántico </t>
  </si>
  <si>
    <t>4.5.1.8 Atender oportuna y eficazmente las quejas ambientales</t>
  </si>
  <si>
    <t>4.5.2.1. Implementar instrumentos económicos dependiendo de la actividad y su afectación al ambiente</t>
  </si>
  <si>
    <t>4.6.1.1. Elaborar estudios técnicos para el conocimiento y reducción del riesgo e incorporación de la gestión del riesgo en el ordenamiento territorial de los municipios</t>
  </si>
  <si>
    <t>4.6.1.2. Actualizar estudios técnicos para el conocimiento y reducción del riesgo elaborados e incorporación de la gestión del riesgo en el ordenamiento territorial de los municipios</t>
  </si>
  <si>
    <t>4.6.1.3. Promover asesorías para el conocimiento y reducción del riesgo de desastres  e incorporación de la gestión del riesgo en el ordenamiento territorial de los municipios</t>
  </si>
  <si>
    <t>4.6.1.4. Brindar acompañamiento y asistencia a las entidades territoriales del Departamento del Atlántico, susceptibles de amenazas por incendios de cobertura vegetal</t>
  </si>
  <si>
    <t>4.7.1.1. Formular e implementar intervenciones locales orientadas a reducir  la vulnerabilidad y el  aumento de la resiliencia a la variabilidad y al cambio climático, en articulación con la Política Nacional de Cambio Climático y el PGICCTA del Departamento del Atlántico.</t>
  </si>
  <si>
    <t>5.1.1.1. Realizar un estudio para el fortalecimiento Institucional de la Entidad encaminado a la ampliación de la planta de personal y la creación de nuevos cargos.</t>
  </si>
  <si>
    <t>5.1.1.2. Garantizar la libre asociación de los funcionarios de la Entidad</t>
  </si>
  <si>
    <t xml:space="preserve">5.1.1.3. Elaborar y ejecutar el programa de capacitación y bienestar social de la Entidad para fortalecer los conocimientos, habilidades y destrezas de los funcionarios de la Corporación teniendo en cuenta los tres ejes del Plan Nacional de Formación y Capacitación: Gobernanza para la paz, Gestión del conocimiento, Creación del valor público. </t>
  </si>
  <si>
    <t>5.1.1.4. Otorgar auxilios de tipo educativo y otros, a funcionarios que cumplen ciertos requisitos.</t>
  </si>
  <si>
    <t>5.2.1.1. Mantener calificación superior a 90 sobre 100 en la  continuidad y mejoramiento del SG-SST (Resolución 312 de 2019 y el decreto 1072 de 2015)</t>
  </si>
  <si>
    <t>5.2.1.2. Realizar diagnostico del perfil sociodemográfico y de las condiciones de salud de los trabajadores</t>
  </si>
  <si>
    <t xml:space="preserve">5.2.1.3. Realizar informes de ejecución de las actividades de medicina preventiva y del trabajo, promoción y prevención y programas de vigilancia epidemiológica </t>
  </si>
  <si>
    <t>5.2.1.4. Realizar reportes periódicos sobre la práctica de exámenes médicos ocupacionales de ingreso, control periódico y retiro de todos los trabajadores y de control periódico para los colaboradores con contratos iguales o superiores a seis meses</t>
  </si>
  <si>
    <t>5.2.1.5. Realizar reportes anuales sobre los funcionarios y trabajadores en misión, los elementos de protección personal y colectiva que se requieren para el desarrollo de una labor segura y los elementos de protección frente a brotes pandémicos generadores de emergencias económicas, sociales y ecológicas</t>
  </si>
  <si>
    <t>5.2.1.6. Garantizar, conforme a la matriz de peligros y riesgos de la CRA la realización de estudios que contengan las mediciones ambientales de iluminación, ruido, agentes biológicos, químicos y demás establecidos en dicha matriz</t>
  </si>
  <si>
    <t>5.2.1.7. Garantizar la capacitación de trabajo en alturas a funcionarios y contratistas de la Corporación para la mejora de la gestión del riesgo de seguridad y salud</t>
  </si>
  <si>
    <t>5.2.2.1. Garantizar el mantenimiento, continuidad y mejora del Plan Estratégico de Seguridad vial de la CRA (Resolución 1565 de 2014, Resolución 1231 de 2016 y Decreto 2106 de 2019, Resolución 0312 de 2019. Decreto 1079 de 2015.)</t>
  </si>
  <si>
    <t>5.3.1.1. Formular el Plan estratégico de Tecnologías de Información PETI 2020-2023.  
Formulación de la Política de Gobierno Digital y el Marco de Referencia de Arquitectura Empresarial</t>
  </si>
  <si>
    <t>5.3.1.2. Garantizar la divulgación y ejecución del Plan de Comunicaciones del PETI</t>
  </si>
  <si>
    <t>5.3.1.3. Diseñar e implementar un sistema de gestión de seguridad de la información basado en la norma ISO 27001</t>
  </si>
  <si>
    <t xml:space="preserve">5.3.2.1. Adquirir, mantener y dar soporte a los equipos de cómputo, periféricos y sistema eléctricos de respaldo a las labores de la Entidad </t>
  </si>
  <si>
    <t xml:space="preserve">5.3.2.2. Implementar servicios de voz, datos corporativos y servidores virtualizados en la entidad </t>
  </si>
  <si>
    <t xml:space="preserve">5.3.2.3. Actualizar el software de base de la Corporación </t>
  </si>
  <si>
    <t>5.3.2.4. Implementar servicios tecnológicos que dinamicen la realización de actividades internas y externas de la entidad</t>
  </si>
  <si>
    <t>5.4.1.1. Diseñar e implementar estrategias  de comunicación para fortalecer la imagen institucional de la CRA</t>
  </si>
  <si>
    <t>5.4.1.2. Aumentar el número de visitas y seguidores en  canales virtuales de la entidad</t>
  </si>
  <si>
    <t>5.4.1.3. Realizar campañas institucionales en medios de comunicación tradicionales y nuevas tecnologías</t>
  </si>
  <si>
    <t>5.4.1.4. Promover la participacion de la comunidad en las actividades de la corporación.</t>
  </si>
  <si>
    <t>5.5.1.1. Gestionar recursos externos nacionales e internacionales  a partir de la formulación y ejecución de proyectos ambientales</t>
  </si>
  <si>
    <t>5.5.1.2. Apoyar la formulación, radicación y evaluación de proyectos ambientales radicados en la entidad.</t>
  </si>
  <si>
    <t xml:space="preserve">5.5.1.3.  Adoptar herramientas para el seguimiento de los Instrumentos de Planeación y Administración de  proyectos en la entidad </t>
  </si>
  <si>
    <t>5.6.1.1. Renovar y licenciar el Software para el desarrollo de las actividades misionales y administrativas de la entidad:</t>
  </si>
  <si>
    <t>5.6.1.2. Mantener la pagina web, intranet y subportales de la Entidad</t>
  </si>
  <si>
    <t xml:space="preserve">5.6.1.3. Implementar Software de soporte para la Oficina Jurídica </t>
  </si>
  <si>
    <t xml:space="preserve">5.6.1.4. Implementar Software de soporte para PQRS </t>
  </si>
  <si>
    <t>5.6.1.5. Formular e Implementar la Política de Seguridad y Manejo de la Informacion y  el Marco de Interoperabilidad</t>
  </si>
  <si>
    <t>5.6.2.1. Implementar, mantener y mejorar estrategias para la consolidacion del sistema de informacion geografico ambiental y su articulacion con las diferentes entidades del SINA.</t>
  </si>
  <si>
    <t>5.6.2.2. Dar cumplimiento a la normatividad vigente en materia de Mantenimiento y operación de los subsistemas de SIAC a través de la  entrega de información ambiental en: VITAL, RESPEL, RUA, PCBS, SISAIRE, SNIF, SIRH, SIB, SIAM, SMBYC, SIPGA CAR, SINAP-RUNAP, SIUR</t>
  </si>
  <si>
    <t xml:space="preserve">5.7.1.1. Realizar ciclos de auditoría interna de conformidad con la metodología vigente </t>
  </si>
  <si>
    <t xml:space="preserve">5.7.1.2. Mantener la certificación del sistema de gestión de la calidad según NTC ISO 9001:2015 </t>
  </si>
  <si>
    <t>5.7.1.3. Implementar un sistema de seguridad y salud en el trabajo, según norma NTC 45001:2015</t>
  </si>
  <si>
    <t>5.7.1.4. Implementar un sistema de gestión ambiental según la norma NTC ISO 14001:2015</t>
  </si>
  <si>
    <t>5.7.2.1. Implementar una norma para la calibración de equipos según  ISO 17025: 2017 (Ensayo y Calibración)</t>
  </si>
  <si>
    <t>5.7.3.1. Implementar un modelo integrado de planeación y gestión, de conformidad con el Decreto 1499/17</t>
  </si>
  <si>
    <t xml:space="preserve">5.8.1.1. Disponer de un Archivo Central en condiciones de funcionamiento adecuadas </t>
  </si>
  <si>
    <t>5.8.1.2. Adelantar procesos de digitalización de información sensible y de importancia en la entidad</t>
  </si>
  <si>
    <t>5.8.1.3. Elaborar instrumentos archivísticos y de gestión de la información para la planificación de la gestión documental</t>
  </si>
  <si>
    <t xml:space="preserve"> 5.8.1.4. Revisar y Actualizar los instrumentos archivísticos y de gestión de la información que existen en la entidad</t>
  </si>
  <si>
    <t>5.8.1.5. Garantizar el cumplimiento de la normatividad de la gestión documental en cada uno de los archivos de gestión de la entidad</t>
  </si>
  <si>
    <t>5.8.1.6. Fomentar el saneamiento de expedientes</t>
  </si>
  <si>
    <t>5.9.1.1. Atender los trámites jurídico procesales de la Entidad.</t>
  </si>
  <si>
    <t>5.9.1.2. Formular e implementar la política de prevención del daño antijurídico.</t>
  </si>
  <si>
    <t>5.9.2.1. Atender las PQRS radicadas en la Entidad.</t>
  </si>
  <si>
    <t xml:space="preserve">5.9.3.1. Atender los trámites procesales contractuales requeridos por la Dirección de la Entidad </t>
  </si>
  <si>
    <t>5.10.1.1. Realizar auditorías energéticas a la CRA para desarrollar un programas de eficiencia energética</t>
  </si>
  <si>
    <t xml:space="preserve">5.10.2.1. Garantizar la funcionalidad de la infraestructura de la Entidad a partir de su mantenimiento preventivo o reposición </t>
  </si>
  <si>
    <t>5.10.2.2. Garantizar el mantenimiento y adecuación  (bienes inmuebles) de la sede principal y otras sedes de la corporación</t>
  </si>
  <si>
    <t>5.10.2.3. Disponer de vehículos para las áreas misionales y administrativas de la entidad.</t>
  </si>
  <si>
    <t xml:space="preserve">VIGENCIA 2023 </t>
  </si>
  <si>
    <t xml:space="preserve">SOBRETASA AMBIENTAL MUNICIPIOS </t>
  </si>
  <si>
    <t xml:space="preserve">TASA USO DE AGUA </t>
  </si>
  <si>
    <t xml:space="preserve">PARTICIPACION EN IMPUESTO PREDIAL DISTRITO </t>
  </si>
  <si>
    <t xml:space="preserve">TRANSFERENCIAS OTRAS ENTIDADES DE GOBIERNO </t>
  </si>
  <si>
    <t xml:space="preserve">TRANSFERENCIAS DE CAPITAL </t>
  </si>
  <si>
    <t>RIUBRO</t>
  </si>
  <si>
    <t xml:space="preserve">DETALLE </t>
  </si>
  <si>
    <t xml:space="preserve">RUBRO </t>
  </si>
  <si>
    <t>DETALLE</t>
  </si>
  <si>
    <t>1.1.</t>
  </si>
  <si>
    <t>A</t>
  </si>
  <si>
    <t>1.1.1.</t>
  </si>
  <si>
    <t xml:space="preserve">SERVICIOS PERSONALES DIRECTOS </t>
  </si>
  <si>
    <t xml:space="preserve">PLANTA PERSONAL PERMANENTE </t>
  </si>
  <si>
    <t>1.1.1.1.</t>
  </si>
  <si>
    <t xml:space="preserve">SUELDOS PERSONAL DE NOMINA </t>
  </si>
  <si>
    <t xml:space="preserve">FACTORES SALARIALES COMUNES </t>
  </si>
  <si>
    <t>1.1.1.1.1</t>
  </si>
  <si>
    <t>Sueldos</t>
  </si>
  <si>
    <t xml:space="preserve">Sueldo básico </t>
  </si>
  <si>
    <t>1.1.1.1.2.</t>
  </si>
  <si>
    <t>Sueldo de vacaciones</t>
  </si>
  <si>
    <t xml:space="preserve">Subsidio de alimentación </t>
  </si>
  <si>
    <t>1.1.1.4.</t>
  </si>
  <si>
    <t>PRIMA TECNICA</t>
  </si>
  <si>
    <t xml:space="preserve">Auxilio de transporte </t>
  </si>
  <si>
    <t>1.1.1.4.2.</t>
  </si>
  <si>
    <t xml:space="preserve">Prima técnica </t>
  </si>
  <si>
    <t xml:space="preserve">Prima de servicios </t>
  </si>
  <si>
    <t>1.1.1.4.47</t>
  </si>
  <si>
    <t xml:space="preserve">Prima de coordinación </t>
  </si>
  <si>
    <t xml:space="preserve">Bonificacion por servicios prestados </t>
  </si>
  <si>
    <t>1.1.1.5.</t>
  </si>
  <si>
    <t xml:space="preserve">OTROS </t>
  </si>
  <si>
    <t>Horas extras dominicales y festivos</t>
  </si>
  <si>
    <t>1.1.1.5.2.</t>
  </si>
  <si>
    <t xml:space="preserve">Bonificación por servicios prestados </t>
  </si>
  <si>
    <t xml:space="preserve">Prima de Navidad </t>
  </si>
  <si>
    <t>1.1.1.5.3.</t>
  </si>
  <si>
    <t xml:space="preserve">Bonificación especial recreación </t>
  </si>
  <si>
    <t xml:space="preserve">Prima de vacaciones </t>
  </si>
  <si>
    <t>1.1.1.5.12</t>
  </si>
  <si>
    <t xml:space="preserve">CONTRIBUCIONES INHERENTES A NOMINA </t>
  </si>
  <si>
    <t>1.1.1.5.13</t>
  </si>
  <si>
    <t xml:space="preserve">Auxilio de trasporte </t>
  </si>
  <si>
    <t xml:space="preserve">Pensiones </t>
  </si>
  <si>
    <t>1.1.1.5.14</t>
  </si>
  <si>
    <t>Prima de servicios</t>
  </si>
  <si>
    <t>Salud</t>
  </si>
  <si>
    <t>1.1.1.5.15</t>
  </si>
  <si>
    <t xml:space="preserve">Aportes de Cesantias </t>
  </si>
  <si>
    <t>1.1.1.5.16</t>
  </si>
  <si>
    <t>Prima de navidad</t>
  </si>
  <si>
    <t>Aportes caja de compensación</t>
  </si>
  <si>
    <t>1.1.1.9.</t>
  </si>
  <si>
    <t>INDEMINIZACIONES POR VACACIONES</t>
  </si>
  <si>
    <t xml:space="preserve">Aportes riesgos laborales </t>
  </si>
  <si>
    <t>1.1.1.9.2.</t>
  </si>
  <si>
    <t xml:space="preserve">Horas extras dias festivos </t>
  </si>
  <si>
    <t xml:space="preserve">Aportes ICBF </t>
  </si>
  <si>
    <t xml:space="preserve">Indemnizaciones por vacaciones </t>
  </si>
  <si>
    <t xml:space="preserve">Aportes SENA </t>
  </si>
  <si>
    <t>1.1.2.</t>
  </si>
  <si>
    <t xml:space="preserve">SERVICIOS PERSONALES INDIRECTOS </t>
  </si>
  <si>
    <t xml:space="preserve">REMUNERACION NO CONST. DE FACTOR SALARIAL </t>
  </si>
  <si>
    <t>1.1.2.12</t>
  </si>
  <si>
    <t xml:space="preserve">Honorarios </t>
  </si>
  <si>
    <t xml:space="preserve">Sueldo de vacaciones </t>
  </si>
  <si>
    <t>1.1.2.14</t>
  </si>
  <si>
    <t xml:space="preserve">Remuneración servicios técnicos </t>
  </si>
  <si>
    <t xml:space="preserve">Indemnización por vacaciones </t>
  </si>
  <si>
    <t>1.1.5.</t>
  </si>
  <si>
    <t xml:space="preserve">Bonificación especial de recreación </t>
  </si>
  <si>
    <t>1.1.5.1.</t>
  </si>
  <si>
    <t xml:space="preserve">SECTOR PRIVADO </t>
  </si>
  <si>
    <t xml:space="preserve">Prima técnica no salarial </t>
  </si>
  <si>
    <t>1.1.5.1.1.</t>
  </si>
  <si>
    <t>Caja de compensación</t>
  </si>
  <si>
    <t>1.1.5.1.3.</t>
  </si>
  <si>
    <t xml:space="preserve">Aportes fondo de pensiones </t>
  </si>
  <si>
    <t xml:space="preserve">ADQUISICION DE BIENES Y SERVICIOS </t>
  </si>
  <si>
    <t>1.1.5.1.4.</t>
  </si>
  <si>
    <t xml:space="preserve">Aportes salud </t>
  </si>
  <si>
    <t xml:space="preserve">ADQUISICION DE ACTIVOS NO FINANCIEROS </t>
  </si>
  <si>
    <t>1.1.5.1.5.</t>
  </si>
  <si>
    <t xml:space="preserve">Aportes ARP </t>
  </si>
  <si>
    <t xml:space="preserve">ACTIVOS FIJOS </t>
  </si>
  <si>
    <t>1.1.5.2.</t>
  </si>
  <si>
    <t xml:space="preserve">SECTOR PUBLICO </t>
  </si>
  <si>
    <t xml:space="preserve">Muebles </t>
  </si>
  <si>
    <t>1.1.5.2.2</t>
  </si>
  <si>
    <t xml:space="preserve">Aportes Fondo Nacional del Ahorro </t>
  </si>
  <si>
    <t xml:space="preserve">ADQUISICIONES DIFERENTES DE ACTIVOS </t>
  </si>
  <si>
    <t>1.1.5.6.</t>
  </si>
  <si>
    <t>Aportes al ICBF</t>
  </si>
  <si>
    <t xml:space="preserve">MATERIALES Y SUMINISTROS </t>
  </si>
  <si>
    <t>1.1.5.7</t>
  </si>
  <si>
    <t xml:space="preserve">Productos alimenticios bebidas y tabaco </t>
  </si>
  <si>
    <t>GASTOS GENERALES</t>
  </si>
  <si>
    <t xml:space="preserve">Otros bienes trasportables </t>
  </si>
  <si>
    <t>1.2.3.</t>
  </si>
  <si>
    <t xml:space="preserve">IMPUESTOS Y MULTAS </t>
  </si>
  <si>
    <t xml:space="preserve">ADQUISICION DE SERVICIOS </t>
  </si>
  <si>
    <t>1.2.3.50</t>
  </si>
  <si>
    <t xml:space="preserve">Impuestos y contribuciones </t>
  </si>
  <si>
    <t xml:space="preserve">Servicio de distribución de electricidad gas y agua </t>
  </si>
  <si>
    <t>1.2.4</t>
  </si>
  <si>
    <t>ADQUISICION BIENES Y SERVICIOS</t>
  </si>
  <si>
    <t xml:space="preserve">Servicios financieros y servicios conexos </t>
  </si>
  <si>
    <t>1.2.4.2</t>
  </si>
  <si>
    <t xml:space="preserve">Enseres y equipos de oficina </t>
  </si>
  <si>
    <t>Servicios prestados a empresas</t>
  </si>
  <si>
    <t xml:space="preserve">1.2.4.7 </t>
  </si>
  <si>
    <t xml:space="preserve">Impresos y publicaciones </t>
  </si>
  <si>
    <t>Viaticos de los funcionarios en comisión</t>
  </si>
  <si>
    <t>1.2.4.8</t>
  </si>
  <si>
    <t xml:space="preserve">Servicios Pùblicos </t>
  </si>
  <si>
    <t xml:space="preserve">TRASFERENCIAS CORRIENTES </t>
  </si>
  <si>
    <t>1.2.4.9</t>
  </si>
  <si>
    <t xml:space="preserve">Seguros </t>
  </si>
  <si>
    <t xml:space="preserve">A ENTIDADES DE GOBIERNO </t>
  </si>
  <si>
    <t>1.2.4.11</t>
  </si>
  <si>
    <t xml:space="preserve">Viaticos y gastos de viaje </t>
  </si>
  <si>
    <t xml:space="preserve">A ORGANOS DEL PGN </t>
  </si>
  <si>
    <t>1.2.4.22</t>
  </si>
  <si>
    <t xml:space="preserve">Gastos financieros </t>
  </si>
  <si>
    <t xml:space="preserve">Fondo de compensación ambiental </t>
  </si>
  <si>
    <t xml:space="preserve">Fondo de sentencias y conciliaciones </t>
  </si>
  <si>
    <t xml:space="preserve">TRANSFERENCIAS CORRIENTES </t>
  </si>
  <si>
    <t>1.3.2.</t>
  </si>
  <si>
    <t xml:space="preserve">TRANSFERENCIAS AL SECTOR PUBLICO </t>
  </si>
  <si>
    <t>Asocars</t>
  </si>
  <si>
    <t>1.3.2.1</t>
  </si>
  <si>
    <t xml:space="preserve">ORDEN NACIONAL </t>
  </si>
  <si>
    <t xml:space="preserve">GASTOS POR TRIBUTOS MULTAS SANCIONES </t>
  </si>
  <si>
    <t>1.3.2.1.1</t>
  </si>
  <si>
    <t xml:space="preserve">Cuota de auditaje Contraloria </t>
  </si>
  <si>
    <t xml:space="preserve">IMPUESTOS TERRITORIALES </t>
  </si>
  <si>
    <t>1.3.6.</t>
  </si>
  <si>
    <t xml:space="preserve">OTRAS TRANFERENCIAS </t>
  </si>
  <si>
    <t xml:space="preserve">Predial </t>
  </si>
  <si>
    <t>1.3.6.1</t>
  </si>
  <si>
    <t xml:space="preserve">Sentencias y conciliaciones </t>
  </si>
  <si>
    <t xml:space="preserve">TASAS Y DERECHOS ADMINISTRATIVOS </t>
  </si>
  <si>
    <t>1.3.6.6</t>
  </si>
  <si>
    <t xml:space="preserve">Trasferencias Asocars </t>
  </si>
  <si>
    <t xml:space="preserve">TASAS Y DERECHOS DE TRANSITO </t>
  </si>
  <si>
    <t>1.3.6.12</t>
  </si>
  <si>
    <t xml:space="preserve">Fondo de compensaciòn ambiental </t>
  </si>
  <si>
    <t xml:space="preserve">Tasas y derechos de tránsito </t>
  </si>
  <si>
    <t xml:space="preserve">CONTRIBUCIONES </t>
  </si>
  <si>
    <t xml:space="preserve">CUOTA DE FISCALIZACION </t>
  </si>
  <si>
    <t xml:space="preserve">Cuota de fiscalizacion </t>
  </si>
  <si>
    <t xml:space="preserve"> FUNCIONAMIENTO </t>
  </si>
  <si>
    <t>TOTAL  FUNCIONAMIENTO</t>
  </si>
  <si>
    <t xml:space="preserve">EL PLATANAL </t>
  </si>
  <si>
    <t xml:space="preserve">FINANCIACION </t>
  </si>
  <si>
    <t xml:space="preserve">PROPIOS </t>
  </si>
  <si>
    <t xml:space="preserve">NACION </t>
  </si>
  <si>
    <t xml:space="preserve">GASTOS OPERATIVOS DE INVERSION </t>
  </si>
  <si>
    <t xml:space="preserve">OTROS GASTOS OPERATIVOS DE INVERSION </t>
  </si>
  <si>
    <t xml:space="preserve">  Otros gastos operativos de inversion </t>
  </si>
  <si>
    <t xml:space="preserve">CONVENIO GOBERNACION </t>
  </si>
  <si>
    <t>TOTAL  GOIS</t>
  </si>
  <si>
    <t xml:space="preserve"> CORRIENTES </t>
  </si>
  <si>
    <t xml:space="preserve"> RECURSOS DE CAPITAL </t>
  </si>
  <si>
    <t xml:space="preserve"> APORTES NACION  </t>
  </si>
  <si>
    <t xml:space="preserve">  FUNCIONAMIENTO </t>
  </si>
  <si>
    <t xml:space="preserve">  INVERSION </t>
  </si>
  <si>
    <t xml:space="preserve">GASTOS </t>
  </si>
  <si>
    <t xml:space="preserve"> SERVICIO DE LA DEUDA </t>
  </si>
  <si>
    <t xml:space="preserve"> INVERSION </t>
  </si>
  <si>
    <t xml:space="preserve">  DISTRIBUIDA EN PAI </t>
  </si>
  <si>
    <t xml:space="preserve">INGRESOS PROPIOS </t>
  </si>
  <si>
    <t xml:space="preserve">  PIGNORACIONES Y DESTINACION ESPECIFICA  </t>
  </si>
  <si>
    <t xml:space="preserve">  DEFICIT FISCAL </t>
  </si>
  <si>
    <t xml:space="preserve">  GASTOS OPERATIVOS DE INVERSION </t>
  </si>
  <si>
    <t xml:space="preserve">GASTOS OPERATIVOS </t>
  </si>
  <si>
    <t>INCREM.</t>
  </si>
  <si>
    <t xml:space="preserve">SERVICIO DE LA DEUDA </t>
  </si>
  <si>
    <t>FUENTE</t>
  </si>
  <si>
    <t xml:space="preserve">  A ORGANIZACIONES NACIONALES </t>
  </si>
  <si>
    <t xml:space="preserve">GASTOS PERSONAL </t>
  </si>
  <si>
    <t xml:space="preserve">DISPONIBLE GOIS </t>
  </si>
  <si>
    <t xml:space="preserve">EJECUCION A OCTUBRE 31 </t>
  </si>
  <si>
    <t>PROYECCION 2024</t>
  </si>
  <si>
    <t xml:space="preserve">PASIVOS EXIGIBLES </t>
  </si>
  <si>
    <t>INVERSION EN  BARRANQUILLA</t>
  </si>
  <si>
    <t>INVERSION EN  SOLEDAD</t>
  </si>
  <si>
    <t>GOIS</t>
  </si>
  <si>
    <t xml:space="preserve">TOTAL INVERSION </t>
  </si>
  <si>
    <t xml:space="preserve">ARROYOS </t>
  </si>
  <si>
    <t xml:space="preserve">PLATANAL </t>
  </si>
  <si>
    <t xml:space="preserve">SERV. DEUDA </t>
  </si>
  <si>
    <t>PASIVOS  EX</t>
  </si>
  <si>
    <t xml:space="preserve">INVERSION BQUILLA </t>
  </si>
  <si>
    <t>INVERSION SOLEDAD</t>
  </si>
  <si>
    <t xml:space="preserve">OTROS MPIOS </t>
  </si>
  <si>
    <t xml:space="preserve">COMPOSICION INVERSION </t>
  </si>
  <si>
    <t xml:space="preserve">PLAN DE INVERSIONES </t>
  </si>
  <si>
    <t xml:space="preserve">PRESUPUESTO DE INGRESOS </t>
  </si>
  <si>
    <t>RENTAS PROPIAS</t>
  </si>
  <si>
    <t xml:space="preserve">APORTES DE LA NACION </t>
  </si>
  <si>
    <t xml:space="preserve">PRESUPUESTO DE GASTOS </t>
  </si>
  <si>
    <t xml:space="preserve">SERVICIOS DE LA DEUDA </t>
  </si>
  <si>
    <t>PROYECCION A DICIEMBRE 2023</t>
  </si>
  <si>
    <t xml:space="preserve">CONCEPTO </t>
  </si>
  <si>
    <t>CONSTITUIDAS 2022</t>
  </si>
  <si>
    <t xml:space="preserve">PAGADAS 2023 </t>
  </si>
  <si>
    <t xml:space="preserve">SALDO </t>
  </si>
  <si>
    <t xml:space="preserve">RESERVAS </t>
  </si>
  <si>
    <t xml:space="preserve">CUENTAS POR PAGAR </t>
  </si>
  <si>
    <t xml:space="preserve">         Vigencia Actual</t>
  </si>
  <si>
    <t xml:space="preserve">         Vigencia Anterior</t>
  </si>
  <si>
    <t xml:space="preserve">         Monomeros </t>
  </si>
  <si>
    <t xml:space="preserve">     Vigencia Actual</t>
  </si>
  <si>
    <t>FUNCIONAMIENTO</t>
  </si>
  <si>
    <t>F.C.A</t>
  </si>
  <si>
    <t>G.O.I</t>
  </si>
  <si>
    <t>PRESUPUESTO DE INGRESOS</t>
  </si>
  <si>
    <t>DIFERENCIAS</t>
  </si>
  <si>
    <t>PRESUPUESTO 2023</t>
  </si>
  <si>
    <t>Diferencias</t>
  </si>
  <si>
    <t>PRESUPUESTO DEFINITIVO 2023</t>
  </si>
  <si>
    <t>% Ejec</t>
  </si>
  <si>
    <t>Variacion %</t>
  </si>
  <si>
    <t>% Partic</t>
  </si>
  <si>
    <t>RESUMEN PRESUPUESTAL</t>
  </si>
  <si>
    <t>PROYECCION 2024 - 2024</t>
  </si>
  <si>
    <t>EJECUCION 31 DE DICIEMBRE 2023</t>
  </si>
  <si>
    <t xml:space="preserve"> TASA COMPENSATORIA POR CAZA DE FAUNA SILVESTRE</t>
  </si>
  <si>
    <t xml:space="preserve">   RECURSOS DEL CREDITO </t>
  </si>
  <si>
    <t xml:space="preserve">     Recursos del credito </t>
  </si>
  <si>
    <t>2025</t>
  </si>
  <si>
    <t>2026</t>
  </si>
  <si>
    <t>2027</t>
  </si>
  <si>
    <t xml:space="preserve">     Otras unidades de gobierno general </t>
  </si>
  <si>
    <t xml:space="preserve">PROYECCIONES </t>
  </si>
  <si>
    <t xml:space="preserve">   Tasa compensatoria por caza de fauna silvestre </t>
  </si>
  <si>
    <t>MARCO FISCAL MEDIANO PLAZO BARRANQUILLA</t>
  </si>
  <si>
    <t>Recorte</t>
  </si>
  <si>
    <t>Pago Pasivos Vigencias Expiradas</t>
  </si>
  <si>
    <t>PRESUPUESTO 2024</t>
  </si>
  <si>
    <t xml:space="preserve">TOTAL PLAN DE ACCION </t>
  </si>
  <si>
    <t>INGRESOS GENERADOS PARA FUNCIONAMIENTO Y FCA</t>
  </si>
  <si>
    <t>FINANCIADO COMO GASTOS OPERATIVOS DE INVERSION</t>
  </si>
  <si>
    <t>TRASFERENCIAS FCA</t>
  </si>
  <si>
    <t>OTROS GOI</t>
  </si>
  <si>
    <t xml:space="preserve">GASTOS INVERSION </t>
  </si>
  <si>
    <t xml:space="preserve">TOTAL GASTOS </t>
  </si>
  <si>
    <t>GASTOS DE PERSONAL  (INVERSION)</t>
  </si>
  <si>
    <t>INGRESOS DE LOS ESTABLECIMIENTOS PUBLICOS</t>
  </si>
  <si>
    <t>ARROYOS BARRANQUILLA (ACUERDO 008 DE 2016)</t>
  </si>
  <si>
    <t>ARROYO EL PLATANAL  (ACUERDO 00015 DEL 2022)</t>
  </si>
  <si>
    <t>PRESUPUESTO 2025</t>
  </si>
  <si>
    <t>PRESUPUESTO 2026</t>
  </si>
  <si>
    <t>PRESUPUESTO 2027</t>
  </si>
  <si>
    <t xml:space="preserve">VIGENCIAS </t>
  </si>
  <si>
    <t xml:space="preserve">PLAN DE ACCION </t>
  </si>
  <si>
    <t xml:space="preserve">PRESUPUESTO ACTUAL </t>
  </si>
  <si>
    <t xml:space="preserve">DIFERENCIA </t>
  </si>
  <si>
    <t xml:space="preserve">SERVICIO DEUDA PLAN </t>
  </si>
  <si>
    <t>SERVICIO DEUDA PRESUP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</si>
</sst>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 * #,##0_ ;_ * \-#,##0_ ;_ * &quot;-&quot;??_ ;_ @_ "/>
    <numFmt numFmtId="165" formatCode="0\10\10\10#"/>
    <numFmt numFmtId="166" formatCode="0\10\10\10\10#"/>
    <numFmt numFmtId="167" formatCode="0000000000#"/>
    <numFmt numFmtId="168" formatCode="_ * #,##0_ ;_ * \-#,##0_ ;_ * &quot;-&quot;_ ;_ @_ "/>
    <numFmt numFmtId="169" formatCode="_-* #,##0_-;\-* #,##0_-;_-* &quot;-&quot;??_-;_-@_-"/>
    <numFmt numFmtId="170" formatCode="0.0%"/>
    <numFmt numFmtId="171" formatCode="_(* #,##0_);_(* \(#,##0\);_(* &quot;-&quot;??_);_(@_)"/>
    <numFmt numFmtId="172" formatCode="#,##0.00_ ;\-#,##0.00\ "/>
    <numFmt numFmtId="173" formatCode="_ * #,##0.00_ ;_ * \-#,##0.00_ ;_ * &quot;-&quot;??_ ;_ @_ "/>
    <numFmt numFmtId="174" formatCode="_(&quot;$&quot;* #,##0.00_);_(&quot;$&quot;* \(#,##0.00\);_(&quot;$&quot;* &quot;-&quot;??_);_(@_)"/>
    <numFmt numFmtId="175" formatCode="0.0"/>
    <numFmt numFmtId="176" formatCode="_(&quot;$&quot;* #,##0.000_);_(&quot;$&quot;* \(#,##0.000\);_(&quot;$&quot;* &quot;-&quot;???_);_(@_)"/>
    <numFmt numFmtId="177" formatCode="_ * #,##0.00_ ;_ * \-#,##0.00_ ;_ * &quot;-&quot;_ ;_ @_ "/>
    <numFmt numFmtId="178" formatCode="_ &quot;$&quot;\ * #,##0_ ;_ &quot;$&quot;\ * \-#,##0_ ;_ &quot;$&quot;\ * &quot;-&quot;??_ ;_ @_ "/>
    <numFmt numFmtId="179" formatCode="0_ ;\-0\ "/>
    <numFmt numFmtId="180" formatCode="#,##0.0"/>
    <numFmt numFmtId="181" formatCode="_-* #,##0.0000_-;\-* #,##0.0000_-;_-* &quot;-&quot;??_-;_-@_-"/>
    <numFmt numFmtId="182" formatCode="_-* #,##0.00000_-;\-* #,##0.00000_-;_-* &quot;-&quot;??_-;_-@_-"/>
    <numFmt numFmtId="183" formatCode="_-* #,##0.000000_-;\-* #,##0.000000_-;_-* &quot;-&quot;??_-;_-@_-"/>
    <numFmt numFmtId="184" formatCode="_-&quot;$&quot;\ * #,##0_-;\-&quot;$&quot;\ * #,##0_-;_-&quot;$&quot;\ * &quot;-&quot;??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2"/>
      <color theme="1"/>
      <name val="Century"/>
      <family val="1"/>
    </font>
    <font>
      <b/>
      <i/>
      <sz val="11"/>
      <color theme="1"/>
      <name val="Century"/>
      <family val="1"/>
    </font>
    <font>
      <sz val="10"/>
      <color theme="1"/>
      <name val="Arial"/>
      <family val="2"/>
    </font>
    <font>
      <sz val="8"/>
      <color theme="1"/>
      <name val="Century"/>
      <family val="1"/>
    </font>
    <font>
      <sz val="10"/>
      <color theme="1"/>
      <name val="Century"/>
      <family val="1"/>
    </font>
    <font>
      <sz val="10"/>
      <color rgb="FF000000"/>
      <name val="Century"/>
      <family val="1"/>
    </font>
    <font>
      <sz val="12"/>
      <color theme="1"/>
      <name val="Calibri"/>
      <family val="2"/>
      <scheme val="minor"/>
    </font>
    <font>
      <b/>
      <sz val="12"/>
      <color theme="1"/>
      <name val="Century"/>
      <family val="1"/>
    </font>
    <font>
      <sz val="10"/>
      <color rgb="FF000000"/>
      <name val="Calibri"/>
      <family val="2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Arial"/>
      <family val="2"/>
    </font>
    <font>
      <sz val="8"/>
      <color theme="0"/>
      <name val="Arial"/>
      <family val="2"/>
    </font>
    <font>
      <b/>
      <sz val="11"/>
      <color theme="0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9"/>
      <color rgb="FF000000"/>
      <name val="Calibri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610">
    <xf numFmtId="0" fontId="0" fillId="0" borderId="0" xfId="0"/>
    <xf numFmtId="0" fontId="2" fillId="2" borderId="1" xfId="0" applyFont="1" applyFill="1" applyBorder="1" applyAlignment="1">
      <alignment horizontal="center"/>
    </xf>
    <xf numFmtId="164" fontId="3" fillId="2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2" fillId="3" borderId="1" xfId="1" applyNumberFormat="1" applyFont="1" applyFill="1" applyBorder="1"/>
    <xf numFmtId="164" fontId="2" fillId="0" borderId="1" xfId="1" applyNumberFormat="1" applyFont="1" applyFill="1" applyBorder="1" applyAlignment="1">
      <alignment vertical="center"/>
    </xf>
    <xf numFmtId="3" fontId="2" fillId="0" borderId="2" xfId="2" applyNumberFormat="1" applyFont="1" applyFill="1" applyBorder="1" applyAlignment="1">
      <alignment vertical="center"/>
    </xf>
    <xf numFmtId="3" fontId="2" fillId="0" borderId="1" xfId="2" applyNumberFormat="1" applyFont="1" applyFill="1" applyBorder="1" applyAlignment="1">
      <alignment vertical="center"/>
    </xf>
    <xf numFmtId="0" fontId="2" fillId="0" borderId="0" xfId="0" applyFont="1"/>
    <xf numFmtId="164" fontId="2" fillId="2" borderId="1" xfId="1" applyNumberFormat="1" applyFont="1" applyFill="1" applyBorder="1"/>
    <xf numFmtId="3" fontId="2" fillId="2" borderId="2" xfId="2" applyNumberFormat="1" applyFont="1" applyFill="1" applyBorder="1"/>
    <xf numFmtId="3" fontId="2" fillId="2" borderId="1" xfId="2" applyNumberFormat="1" applyFont="1" applyFill="1" applyBorder="1"/>
    <xf numFmtId="0" fontId="2" fillId="2" borderId="0" xfId="0" applyFont="1" applyFill="1"/>
    <xf numFmtId="164" fontId="2" fillId="4" borderId="1" xfId="1" applyNumberFormat="1" applyFont="1" applyFill="1" applyBorder="1"/>
    <xf numFmtId="164" fontId="2" fillId="0" borderId="1" xfId="1" applyNumberFormat="1" applyFont="1" applyFill="1" applyBorder="1"/>
    <xf numFmtId="3" fontId="2" fillId="0" borderId="2" xfId="2" applyNumberFormat="1" applyFont="1" applyFill="1" applyBorder="1"/>
    <xf numFmtId="3" fontId="2" fillId="0" borderId="1" xfId="2" applyNumberFormat="1" applyFont="1" applyFill="1" applyBorder="1"/>
    <xf numFmtId="165" fontId="2" fillId="2" borderId="1" xfId="0" applyNumberFormat="1" applyFont="1" applyFill="1" applyBorder="1"/>
    <xf numFmtId="166" fontId="2" fillId="5" borderId="1" xfId="0" applyNumberFormat="1" applyFont="1" applyFill="1" applyBorder="1"/>
    <xf numFmtId="166" fontId="2" fillId="2" borderId="1" xfId="0" applyNumberFormat="1" applyFont="1" applyFill="1" applyBorder="1"/>
    <xf numFmtId="3" fontId="2" fillId="2" borderId="1" xfId="0" applyNumberFormat="1" applyFont="1" applyFill="1" applyBorder="1"/>
    <xf numFmtId="165" fontId="2" fillId="0" borderId="1" xfId="0" applyNumberFormat="1" applyFont="1" applyBorder="1"/>
    <xf numFmtId="164" fontId="2" fillId="6" borderId="1" xfId="1" applyNumberFormat="1" applyFont="1" applyFill="1" applyBorder="1"/>
    <xf numFmtId="3" fontId="2" fillId="0" borderId="1" xfId="0" applyNumberFormat="1" applyFont="1" applyBorder="1"/>
    <xf numFmtId="166" fontId="2" fillId="0" borderId="1" xfId="0" applyNumberFormat="1" applyFont="1" applyBorder="1"/>
    <xf numFmtId="164" fontId="2" fillId="7" borderId="1" xfId="1" applyNumberFormat="1" applyFont="1" applyFill="1" applyBorder="1"/>
    <xf numFmtId="167" fontId="2" fillId="0" borderId="1" xfId="0" applyNumberFormat="1" applyFont="1" applyBorder="1"/>
    <xf numFmtId="167" fontId="2" fillId="2" borderId="1" xfId="0" applyNumberFormat="1" applyFont="1" applyFill="1" applyBorder="1"/>
    <xf numFmtId="3" fontId="2" fillId="2" borderId="1" xfId="1" applyNumberFormat="1" applyFont="1" applyFill="1" applyBorder="1"/>
    <xf numFmtId="3" fontId="2" fillId="0" borderId="0" xfId="2" applyNumberFormat="1" applyFont="1" applyFill="1"/>
    <xf numFmtId="0" fontId="2" fillId="8" borderId="1" xfId="0" applyFont="1" applyFill="1" applyBorder="1"/>
    <xf numFmtId="164" fontId="3" fillId="8" borderId="1" xfId="1" applyNumberFormat="1" applyFont="1" applyFill="1" applyBorder="1" applyAlignment="1">
      <alignment horizontal="right"/>
    </xf>
    <xf numFmtId="3" fontId="3" fillId="8" borderId="2" xfId="2" applyNumberFormat="1" applyFont="1" applyFill="1" applyBorder="1"/>
    <xf numFmtId="3" fontId="3" fillId="8" borderId="1" xfId="2" applyNumberFormat="1" applyFont="1" applyFill="1" applyBorder="1"/>
    <xf numFmtId="0" fontId="2" fillId="8" borderId="0" xfId="0" applyFont="1" applyFill="1"/>
    <xf numFmtId="0" fontId="2" fillId="9" borderId="0" xfId="0" applyFont="1" applyFill="1"/>
    <xf numFmtId="164" fontId="2" fillId="9" borderId="1" xfId="1" applyNumberFormat="1" applyFont="1" applyFill="1" applyBorder="1"/>
    <xf numFmtId="168" fontId="2" fillId="9" borderId="1" xfId="0" applyNumberFormat="1" applyFont="1" applyFill="1" applyBorder="1"/>
    <xf numFmtId="164" fontId="2" fillId="0" borderId="1" xfId="1" applyNumberFormat="1" applyFont="1" applyBorder="1"/>
    <xf numFmtId="168" fontId="2" fillId="0" borderId="1" xfId="0" applyNumberFormat="1" applyFont="1" applyBorder="1"/>
    <xf numFmtId="3" fontId="2" fillId="9" borderId="1" xfId="0" applyNumberFormat="1" applyFont="1" applyFill="1" applyBorder="1"/>
    <xf numFmtId="0" fontId="2" fillId="10" borderId="0" xfId="0" applyFont="1" applyFill="1"/>
    <xf numFmtId="164" fontId="2" fillId="10" borderId="1" xfId="1" applyNumberFormat="1" applyFont="1" applyFill="1" applyBorder="1"/>
    <xf numFmtId="169" fontId="2" fillId="10" borderId="1" xfId="1" applyNumberFormat="1" applyFont="1" applyFill="1" applyBorder="1"/>
    <xf numFmtId="0" fontId="2" fillId="11" borderId="0" xfId="0" applyFont="1" applyFill="1"/>
    <xf numFmtId="164" fontId="2" fillId="11" borderId="1" xfId="1" applyNumberFormat="1" applyFont="1" applyFill="1" applyBorder="1"/>
    <xf numFmtId="169" fontId="2" fillId="11" borderId="1" xfId="1" applyNumberFormat="1" applyFont="1" applyFill="1" applyBorder="1"/>
    <xf numFmtId="164" fontId="3" fillId="0" borderId="1" xfId="1" applyNumberFormat="1" applyFont="1" applyBorder="1" applyAlignment="1">
      <alignment horizontal="right"/>
    </xf>
    <xf numFmtId="169" fontId="2" fillId="0" borderId="1" xfId="0" applyNumberFormat="1" applyFont="1" applyBorder="1"/>
    <xf numFmtId="164" fontId="2" fillId="12" borderId="1" xfId="1" applyNumberFormat="1" applyFont="1" applyFill="1" applyBorder="1"/>
    <xf numFmtId="170" fontId="2" fillId="12" borderId="1" xfId="3" applyNumberFormat="1" applyFont="1" applyFill="1" applyBorder="1"/>
    <xf numFmtId="0" fontId="2" fillId="12" borderId="0" xfId="0" applyFont="1" applyFill="1"/>
    <xf numFmtId="170" fontId="2" fillId="3" borderId="1" xfId="3" applyNumberFormat="1" applyFont="1" applyFill="1" applyBorder="1"/>
    <xf numFmtId="0" fontId="2" fillId="3" borderId="0" xfId="0" applyFont="1" applyFill="1"/>
    <xf numFmtId="164" fontId="2" fillId="0" borderId="0" xfId="1" applyNumberFormat="1" applyFont="1"/>
    <xf numFmtId="164" fontId="2" fillId="13" borderId="1" xfId="1" applyNumberFormat="1" applyFont="1" applyFill="1" applyBorder="1"/>
    <xf numFmtId="3" fontId="2" fillId="13" borderId="1" xfId="0" applyNumberFormat="1" applyFont="1" applyFill="1" applyBorder="1"/>
    <xf numFmtId="169" fontId="2" fillId="9" borderId="1" xfId="0" applyNumberFormat="1" applyFont="1" applyFill="1" applyBorder="1"/>
    <xf numFmtId="9" fontId="2" fillId="0" borderId="1" xfId="3" applyFont="1" applyBorder="1"/>
    <xf numFmtId="164" fontId="4" fillId="3" borderId="1" xfId="1" applyNumberFormat="1" applyFont="1" applyFill="1" applyBorder="1"/>
    <xf numFmtId="164" fontId="4" fillId="0" borderId="1" xfId="1" applyNumberFormat="1" applyFont="1" applyFill="1" applyBorder="1" applyAlignment="1">
      <alignment vertical="center"/>
    </xf>
    <xf numFmtId="0" fontId="4" fillId="0" borderId="0" xfId="0" applyFont="1"/>
    <xf numFmtId="164" fontId="4" fillId="2" borderId="1" xfId="1" applyNumberFormat="1" applyFont="1" applyFill="1" applyBorder="1"/>
    <xf numFmtId="0" fontId="4" fillId="2" borderId="0" xfId="0" applyFont="1" applyFill="1"/>
    <xf numFmtId="164" fontId="4" fillId="4" borderId="1" xfId="1" applyNumberFormat="1" applyFont="1" applyFill="1" applyBorder="1"/>
    <xf numFmtId="164" fontId="4" fillId="0" borderId="1" xfId="1" applyNumberFormat="1" applyFont="1" applyFill="1" applyBorder="1"/>
    <xf numFmtId="165" fontId="4" fillId="2" borderId="1" xfId="0" applyNumberFormat="1" applyFont="1" applyFill="1" applyBorder="1"/>
    <xf numFmtId="166" fontId="4" fillId="5" borderId="1" xfId="0" applyNumberFormat="1" applyFont="1" applyFill="1" applyBorder="1"/>
    <xf numFmtId="166" fontId="4" fillId="2" borderId="1" xfId="0" applyNumberFormat="1" applyFont="1" applyFill="1" applyBorder="1"/>
    <xf numFmtId="165" fontId="4" fillId="0" borderId="1" xfId="0" applyNumberFormat="1" applyFont="1" applyBorder="1"/>
    <xf numFmtId="164" fontId="4" fillId="6" borderId="1" xfId="1" applyNumberFormat="1" applyFont="1" applyFill="1" applyBorder="1"/>
    <xf numFmtId="166" fontId="4" fillId="0" borderId="1" xfId="0" applyNumberFormat="1" applyFont="1" applyBorder="1"/>
    <xf numFmtId="164" fontId="4" fillId="7" borderId="1" xfId="1" applyNumberFormat="1" applyFont="1" applyFill="1" applyBorder="1"/>
    <xf numFmtId="167" fontId="4" fillId="2" borderId="1" xfId="0" applyNumberFormat="1" applyFont="1" applyFill="1" applyBorder="1"/>
    <xf numFmtId="167" fontId="4" fillId="0" borderId="1" xfId="0" applyNumberFormat="1" applyFont="1" applyBorder="1"/>
    <xf numFmtId="0" fontId="4" fillId="8" borderId="1" xfId="0" applyFont="1" applyFill="1" applyBorder="1"/>
    <xf numFmtId="164" fontId="5" fillId="8" borderId="1" xfId="1" applyNumberFormat="1" applyFont="1" applyFill="1" applyBorder="1" applyAlignment="1">
      <alignment horizontal="right"/>
    </xf>
    <xf numFmtId="0" fontId="4" fillId="8" borderId="0" xfId="0" applyFont="1" applyFill="1"/>
    <xf numFmtId="164" fontId="4" fillId="0" borderId="0" xfId="1" applyNumberFormat="1" applyFont="1"/>
    <xf numFmtId="169" fontId="4" fillId="2" borderId="1" xfId="1" applyNumberFormat="1" applyFont="1" applyFill="1" applyBorder="1"/>
    <xf numFmtId="169" fontId="4" fillId="0" borderId="1" xfId="1" applyNumberFormat="1" applyFont="1" applyBorder="1"/>
    <xf numFmtId="167" fontId="4" fillId="6" borderId="1" xfId="0" applyNumberFormat="1" applyFont="1" applyFill="1" applyBorder="1"/>
    <xf numFmtId="0" fontId="4" fillId="6" borderId="0" xfId="0" applyFont="1" applyFill="1"/>
    <xf numFmtId="3" fontId="4" fillId="2" borderId="2" xfId="2" applyNumberFormat="1" applyFont="1" applyFill="1" applyBorder="1" applyAlignment="1">
      <alignment horizontal="right"/>
    </xf>
    <xf numFmtId="3" fontId="4" fillId="0" borderId="2" xfId="2" applyNumberFormat="1" applyFont="1" applyFill="1" applyBorder="1" applyAlignment="1">
      <alignment horizontal="right"/>
    </xf>
    <xf numFmtId="3" fontId="4" fillId="0" borderId="2" xfId="2" applyNumberFormat="1" applyFont="1" applyFill="1" applyBorder="1" applyAlignment="1">
      <alignment horizontal="right" vertical="center"/>
    </xf>
    <xf numFmtId="169" fontId="4" fillId="0" borderId="2" xfId="0" applyNumberFormat="1" applyFont="1" applyBorder="1" applyAlignment="1">
      <alignment horizontal="right"/>
    </xf>
    <xf numFmtId="3" fontId="5" fillId="8" borderId="2" xfId="2" applyNumberFormat="1" applyFont="1" applyFill="1" applyBorder="1" applyAlignment="1">
      <alignment horizontal="right"/>
    </xf>
    <xf numFmtId="170" fontId="4" fillId="9" borderId="1" xfId="3" applyNumberFormat="1" applyFont="1" applyFill="1" applyBorder="1"/>
    <xf numFmtId="170" fontId="4" fillId="15" borderId="1" xfId="3" applyNumberFormat="1" applyFont="1" applyFill="1" applyBorder="1"/>
    <xf numFmtId="3" fontId="4" fillId="0" borderId="0" xfId="0" applyNumberFormat="1" applyFont="1"/>
    <xf numFmtId="169" fontId="4" fillId="6" borderId="1" xfId="1" applyNumberFormat="1" applyFont="1" applyFill="1" applyBorder="1"/>
    <xf numFmtId="0" fontId="7" fillId="2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 wrapText="1"/>
    </xf>
    <xf numFmtId="170" fontId="4" fillId="4" borderId="1" xfId="3" applyNumberFormat="1" applyFont="1" applyFill="1" applyBorder="1"/>
    <xf numFmtId="0" fontId="4" fillId="4" borderId="1" xfId="0" applyFont="1" applyFill="1" applyBorder="1"/>
    <xf numFmtId="0" fontId="7" fillId="4" borderId="1" xfId="0" applyFont="1" applyFill="1" applyBorder="1" applyAlignment="1">
      <alignment horizontal="center" vertical="center"/>
    </xf>
    <xf numFmtId="0" fontId="6" fillId="0" borderId="0" xfId="0" applyFont="1"/>
    <xf numFmtId="0" fontId="7" fillId="16" borderId="12" xfId="0" applyFont="1" applyFill="1" applyBorder="1" applyAlignment="1">
      <alignment horizontal="center" vertical="center" wrapText="1"/>
    </xf>
    <xf numFmtId="0" fontId="7" fillId="16" borderId="13" xfId="0" applyFont="1" applyFill="1" applyBorder="1" applyAlignment="1">
      <alignment horizontal="center" vertical="center" wrapText="1"/>
    </xf>
    <xf numFmtId="43" fontId="7" fillId="16" borderId="13" xfId="0" applyNumberFormat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left"/>
    </xf>
    <xf numFmtId="42" fontId="6" fillId="0" borderId="15" xfId="1" applyNumberFormat="1" applyFont="1" applyFill="1" applyBorder="1"/>
    <xf numFmtId="0" fontId="6" fillId="0" borderId="16" xfId="0" applyFont="1" applyBorder="1" applyAlignment="1">
      <alignment horizontal="left"/>
    </xf>
    <xf numFmtId="42" fontId="6" fillId="0" borderId="17" xfId="1" applyNumberFormat="1" applyFont="1" applyFill="1" applyBorder="1"/>
    <xf numFmtId="42" fontId="6" fillId="0" borderId="18" xfId="1" applyNumberFormat="1" applyFont="1" applyFill="1" applyBorder="1"/>
    <xf numFmtId="171" fontId="6" fillId="0" borderId="0" xfId="0" applyNumberFormat="1" applyFont="1"/>
    <xf numFmtId="42" fontId="6" fillId="0" borderId="18" xfId="0" applyNumberFormat="1" applyFont="1" applyBorder="1"/>
    <xf numFmtId="43" fontId="6" fillId="0" borderId="0" xfId="1" applyFont="1"/>
    <xf numFmtId="42" fontId="6" fillId="0" borderId="19" xfId="1" applyNumberFormat="1" applyFont="1" applyFill="1" applyBorder="1"/>
    <xf numFmtId="0" fontId="6" fillId="16" borderId="20" xfId="0" applyFont="1" applyFill="1" applyBorder="1"/>
    <xf numFmtId="42" fontId="7" fillId="16" borderId="21" xfId="1" applyNumberFormat="1" applyFont="1" applyFill="1" applyBorder="1"/>
    <xf numFmtId="171" fontId="6" fillId="0" borderId="0" xfId="1" applyNumberFormat="1" applyFont="1" applyFill="1" applyBorder="1"/>
    <xf numFmtId="43" fontId="6" fillId="0" borderId="0" xfId="1" applyFont="1" applyFill="1" applyBorder="1"/>
    <xf numFmtId="41" fontId="6" fillId="0" borderId="0" xfId="4" applyFont="1" applyFill="1" applyBorder="1"/>
    <xf numFmtId="0" fontId="6" fillId="0" borderId="0" xfId="0" applyFont="1" applyAlignment="1">
      <alignment horizontal="center" vertical="center" wrapText="1"/>
    </xf>
    <xf numFmtId="171" fontId="6" fillId="0" borderId="0" xfId="0" applyNumberFormat="1" applyFont="1" applyAlignment="1">
      <alignment vertical="center"/>
    </xf>
    <xf numFmtId="171" fontId="6" fillId="0" borderId="0" xfId="1" applyNumberFormat="1" applyFont="1" applyFill="1"/>
    <xf numFmtId="41" fontId="6" fillId="0" borderId="0" xfId="4" applyFont="1" applyFill="1"/>
    <xf numFmtId="171" fontId="6" fillId="0" borderId="0" xfId="0" applyNumberFormat="1" applyFont="1" applyAlignment="1">
      <alignment horizontal="center"/>
    </xf>
    <xf numFmtId="42" fontId="6" fillId="0" borderId="22" xfId="1" applyNumberFormat="1" applyFont="1" applyFill="1" applyBorder="1"/>
    <xf numFmtId="0" fontId="7" fillId="16" borderId="0" xfId="0" applyFont="1" applyFill="1" applyAlignment="1">
      <alignment horizontal="center" vertical="center"/>
    </xf>
    <xf numFmtId="42" fontId="6" fillId="0" borderId="0" xfId="1" applyNumberFormat="1" applyFont="1" applyFill="1" applyBorder="1"/>
    <xf numFmtId="42" fontId="6" fillId="0" borderId="0" xfId="0" applyNumberFormat="1" applyFont="1"/>
    <xf numFmtId="171" fontId="6" fillId="0" borderId="0" xfId="1" applyNumberFormat="1" applyFont="1" applyFill="1" applyBorder="1" applyAlignment="1">
      <alignment horizontal="center"/>
    </xf>
    <xf numFmtId="172" fontId="6" fillId="0" borderId="0" xfId="1" applyNumberFormat="1" applyFont="1" applyFill="1" applyBorder="1"/>
    <xf numFmtId="0" fontId="8" fillId="0" borderId="23" xfId="0" applyFont="1" applyBorder="1" applyAlignment="1">
      <alignment horizontal="center" vertical="center" wrapText="1"/>
    </xf>
    <xf numFmtId="0" fontId="9" fillId="17" borderId="1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8" fillId="17" borderId="23" xfId="0" applyFont="1" applyFill="1" applyBorder="1" applyAlignment="1">
      <alignment horizontal="center" vertical="center"/>
    </xf>
    <xf numFmtId="164" fontId="0" fillId="0" borderId="1" xfId="1" applyNumberFormat="1" applyFont="1" applyBorder="1"/>
    <xf numFmtId="0" fontId="11" fillId="0" borderId="25" xfId="0" applyFont="1" applyBorder="1" applyAlignment="1">
      <alignment horizontal="justify" vertical="center" wrapText="1"/>
    </xf>
    <xf numFmtId="174" fontId="12" fillId="0" borderId="26" xfId="0" applyNumberFormat="1" applyFont="1" applyBorder="1" applyAlignment="1">
      <alignment vertical="center"/>
    </xf>
    <xf numFmtId="0" fontId="0" fillId="0" borderId="1" xfId="0" applyBorder="1"/>
    <xf numFmtId="0" fontId="11" fillId="0" borderId="27" xfId="0" applyFont="1" applyBorder="1" applyAlignment="1">
      <alignment horizontal="justify" vertical="center" wrapText="1"/>
    </xf>
    <xf numFmtId="174" fontId="12" fillId="0" borderId="2" xfId="0" applyNumberFormat="1" applyFont="1" applyBorder="1" applyAlignment="1">
      <alignment vertical="center"/>
    </xf>
    <xf numFmtId="175" fontId="0" fillId="0" borderId="1" xfId="0" applyNumberFormat="1" applyBorder="1"/>
    <xf numFmtId="0" fontId="11" fillId="0" borderId="15" xfId="0" applyFont="1" applyBorder="1" applyAlignment="1">
      <alignment horizontal="justify" vertical="center" wrapText="1"/>
    </xf>
    <xf numFmtId="174" fontId="12" fillId="0" borderId="28" xfId="0" applyNumberFormat="1" applyFont="1" applyBorder="1" applyAlignment="1">
      <alignment vertical="center"/>
    </xf>
    <xf numFmtId="174" fontId="0" fillId="0" borderId="1" xfId="0" applyNumberFormat="1" applyBorder="1"/>
    <xf numFmtId="174" fontId="12" fillId="0" borderId="2" xfId="1" applyNumberFormat="1" applyFont="1" applyFill="1" applyBorder="1" applyAlignment="1">
      <alignment horizontal="center" vertical="center" wrapText="1"/>
    </xf>
    <xf numFmtId="174" fontId="12" fillId="0" borderId="2" xfId="1" applyNumberFormat="1" applyFont="1" applyFill="1" applyBorder="1" applyAlignment="1">
      <alignment horizontal="center" vertical="center"/>
    </xf>
    <xf numFmtId="174" fontId="12" fillId="0" borderId="29" xfId="0" applyNumberFormat="1" applyFont="1" applyBorder="1" applyAlignment="1">
      <alignment vertical="center"/>
    </xf>
    <xf numFmtId="0" fontId="11" fillId="0" borderId="27" xfId="0" applyFont="1" applyBorder="1" applyAlignment="1">
      <alignment horizontal="justify" wrapText="1"/>
    </xf>
    <xf numFmtId="174" fontId="12" fillId="0" borderId="30" xfId="0" applyNumberFormat="1" applyFont="1" applyBorder="1" applyAlignment="1">
      <alignment vertical="center"/>
    </xf>
    <xf numFmtId="174" fontId="12" fillId="0" borderId="31" xfId="0" applyNumberFormat="1" applyFont="1" applyBorder="1" applyAlignment="1">
      <alignment vertical="center"/>
    </xf>
    <xf numFmtId="0" fontId="11" fillId="0" borderId="32" xfId="0" applyFont="1" applyBorder="1" applyAlignment="1">
      <alignment horizontal="justify" vertical="center" wrapText="1"/>
    </xf>
    <xf numFmtId="174" fontId="12" fillId="0" borderId="33" xfId="0" applyNumberFormat="1" applyFont="1" applyBorder="1" applyAlignment="1">
      <alignment vertical="center"/>
    </xf>
    <xf numFmtId="0" fontId="14" fillId="0" borderId="13" xfId="0" applyFont="1" applyBorder="1" applyAlignment="1">
      <alignment horizontal="center"/>
    </xf>
    <xf numFmtId="176" fontId="15" fillId="17" borderId="34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64" fontId="0" fillId="0" borderId="2" xfId="1" applyNumberFormat="1" applyFont="1" applyBorder="1"/>
    <xf numFmtId="0" fontId="0" fillId="0" borderId="2" xfId="0" applyBorder="1"/>
    <xf numFmtId="169" fontId="0" fillId="0" borderId="1" xfId="1" applyNumberFormat="1" applyFont="1" applyBorder="1"/>
    <xf numFmtId="0" fontId="0" fillId="0" borderId="3" xfId="0" applyBorder="1"/>
    <xf numFmtId="176" fontId="15" fillId="17" borderId="20" xfId="0" applyNumberFormat="1" applyFont="1" applyFill="1" applyBorder="1" applyAlignment="1">
      <alignment horizontal="center" vertical="center"/>
    </xf>
    <xf numFmtId="0" fontId="0" fillId="0" borderId="21" xfId="0" applyBorder="1"/>
    <xf numFmtId="0" fontId="0" fillId="0" borderId="35" xfId="0" applyBorder="1"/>
    <xf numFmtId="164" fontId="0" fillId="0" borderId="0" xfId="0" applyNumberFormat="1"/>
    <xf numFmtId="0" fontId="4" fillId="0" borderId="1" xfId="0" applyFont="1" applyBorder="1" applyAlignment="1">
      <alignment horizontal="left" vertical="center"/>
    </xf>
    <xf numFmtId="164" fontId="4" fillId="0" borderId="1" xfId="1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right" vertical="center"/>
    </xf>
    <xf numFmtId="164" fontId="4" fillId="0" borderId="1" xfId="1" applyNumberFormat="1" applyFont="1" applyFill="1" applyBorder="1" applyAlignment="1">
      <alignment horizontal="left" vertical="center"/>
    </xf>
    <xf numFmtId="3" fontId="4" fillId="0" borderId="1" xfId="2" applyNumberFormat="1" applyFont="1" applyFill="1" applyBorder="1" applyAlignment="1">
      <alignment horizontal="right" vertical="center"/>
    </xf>
    <xf numFmtId="164" fontId="4" fillId="16" borderId="1" xfId="1" applyNumberFormat="1" applyFont="1" applyFill="1" applyBorder="1" applyAlignment="1">
      <alignment horizontal="left" vertical="center"/>
    </xf>
    <xf numFmtId="3" fontId="4" fillId="16" borderId="1" xfId="2" applyNumberFormat="1" applyFont="1" applyFill="1" applyBorder="1" applyAlignment="1">
      <alignment horizontal="right" vertical="center"/>
    </xf>
    <xf numFmtId="179" fontId="4" fillId="0" borderId="1" xfId="1" applyNumberFormat="1" applyFont="1" applyFill="1" applyBorder="1" applyAlignment="1">
      <alignment horizontal="right" vertical="center"/>
    </xf>
    <xf numFmtId="178" fontId="4" fillId="0" borderId="1" xfId="2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16" fillId="0" borderId="0" xfId="0" applyFont="1" applyAlignment="1">
      <alignment horizontal="right"/>
    </xf>
    <xf numFmtId="164" fontId="4" fillId="16" borderId="1" xfId="1" applyNumberFormat="1" applyFont="1" applyFill="1" applyBorder="1" applyAlignment="1">
      <alignment horizontal="left"/>
    </xf>
    <xf numFmtId="164" fontId="4" fillId="0" borderId="1" xfId="1" applyNumberFormat="1" applyFont="1" applyFill="1" applyBorder="1" applyAlignment="1">
      <alignment horizontal="left"/>
    </xf>
    <xf numFmtId="164" fontId="4" fillId="16" borderId="1" xfId="1" applyNumberFormat="1" applyFont="1" applyFill="1" applyBorder="1" applyAlignment="1">
      <alignment horizontal="left" vertical="center" wrapText="1"/>
    </xf>
    <xf numFmtId="164" fontId="4" fillId="0" borderId="1" xfId="1" applyNumberFormat="1" applyFont="1" applyFill="1" applyBorder="1" applyAlignment="1">
      <alignment horizontal="left" vertical="center" wrapText="1"/>
    </xf>
    <xf numFmtId="164" fontId="4" fillId="0" borderId="1" xfId="0" applyNumberFormat="1" applyFont="1" applyBorder="1"/>
    <xf numFmtId="164" fontId="4" fillId="0" borderId="1" xfId="0" applyNumberFormat="1" applyFont="1" applyBorder="1" applyAlignment="1">
      <alignment horizontal="right"/>
    </xf>
    <xf numFmtId="177" fontId="5" fillId="0" borderId="1" xfId="4" applyNumberFormat="1" applyFont="1" applyFill="1" applyBorder="1" applyAlignment="1">
      <alignment horizontal="right"/>
    </xf>
    <xf numFmtId="3" fontId="5" fillId="0" borderId="1" xfId="2" applyNumberFormat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41" fontId="4" fillId="0" borderId="0" xfId="4" applyFont="1" applyFill="1"/>
    <xf numFmtId="41" fontId="4" fillId="0" borderId="0" xfId="4" applyFont="1" applyFill="1" applyAlignment="1">
      <alignment horizontal="right"/>
    </xf>
    <xf numFmtId="170" fontId="4" fillId="0" borderId="0" xfId="0" applyNumberFormat="1" applyFont="1"/>
    <xf numFmtId="180" fontId="4" fillId="0" borderId="0" xfId="0" applyNumberFormat="1" applyFont="1"/>
    <xf numFmtId="180" fontId="4" fillId="0" borderId="0" xfId="0" applyNumberFormat="1" applyFont="1" applyAlignment="1">
      <alignment horizontal="right"/>
    </xf>
    <xf numFmtId="10" fontId="4" fillId="0" borderId="0" xfId="0" applyNumberFormat="1" applyFont="1"/>
    <xf numFmtId="10" fontId="4" fillId="0" borderId="0" xfId="0" applyNumberFormat="1" applyFont="1" applyAlignment="1">
      <alignment horizontal="right"/>
    </xf>
    <xf numFmtId="164" fontId="4" fillId="0" borderId="0" xfId="0" applyNumberFormat="1" applyFont="1"/>
    <xf numFmtId="170" fontId="4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4" fontId="4" fillId="0" borderId="0" xfId="0" applyNumberFormat="1" applyFont="1"/>
    <xf numFmtId="173" fontId="4" fillId="0" borderId="0" xfId="0" applyNumberFormat="1" applyFont="1"/>
    <xf numFmtId="43" fontId="4" fillId="0" borderId="0" xfId="1" applyFont="1"/>
    <xf numFmtId="3" fontId="4" fillId="16" borderId="1" xfId="0" applyNumberFormat="1" applyFont="1" applyFill="1" applyBorder="1"/>
    <xf numFmtId="3" fontId="4" fillId="0" borderId="1" xfId="0" applyNumberFormat="1" applyFont="1" applyBorder="1"/>
    <xf numFmtId="0" fontId="4" fillId="16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16" borderId="4" xfId="0" applyFont="1" applyFill="1" applyBorder="1" applyAlignment="1">
      <alignment horizontal="left" vertical="center" wrapText="1"/>
    </xf>
    <xf numFmtId="169" fontId="0" fillId="0" borderId="0" xfId="0" applyNumberFormat="1"/>
    <xf numFmtId="3" fontId="6" fillId="0" borderId="0" xfId="0" applyNumberFormat="1" applyFont="1"/>
    <xf numFmtId="0" fontId="0" fillId="16" borderId="1" xfId="0" applyFill="1" applyBorder="1"/>
    <xf numFmtId="169" fontId="0" fillId="2" borderId="1" xfId="1" applyNumberFormat="1" applyFont="1" applyFill="1" applyBorder="1" applyAlignment="1">
      <alignment horizontal="center"/>
    </xf>
    <xf numFmtId="169" fontId="0" fillId="13" borderId="1" xfId="1" applyNumberFormat="1" applyFont="1" applyFill="1" applyBorder="1" applyAlignment="1">
      <alignment horizontal="center"/>
    </xf>
    <xf numFmtId="169" fontId="0" fillId="2" borderId="1" xfId="1" applyNumberFormat="1" applyFont="1" applyFill="1" applyBorder="1"/>
    <xf numFmtId="169" fontId="0" fillId="13" borderId="1" xfId="1" applyNumberFormat="1" applyFont="1" applyFill="1" applyBorder="1"/>
    <xf numFmtId="170" fontId="0" fillId="8" borderId="1" xfId="3" applyNumberFormat="1" applyFont="1" applyFill="1" applyBorder="1"/>
    <xf numFmtId="9" fontId="0" fillId="8" borderId="1" xfId="3" applyFont="1" applyFill="1" applyBorder="1"/>
    <xf numFmtId="0" fontId="0" fillId="8" borderId="1" xfId="0" applyFill="1" applyBorder="1"/>
    <xf numFmtId="0" fontId="18" fillId="18" borderId="1" xfId="0" applyFont="1" applyFill="1" applyBorder="1" applyAlignment="1">
      <alignment horizontal="center"/>
    </xf>
    <xf numFmtId="169" fontId="0" fillId="2" borderId="1" xfId="0" applyNumberFormat="1" applyFill="1" applyBorder="1"/>
    <xf numFmtId="169" fontId="0" fillId="8" borderId="1" xfId="0" applyNumberFormat="1" applyFill="1" applyBorder="1"/>
    <xf numFmtId="0" fontId="18" fillId="18" borderId="5" xfId="0" applyFont="1" applyFill="1" applyBorder="1" applyAlignment="1">
      <alignment horizontal="right"/>
    </xf>
    <xf numFmtId="169" fontId="18" fillId="18" borderId="0" xfId="0" applyNumberFormat="1" applyFont="1" applyFill="1"/>
    <xf numFmtId="0" fontId="7" fillId="2" borderId="4" xfId="0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1" fontId="4" fillId="3" borderId="1" xfId="1" applyNumberFormat="1" applyFont="1" applyFill="1" applyBorder="1" applyAlignment="1">
      <alignment horizontal="center"/>
    </xf>
    <xf numFmtId="1" fontId="4" fillId="2" borderId="1" xfId="1" applyNumberFormat="1" applyFont="1" applyFill="1" applyBorder="1" applyAlignment="1">
      <alignment horizontal="center"/>
    </xf>
    <xf numFmtId="1" fontId="4" fillId="4" borderId="1" xfId="1" applyNumberFormat="1" applyFont="1" applyFill="1" applyBorder="1" applyAlignment="1">
      <alignment horizontal="center"/>
    </xf>
    <xf numFmtId="1" fontId="4" fillId="5" borderId="1" xfId="0" applyNumberFormat="1" applyFont="1" applyFill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7" borderId="1" xfId="1" applyNumberFormat="1" applyFont="1" applyFill="1" applyBorder="1" applyAlignment="1">
      <alignment horizontal="center"/>
    </xf>
    <xf numFmtId="1" fontId="4" fillId="6" borderId="1" xfId="0" applyNumberFormat="1" applyFont="1" applyFill="1" applyBorder="1" applyAlignment="1">
      <alignment horizontal="center"/>
    </xf>
    <xf numFmtId="43" fontId="4" fillId="0" borderId="0" xfId="0" applyNumberFormat="1" applyFont="1"/>
    <xf numFmtId="43" fontId="6" fillId="0" borderId="0" xfId="0" applyNumberFormat="1" applyFont="1"/>
    <xf numFmtId="42" fontId="6" fillId="0" borderId="8" xfId="1" applyNumberFormat="1" applyFont="1" applyFill="1" applyBorder="1"/>
    <xf numFmtId="42" fontId="6" fillId="0" borderId="12" xfId="0" applyNumberFormat="1" applyFont="1" applyBorder="1"/>
    <xf numFmtId="183" fontId="6" fillId="0" borderId="22" xfId="1" applyNumberFormat="1" applyFont="1" applyFill="1" applyBorder="1"/>
    <xf numFmtId="43" fontId="6" fillId="0" borderId="22" xfId="1" applyFont="1" applyFill="1" applyBorder="1"/>
    <xf numFmtId="182" fontId="6" fillId="0" borderId="22" xfId="1" applyNumberFormat="1" applyFont="1" applyFill="1" applyBorder="1"/>
    <xf numFmtId="181" fontId="6" fillId="0" borderId="22" xfId="1" applyNumberFormat="1" applyFont="1" applyFill="1" applyBorder="1"/>
    <xf numFmtId="42" fontId="6" fillId="0" borderId="18" xfId="4" applyNumberFormat="1" applyFont="1" applyFill="1" applyBorder="1"/>
    <xf numFmtId="42" fontId="6" fillId="0" borderId="12" xfId="4" applyNumberFormat="1" applyFont="1" applyFill="1" applyBorder="1"/>
    <xf numFmtId="42" fontId="6" fillId="0" borderId="38" xfId="1" applyNumberFormat="1" applyFont="1" applyFill="1" applyBorder="1"/>
    <xf numFmtId="41" fontId="6" fillId="9" borderId="1" xfId="4" applyFont="1" applyFill="1" applyBorder="1"/>
    <xf numFmtId="42" fontId="6" fillId="9" borderId="1" xfId="0" applyNumberFormat="1" applyFont="1" applyFill="1" applyBorder="1"/>
    <xf numFmtId="41" fontId="6" fillId="9" borderId="0" xfId="4" applyFont="1" applyFill="1"/>
    <xf numFmtId="0" fontId="6" fillId="9" borderId="0" xfId="0" applyFont="1" applyFill="1"/>
    <xf numFmtId="44" fontId="0" fillId="0" borderId="0" xfId="0" applyNumberFormat="1"/>
    <xf numFmtId="43" fontId="0" fillId="0" borderId="0" xfId="1" applyFont="1"/>
    <xf numFmtId="43" fontId="0" fillId="0" borderId="0" xfId="0" applyNumberFormat="1"/>
    <xf numFmtId="171" fontId="7" fillId="16" borderId="8" xfId="0" applyNumberFormat="1" applyFont="1" applyFill="1" applyBorder="1" applyAlignment="1">
      <alignment horizontal="center" vertical="center" wrapText="1"/>
    </xf>
    <xf numFmtId="171" fontId="7" fillId="16" borderId="12" xfId="0" applyNumberFormat="1" applyFont="1" applyFill="1" applyBorder="1" applyAlignment="1">
      <alignment horizontal="center" vertical="center" wrapText="1"/>
    </xf>
    <xf numFmtId="9" fontId="0" fillId="0" borderId="1" xfId="3" applyFont="1" applyBorder="1"/>
    <xf numFmtId="164" fontId="7" fillId="2" borderId="1" xfId="1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 wrapText="1"/>
    </xf>
    <xf numFmtId="170" fontId="4" fillId="10" borderId="1" xfId="3" applyNumberFormat="1" applyFont="1" applyFill="1" applyBorder="1" applyAlignment="1">
      <alignment vertical="center"/>
    </xf>
    <xf numFmtId="3" fontId="4" fillId="2" borderId="1" xfId="2" applyNumberFormat="1" applyFont="1" applyFill="1" applyBorder="1" applyAlignment="1">
      <alignment horizontal="right"/>
    </xf>
    <xf numFmtId="3" fontId="4" fillId="0" borderId="1" xfId="2" applyNumberFormat="1" applyFont="1" applyFill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3" fontId="4" fillId="2" borderId="1" xfId="1" applyNumberFormat="1" applyFont="1" applyFill="1" applyBorder="1" applyAlignment="1">
      <alignment horizontal="right"/>
    </xf>
    <xf numFmtId="3" fontId="4" fillId="0" borderId="1" xfId="1" applyNumberFormat="1" applyFont="1" applyBorder="1" applyAlignment="1">
      <alignment horizontal="right"/>
    </xf>
    <xf numFmtId="169" fontId="4" fillId="0" borderId="1" xfId="1" applyNumberFormat="1" applyFont="1" applyBorder="1" applyAlignment="1">
      <alignment horizontal="right"/>
    </xf>
    <xf numFmtId="169" fontId="4" fillId="0" borderId="1" xfId="0" applyNumberFormat="1" applyFont="1" applyBorder="1" applyAlignment="1">
      <alignment horizontal="right"/>
    </xf>
    <xf numFmtId="169" fontId="4" fillId="2" borderId="1" xfId="1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6" borderId="1" xfId="0" applyFont="1" applyFill="1" applyBorder="1" applyAlignment="1">
      <alignment horizontal="right"/>
    </xf>
    <xf numFmtId="3" fontId="4" fillId="6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170" fontId="4" fillId="11" borderId="1" xfId="3" applyNumberFormat="1" applyFont="1" applyFill="1" applyBorder="1" applyAlignment="1">
      <alignment vertical="center"/>
    </xf>
    <xf numFmtId="3" fontId="5" fillId="8" borderId="1" xfId="2" applyNumberFormat="1" applyFont="1" applyFill="1" applyBorder="1" applyAlignment="1">
      <alignment horizontal="right"/>
    </xf>
    <xf numFmtId="0" fontId="7" fillId="0" borderId="16" xfId="0" applyFont="1" applyBorder="1" applyAlignment="1">
      <alignment horizontal="left"/>
    </xf>
    <xf numFmtId="42" fontId="7" fillId="0" borderId="17" xfId="1" applyNumberFormat="1" applyFont="1" applyFill="1" applyBorder="1"/>
    <xf numFmtId="0" fontId="7" fillId="0" borderId="16" xfId="0" applyFont="1" applyBorder="1" applyAlignment="1">
      <alignment horizontal="left" vertical="center" wrapText="1"/>
    </xf>
    <xf numFmtId="181" fontId="6" fillId="0" borderId="0" xfId="1" applyNumberFormat="1" applyFont="1" applyFill="1" applyBorder="1"/>
    <xf numFmtId="42" fontId="7" fillId="0" borderId="19" xfId="1" applyNumberFormat="1" applyFont="1" applyFill="1" applyBorder="1"/>
    <xf numFmtId="171" fontId="7" fillId="16" borderId="22" xfId="0" applyNumberFormat="1" applyFont="1" applyFill="1" applyBorder="1" applyAlignment="1">
      <alignment horizontal="center" vertical="center" wrapText="1"/>
    </xf>
    <xf numFmtId="42" fontId="7" fillId="0" borderId="22" xfId="1" applyNumberFormat="1" applyFont="1" applyFill="1" applyBorder="1"/>
    <xf numFmtId="0" fontId="6" fillId="0" borderId="0" xfId="1" applyNumberFormat="1" applyFont="1" applyFill="1" applyBorder="1"/>
    <xf numFmtId="42" fontId="7" fillId="16" borderId="39" xfId="1" applyNumberFormat="1" applyFont="1" applyFill="1" applyBorder="1"/>
    <xf numFmtId="42" fontId="6" fillId="0" borderId="40" xfId="1" applyNumberFormat="1" applyFont="1" applyFill="1" applyBorder="1"/>
    <xf numFmtId="0" fontId="6" fillId="0" borderId="19" xfId="1" applyNumberFormat="1" applyFont="1" applyFill="1" applyBorder="1"/>
    <xf numFmtId="9" fontId="6" fillId="0" borderId="19" xfId="3" applyFont="1" applyFill="1" applyBorder="1"/>
    <xf numFmtId="0" fontId="6" fillId="16" borderId="41" xfId="1" applyNumberFormat="1" applyFont="1" applyFill="1" applyBorder="1"/>
    <xf numFmtId="171" fontId="7" fillId="16" borderId="18" xfId="0" applyNumberFormat="1" applyFont="1" applyFill="1" applyBorder="1" applyAlignment="1">
      <alignment horizontal="center" vertical="center" wrapText="1"/>
    </xf>
    <xf numFmtId="171" fontId="7" fillId="16" borderId="9" xfId="0" applyNumberFormat="1" applyFont="1" applyFill="1" applyBorder="1" applyAlignment="1">
      <alignment horizontal="center" vertical="center" wrapText="1"/>
    </xf>
    <xf numFmtId="171" fontId="7" fillId="16" borderId="0" xfId="0" applyNumberFormat="1" applyFont="1" applyFill="1" applyAlignment="1">
      <alignment horizontal="center" vertical="center" wrapText="1"/>
    </xf>
    <xf numFmtId="171" fontId="7" fillId="16" borderId="11" xfId="0" applyNumberFormat="1" applyFont="1" applyFill="1" applyBorder="1" applyAlignment="1">
      <alignment horizontal="center" vertical="center" wrapText="1"/>
    </xf>
    <xf numFmtId="42" fontId="6" fillId="0" borderId="42" xfId="1" applyNumberFormat="1" applyFont="1" applyFill="1" applyBorder="1"/>
    <xf numFmtId="42" fontId="7" fillId="0" borderId="18" xfId="1" applyNumberFormat="1" applyFont="1" applyFill="1" applyBorder="1"/>
    <xf numFmtId="42" fontId="7" fillId="16" borderId="13" xfId="1" applyNumberFormat="1" applyFont="1" applyFill="1" applyBorder="1"/>
    <xf numFmtId="9" fontId="6" fillId="0" borderId="0" xfId="1" applyNumberFormat="1" applyFont="1" applyFill="1" applyBorder="1"/>
    <xf numFmtId="169" fontId="6" fillId="0" borderId="0" xfId="1" applyNumberFormat="1" applyFont="1"/>
    <xf numFmtId="44" fontId="6" fillId="0" borderId="0" xfId="0" applyNumberFormat="1" applyFont="1"/>
    <xf numFmtId="9" fontId="7" fillId="0" borderId="19" xfId="3" applyFont="1" applyFill="1" applyBorder="1"/>
    <xf numFmtId="182" fontId="7" fillId="0" borderId="22" xfId="1" applyNumberFormat="1" applyFont="1" applyFill="1" applyBorder="1"/>
    <xf numFmtId="42" fontId="7" fillId="0" borderId="18" xfId="4" applyNumberFormat="1" applyFont="1" applyFill="1" applyBorder="1"/>
    <xf numFmtId="183" fontId="7" fillId="0" borderId="22" xfId="1" applyNumberFormat="1" applyFont="1" applyFill="1" applyBorder="1"/>
    <xf numFmtId="181" fontId="7" fillId="0" borderId="22" xfId="1" applyNumberFormat="1" applyFont="1" applyFill="1" applyBorder="1"/>
    <xf numFmtId="43" fontId="7" fillId="0" borderId="22" xfId="1" applyFont="1" applyFill="1" applyBorder="1"/>
    <xf numFmtId="42" fontId="0" fillId="0" borderId="0" xfId="0" applyNumberFormat="1"/>
    <xf numFmtId="44" fontId="0" fillId="5" borderId="0" xfId="0" applyNumberFormat="1" applyFill="1"/>
    <xf numFmtId="0" fontId="7" fillId="2" borderId="6" xfId="0" applyFont="1" applyFill="1" applyBorder="1" applyAlignment="1">
      <alignment horizontal="center"/>
    </xf>
    <xf numFmtId="1" fontId="4" fillId="0" borderId="0" xfId="0" applyNumberFormat="1" applyFont="1"/>
    <xf numFmtId="9" fontId="5" fillId="8" borderId="1" xfId="3" applyFont="1" applyFill="1" applyBorder="1"/>
    <xf numFmtId="175" fontId="4" fillId="0" borderId="1" xfId="0" applyNumberFormat="1" applyFont="1" applyBorder="1"/>
    <xf numFmtId="175" fontId="4" fillId="2" borderId="1" xfId="0" applyNumberFormat="1" applyFont="1" applyFill="1" applyBorder="1"/>
    <xf numFmtId="175" fontId="4" fillId="2" borderId="1" xfId="1" applyNumberFormat="1" applyFont="1" applyFill="1" applyBorder="1"/>
    <xf numFmtId="175" fontId="4" fillId="0" borderId="1" xfId="1" applyNumberFormat="1" applyFont="1" applyBorder="1"/>
    <xf numFmtId="175" fontId="4" fillId="6" borderId="1" xfId="0" applyNumberFormat="1" applyFont="1" applyFill="1" applyBorder="1"/>
    <xf numFmtId="175" fontId="5" fillId="8" borderId="1" xfId="0" applyNumberFormat="1" applyFont="1" applyFill="1" applyBorder="1"/>
    <xf numFmtId="184" fontId="4" fillId="0" borderId="1" xfId="2" applyNumberFormat="1" applyFont="1" applyFill="1" applyBorder="1" applyAlignment="1">
      <alignment vertical="center"/>
    </xf>
    <xf numFmtId="184" fontId="4" fillId="12" borderId="1" xfId="2" applyNumberFormat="1" applyFont="1" applyFill="1" applyBorder="1" applyAlignment="1">
      <alignment vertical="center"/>
    </xf>
    <xf numFmtId="184" fontId="4" fillId="10" borderId="1" xfId="2" applyNumberFormat="1" applyFont="1" applyFill="1" applyBorder="1" applyAlignment="1">
      <alignment vertical="center"/>
    </xf>
    <xf numFmtId="184" fontId="4" fillId="0" borderId="1" xfId="2" applyNumberFormat="1" applyFont="1" applyFill="1" applyBorder="1" applyAlignment="1">
      <alignment horizontal="right" vertical="center"/>
    </xf>
    <xf numFmtId="184" fontId="4" fillId="2" borderId="1" xfId="2" applyNumberFormat="1" applyFont="1" applyFill="1" applyBorder="1"/>
    <xf numFmtId="184" fontId="4" fillId="2" borderId="1" xfId="2" applyNumberFormat="1" applyFont="1" applyFill="1" applyBorder="1" applyAlignment="1">
      <alignment horizontal="right"/>
    </xf>
    <xf numFmtId="184" fontId="4" fillId="0" borderId="1" xfId="2" applyNumberFormat="1" applyFont="1" applyFill="1" applyBorder="1"/>
    <xf numFmtId="184" fontId="4" fillId="0" borderId="1" xfId="2" applyNumberFormat="1" applyFont="1" applyFill="1" applyBorder="1" applyAlignment="1">
      <alignment horizontal="right"/>
    </xf>
    <xf numFmtId="184" fontId="4" fillId="0" borderId="1" xfId="2" applyNumberFormat="1" applyFont="1" applyBorder="1" applyAlignment="1">
      <alignment horizontal="right"/>
    </xf>
    <xf numFmtId="184" fontId="4" fillId="6" borderId="1" xfId="2" applyNumberFormat="1" applyFont="1" applyFill="1" applyBorder="1"/>
    <xf numFmtId="184" fontId="4" fillId="6" borderId="1" xfId="2" applyNumberFormat="1" applyFont="1" applyFill="1" applyBorder="1" applyAlignment="1">
      <alignment horizontal="right"/>
    </xf>
    <xf numFmtId="184" fontId="5" fillId="8" borderId="1" xfId="2" applyNumberFormat="1" applyFont="1" applyFill="1" applyBorder="1"/>
    <xf numFmtId="184" fontId="4" fillId="14" borderId="1" xfId="2" applyNumberFormat="1" applyFont="1" applyFill="1" applyBorder="1" applyAlignment="1">
      <alignment vertical="center"/>
    </xf>
    <xf numFmtId="184" fontId="4" fillId="11" borderId="1" xfId="2" applyNumberFormat="1" applyFont="1" applyFill="1" applyBorder="1" applyAlignment="1">
      <alignment vertical="center"/>
    </xf>
    <xf numFmtId="184" fontId="5" fillId="8" borderId="1" xfId="2" applyNumberFormat="1" applyFont="1" applyFill="1" applyBorder="1" applyAlignment="1">
      <alignment horizontal="right"/>
    </xf>
    <xf numFmtId="184" fontId="4" fillId="9" borderId="1" xfId="2" applyNumberFormat="1" applyFont="1" applyFill="1" applyBorder="1"/>
    <xf numFmtId="184" fontId="4" fillId="0" borderId="2" xfId="2" applyNumberFormat="1" applyFont="1" applyFill="1" applyBorder="1" applyAlignment="1">
      <alignment horizontal="right" vertical="center"/>
    </xf>
    <xf numFmtId="184" fontId="4" fillId="4" borderId="1" xfId="2" applyNumberFormat="1" applyFont="1" applyFill="1" applyBorder="1"/>
    <xf numFmtId="184" fontId="4" fillId="2" borderId="2" xfId="2" applyNumberFormat="1" applyFont="1" applyFill="1" applyBorder="1" applyAlignment="1">
      <alignment horizontal="right"/>
    </xf>
    <xf numFmtId="184" fontId="4" fillId="0" borderId="2" xfId="2" applyNumberFormat="1" applyFont="1" applyFill="1" applyBorder="1" applyAlignment="1">
      <alignment horizontal="right"/>
    </xf>
    <xf numFmtId="184" fontId="4" fillId="0" borderId="1" xfId="2" applyNumberFormat="1" applyFont="1" applyBorder="1"/>
    <xf numFmtId="184" fontId="4" fillId="0" borderId="2" xfId="2" applyNumberFormat="1" applyFont="1" applyBorder="1" applyAlignment="1">
      <alignment horizontal="right"/>
    </xf>
    <xf numFmtId="184" fontId="4" fillId="15" borderId="1" xfId="2" applyNumberFormat="1" applyFont="1" applyFill="1" applyBorder="1"/>
    <xf numFmtId="184" fontId="5" fillId="8" borderId="2" xfId="2" applyNumberFormat="1" applyFont="1" applyFill="1" applyBorder="1" applyAlignment="1">
      <alignment horizontal="right"/>
    </xf>
    <xf numFmtId="0" fontId="7" fillId="0" borderId="0" xfId="0" applyFont="1" applyAlignment="1">
      <alignment horizontal="center"/>
    </xf>
    <xf numFmtId="169" fontId="4" fillId="0" borderId="0" xfId="0" applyNumberFormat="1" applyFont="1"/>
    <xf numFmtId="9" fontId="4" fillId="0" borderId="1" xfId="3" applyFont="1" applyBorder="1"/>
    <xf numFmtId="9" fontId="4" fillId="2" borderId="1" xfId="3" applyFont="1" applyFill="1" applyBorder="1"/>
    <xf numFmtId="9" fontId="4" fillId="6" borderId="1" xfId="3" applyFont="1" applyFill="1" applyBorder="1"/>
    <xf numFmtId="180" fontId="4" fillId="0" borderId="1" xfId="0" applyNumberFormat="1" applyFont="1" applyBorder="1"/>
    <xf numFmtId="180" fontId="4" fillId="2" borderId="1" xfId="0" applyNumberFormat="1" applyFont="1" applyFill="1" applyBorder="1"/>
    <xf numFmtId="180" fontId="4" fillId="6" borderId="1" xfId="0" applyNumberFormat="1" applyFont="1" applyFill="1" applyBorder="1"/>
    <xf numFmtId="180" fontId="5" fillId="8" borderId="1" xfId="0" applyNumberFormat="1" applyFont="1" applyFill="1" applyBorder="1"/>
    <xf numFmtId="175" fontId="4" fillId="0" borderId="0" xfId="0" applyNumberFormat="1" applyFont="1"/>
    <xf numFmtId="175" fontId="4" fillId="0" borderId="0" xfId="1" applyNumberFormat="1" applyFont="1" applyFill="1"/>
    <xf numFmtId="9" fontId="5" fillId="0" borderId="0" xfId="3" applyFont="1"/>
    <xf numFmtId="169" fontId="7" fillId="2" borderId="1" xfId="1" applyNumberFormat="1" applyFont="1" applyFill="1" applyBorder="1" applyAlignment="1">
      <alignment horizontal="center" vertical="center" wrapText="1"/>
    </xf>
    <xf numFmtId="184" fontId="0" fillId="0" borderId="1" xfId="2" applyNumberFormat="1" applyFont="1" applyBorder="1"/>
    <xf numFmtId="164" fontId="19" fillId="2" borderId="1" xfId="1" applyNumberFormat="1" applyFont="1" applyFill="1" applyBorder="1" applyAlignment="1">
      <alignment horizontal="center" vertical="center"/>
    </xf>
    <xf numFmtId="184" fontId="19" fillId="2" borderId="1" xfId="2" applyNumberFormat="1" applyFont="1" applyFill="1" applyBorder="1" applyAlignment="1">
      <alignment horizontal="center" vertical="center" wrapText="1"/>
    </xf>
    <xf numFmtId="169" fontId="19" fillId="2" borderId="1" xfId="1" applyNumberFormat="1" applyFont="1" applyFill="1" applyBorder="1" applyAlignment="1">
      <alignment horizontal="center" vertical="center" wrapText="1"/>
    </xf>
    <xf numFmtId="171" fontId="20" fillId="0" borderId="0" xfId="0" applyNumberFormat="1" applyFont="1"/>
    <xf numFmtId="42" fontId="20" fillId="0" borderId="0" xfId="0" applyNumberFormat="1" applyFont="1"/>
    <xf numFmtId="0" fontId="20" fillId="0" borderId="0" xfId="0" applyFont="1"/>
    <xf numFmtId="169" fontId="4" fillId="0" borderId="0" xfId="1" applyNumberFormat="1" applyFont="1"/>
    <xf numFmtId="184" fontId="4" fillId="0" borderId="0" xfId="0" applyNumberFormat="1" applyFont="1"/>
    <xf numFmtId="44" fontId="4" fillId="0" borderId="0" xfId="0" applyNumberFormat="1" applyFont="1"/>
    <xf numFmtId="164" fontId="4" fillId="2" borderId="1" xfId="1" applyNumberFormat="1" applyFont="1" applyFill="1" applyBorder="1" applyAlignment="1">
      <alignment horizontal="center" vertical="center" wrapText="1"/>
    </xf>
    <xf numFmtId="170" fontId="4" fillId="0" borderId="0" xfId="3" applyNumberFormat="1" applyFont="1"/>
    <xf numFmtId="170" fontId="6" fillId="0" borderId="0" xfId="3" applyNumberFormat="1" applyFont="1"/>
    <xf numFmtId="169" fontId="20" fillId="0" borderId="0" xfId="1" applyNumberFormat="1" applyFont="1"/>
    <xf numFmtId="41" fontId="6" fillId="6" borderId="1" xfId="4" applyFont="1" applyFill="1" applyBorder="1"/>
    <xf numFmtId="42" fontId="6" fillId="6" borderId="1" xfId="0" applyNumberFormat="1" applyFont="1" applyFill="1" applyBorder="1"/>
    <xf numFmtId="41" fontId="6" fillId="6" borderId="0" xfId="4" applyFont="1" applyFill="1"/>
    <xf numFmtId="0" fontId="6" fillId="6" borderId="0" xfId="0" applyFont="1" applyFill="1"/>
    <xf numFmtId="169" fontId="0" fillId="0" borderId="0" xfId="1" applyNumberFormat="1" applyFont="1"/>
    <xf numFmtId="0" fontId="18" fillId="0" borderId="0" xfId="0" applyFont="1"/>
    <xf numFmtId="184" fontId="18" fillId="0" borderId="1" xfId="2" applyNumberFormat="1" applyFont="1" applyBorder="1"/>
    <xf numFmtId="184" fontId="18" fillId="0" borderId="0" xfId="2" applyNumberFormat="1" applyFont="1"/>
    <xf numFmtId="169" fontId="18" fillId="0" borderId="0" xfId="1" applyNumberFormat="1" applyFont="1"/>
    <xf numFmtId="184" fontId="18" fillId="6" borderId="1" xfId="2" applyNumberFormat="1" applyFont="1" applyFill="1" applyBorder="1"/>
    <xf numFmtId="42" fontId="6" fillId="0" borderId="16" xfId="1" applyNumberFormat="1" applyFont="1" applyFill="1" applyBorder="1"/>
    <xf numFmtId="49" fontId="0" fillId="2" borderId="1" xfId="1" applyNumberFormat="1" applyFont="1" applyFill="1" applyBorder="1" applyAlignment="1">
      <alignment horizontal="center"/>
    </xf>
    <xf numFmtId="184" fontId="0" fillId="2" borderId="1" xfId="2" applyNumberFormat="1" applyFont="1" applyFill="1" applyBorder="1"/>
    <xf numFmtId="42" fontId="4" fillId="0" borderId="0" xfId="0" applyNumberFormat="1" applyFont="1"/>
    <xf numFmtId="184" fontId="0" fillId="8" borderId="1" xfId="2" applyNumberFormat="1" applyFont="1" applyFill="1" applyBorder="1"/>
    <xf numFmtId="184" fontId="0" fillId="0" borderId="0" xfId="0" applyNumberFormat="1"/>
    <xf numFmtId="171" fontId="7" fillId="8" borderId="3" xfId="0" applyNumberFormat="1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/>
    </xf>
    <xf numFmtId="0" fontId="7" fillId="8" borderId="43" xfId="0" applyFont="1" applyFill="1" applyBorder="1" applyAlignment="1">
      <alignment horizontal="center" vertical="center" wrapText="1"/>
    </xf>
    <xf numFmtId="171" fontId="7" fillId="8" borderId="43" xfId="0" applyNumberFormat="1" applyFont="1" applyFill="1" applyBorder="1" applyAlignment="1">
      <alignment horizontal="center" vertical="center" wrapText="1"/>
    </xf>
    <xf numFmtId="171" fontId="7" fillId="8" borderId="5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/>
    </xf>
    <xf numFmtId="42" fontId="6" fillId="0" borderId="3" xfId="1" applyNumberFormat="1" applyFont="1" applyFill="1" applyBorder="1"/>
    <xf numFmtId="42" fontId="6" fillId="0" borderId="23" xfId="1" applyNumberFormat="1" applyFont="1" applyFill="1" applyBorder="1"/>
    <xf numFmtId="0" fontId="6" fillId="0" borderId="5" xfId="0" applyFont="1" applyBorder="1" applyAlignment="1">
      <alignment horizontal="left"/>
    </xf>
    <xf numFmtId="42" fontId="6" fillId="0" borderId="5" xfId="1" applyNumberFormat="1" applyFont="1" applyFill="1" applyBorder="1"/>
    <xf numFmtId="0" fontId="6" fillId="0" borderId="5" xfId="1" applyNumberFormat="1" applyFont="1" applyFill="1" applyBorder="1"/>
    <xf numFmtId="0" fontId="7" fillId="0" borderId="5" xfId="0" applyFont="1" applyBorder="1" applyAlignment="1">
      <alignment horizontal="left"/>
    </xf>
    <xf numFmtId="42" fontId="7" fillId="0" borderId="5" xfId="1" applyNumberFormat="1" applyFont="1" applyFill="1" applyBorder="1"/>
    <xf numFmtId="9" fontId="7" fillId="0" borderId="5" xfId="3" applyFont="1" applyFill="1" applyBorder="1"/>
    <xf numFmtId="183" fontId="7" fillId="0" borderId="5" xfId="1" applyNumberFormat="1" applyFont="1" applyFill="1" applyBorder="1"/>
    <xf numFmtId="183" fontId="6" fillId="0" borderId="5" xfId="1" applyNumberFormat="1" applyFont="1" applyFill="1" applyBorder="1"/>
    <xf numFmtId="43" fontId="7" fillId="0" borderId="5" xfId="1" applyFont="1" applyFill="1" applyBorder="1"/>
    <xf numFmtId="43" fontId="6" fillId="0" borderId="5" xfId="1" applyFont="1" applyFill="1" applyBorder="1"/>
    <xf numFmtId="182" fontId="7" fillId="0" borderId="5" xfId="1" applyNumberFormat="1" applyFont="1" applyFill="1" applyBorder="1"/>
    <xf numFmtId="42" fontId="7" fillId="0" borderId="5" xfId="4" applyNumberFormat="1" applyFont="1" applyFill="1" applyBorder="1"/>
    <xf numFmtId="182" fontId="6" fillId="0" borderId="5" xfId="1" applyNumberFormat="1" applyFont="1" applyFill="1" applyBorder="1"/>
    <xf numFmtId="42" fontId="6" fillId="0" borderId="5" xfId="4" applyNumberFormat="1" applyFont="1" applyFill="1" applyBorder="1"/>
    <xf numFmtId="9" fontId="6" fillId="0" borderId="5" xfId="3" applyFont="1" applyFill="1" applyBorder="1"/>
    <xf numFmtId="0" fontId="7" fillId="0" borderId="5" xfId="0" applyFont="1" applyBorder="1" applyAlignment="1">
      <alignment horizontal="left" vertical="center" wrapText="1"/>
    </xf>
    <xf numFmtId="181" fontId="7" fillId="0" borderId="5" xfId="1" applyNumberFormat="1" applyFont="1" applyFill="1" applyBorder="1"/>
    <xf numFmtId="181" fontId="6" fillId="0" borderId="5" xfId="1" applyNumberFormat="1" applyFont="1" applyFill="1" applyBorder="1"/>
    <xf numFmtId="9" fontId="6" fillId="0" borderId="5" xfId="1" applyNumberFormat="1" applyFont="1" applyFill="1" applyBorder="1"/>
    <xf numFmtId="172" fontId="6" fillId="0" borderId="5" xfId="1" applyNumberFormat="1" applyFont="1" applyFill="1" applyBorder="1"/>
    <xf numFmtId="42" fontId="6" fillId="0" borderId="5" xfId="0" applyNumberFormat="1" applyFont="1" applyBorder="1"/>
    <xf numFmtId="43" fontId="7" fillId="8" borderId="43" xfId="0" applyNumberFormat="1" applyFont="1" applyFill="1" applyBorder="1" applyAlignment="1">
      <alignment horizontal="center" vertical="center" wrapText="1"/>
    </xf>
    <xf numFmtId="42" fontId="6" fillId="0" borderId="3" xfId="1" applyNumberFormat="1" applyFont="1" applyFill="1" applyBorder="1" applyAlignment="1">
      <alignment horizontal="center"/>
    </xf>
    <xf numFmtId="0" fontId="6" fillId="0" borderId="5" xfId="1" applyNumberFormat="1" applyFont="1" applyFill="1" applyBorder="1" applyAlignment="1">
      <alignment horizontal="center"/>
    </xf>
    <xf numFmtId="9" fontId="7" fillId="0" borderId="5" xfId="3" applyFont="1" applyFill="1" applyBorder="1" applyAlignment="1">
      <alignment horizontal="center"/>
    </xf>
    <xf numFmtId="9" fontId="6" fillId="0" borderId="5" xfId="3" applyFont="1" applyFill="1" applyBorder="1" applyAlignment="1">
      <alignment horizontal="center"/>
    </xf>
    <xf numFmtId="9" fontId="6" fillId="0" borderId="5" xfId="1" applyNumberFormat="1" applyFont="1" applyFill="1" applyBorder="1" applyAlignment="1">
      <alignment horizontal="center"/>
    </xf>
    <xf numFmtId="171" fontId="6" fillId="0" borderId="0" xfId="0" applyNumberFormat="1" applyFont="1" applyAlignment="1">
      <alignment horizontal="center" vertical="center"/>
    </xf>
    <xf numFmtId="171" fontId="20" fillId="0" borderId="0" xfId="0" applyNumberFormat="1" applyFont="1" applyAlignment="1">
      <alignment horizontal="center"/>
    </xf>
    <xf numFmtId="0" fontId="6" fillId="8" borderId="1" xfId="0" applyFont="1" applyFill="1" applyBorder="1"/>
    <xf numFmtId="42" fontId="7" fillId="8" borderId="1" xfId="1" applyNumberFormat="1" applyFont="1" applyFill="1" applyBorder="1"/>
    <xf numFmtId="0" fontId="6" fillId="8" borderId="1" xfId="1" applyNumberFormat="1" applyFont="1" applyFill="1" applyBorder="1"/>
    <xf numFmtId="0" fontId="7" fillId="8" borderId="4" xfId="0" applyFont="1" applyFill="1" applyBorder="1" applyAlignment="1">
      <alignment horizontal="center" vertical="center" wrapText="1"/>
    </xf>
    <xf numFmtId="171" fontId="7" fillId="8" borderId="4" xfId="0" applyNumberFormat="1" applyFont="1" applyFill="1" applyBorder="1" applyAlignment="1">
      <alignment horizontal="center" vertical="center" wrapText="1"/>
    </xf>
    <xf numFmtId="43" fontId="7" fillId="8" borderId="4" xfId="0" applyNumberFormat="1" applyFont="1" applyFill="1" applyBorder="1" applyAlignment="1">
      <alignment horizontal="center" vertical="center" wrapText="1"/>
    </xf>
    <xf numFmtId="0" fontId="6" fillId="8" borderId="1" xfId="1" applyNumberFormat="1" applyFont="1" applyFill="1" applyBorder="1" applyAlignment="1">
      <alignment horizontal="center"/>
    </xf>
    <xf numFmtId="42" fontId="7" fillId="0" borderId="16" xfId="1" applyNumberFormat="1" applyFont="1" applyFill="1" applyBorder="1"/>
    <xf numFmtId="42" fontId="7" fillId="0" borderId="16" xfId="4" applyNumberFormat="1" applyFont="1" applyFill="1" applyBorder="1"/>
    <xf numFmtId="42" fontId="6" fillId="0" borderId="16" xfId="4" applyNumberFormat="1" applyFont="1" applyFill="1" applyBorder="1"/>
    <xf numFmtId="42" fontId="6" fillId="0" borderId="5" xfId="1" applyNumberFormat="1" applyFont="1" applyFill="1" applyBorder="1" applyAlignment="1">
      <alignment horizontal="center"/>
    </xf>
    <xf numFmtId="0" fontId="22" fillId="0" borderId="0" xfId="0" applyFont="1"/>
    <xf numFmtId="0" fontId="23" fillId="8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164" fontId="22" fillId="0" borderId="1" xfId="1" applyNumberFormat="1" applyFont="1" applyFill="1" applyBorder="1" applyAlignment="1">
      <alignment horizontal="center" vertical="center"/>
    </xf>
    <xf numFmtId="164" fontId="22" fillId="0" borderId="1" xfId="1" applyNumberFormat="1" applyFont="1" applyFill="1" applyBorder="1" applyAlignment="1">
      <alignment horizontal="right" vertical="center"/>
    </xf>
    <xf numFmtId="164" fontId="22" fillId="0" borderId="1" xfId="1" applyNumberFormat="1" applyFont="1" applyFill="1" applyBorder="1" applyAlignment="1">
      <alignment horizontal="left" vertical="center"/>
    </xf>
    <xf numFmtId="178" fontId="22" fillId="0" borderId="1" xfId="2" applyNumberFormat="1" applyFont="1" applyFill="1" applyBorder="1" applyAlignment="1">
      <alignment horizontal="center" vertical="center"/>
    </xf>
    <xf numFmtId="184" fontId="22" fillId="0" borderId="1" xfId="2" applyNumberFormat="1" applyFont="1" applyFill="1" applyBorder="1" applyAlignment="1">
      <alignment horizontal="center" vertical="center"/>
    </xf>
    <xf numFmtId="164" fontId="22" fillId="16" borderId="1" xfId="1" applyNumberFormat="1" applyFont="1" applyFill="1" applyBorder="1" applyAlignment="1">
      <alignment horizontal="left" vertical="center"/>
    </xf>
    <xf numFmtId="178" fontId="22" fillId="16" borderId="1" xfId="2" applyNumberFormat="1" applyFont="1" applyFill="1" applyBorder="1" applyAlignment="1">
      <alignment horizontal="left" vertical="center"/>
    </xf>
    <xf numFmtId="184" fontId="22" fillId="16" borderId="1" xfId="2" applyNumberFormat="1" applyFont="1" applyFill="1" applyBorder="1" applyAlignment="1">
      <alignment horizontal="left" vertical="center"/>
    </xf>
    <xf numFmtId="179" fontId="22" fillId="0" borderId="1" xfId="1" applyNumberFormat="1" applyFont="1" applyFill="1" applyBorder="1" applyAlignment="1">
      <alignment horizontal="right" vertical="center"/>
    </xf>
    <xf numFmtId="178" fontId="22" fillId="0" borderId="1" xfId="2" applyNumberFormat="1" applyFont="1" applyFill="1" applyBorder="1" applyAlignment="1">
      <alignment horizontal="left" vertical="center"/>
    </xf>
    <xf numFmtId="3" fontId="22" fillId="0" borderId="1" xfId="2" applyNumberFormat="1" applyFont="1" applyFill="1" applyBorder="1" applyAlignment="1">
      <alignment horizontal="right" vertical="center"/>
    </xf>
    <xf numFmtId="184" fontId="22" fillId="0" borderId="1" xfId="2" applyNumberFormat="1" applyFont="1" applyFill="1" applyBorder="1" applyAlignment="1">
      <alignment horizontal="right" vertical="center"/>
    </xf>
    <xf numFmtId="0" fontId="22" fillId="0" borderId="1" xfId="0" applyFont="1" applyBorder="1" applyAlignment="1">
      <alignment horizontal="left"/>
    </xf>
    <xf numFmtId="0" fontId="22" fillId="0" borderId="1" xfId="0" applyFont="1" applyBorder="1"/>
    <xf numFmtId="164" fontId="22" fillId="0" borderId="1" xfId="1" applyNumberFormat="1" applyFont="1" applyFill="1" applyBorder="1"/>
    <xf numFmtId="0" fontId="24" fillId="0" borderId="0" xfId="0" applyFont="1" applyAlignment="1">
      <alignment horizontal="right"/>
    </xf>
    <xf numFmtId="164" fontId="22" fillId="16" borderId="1" xfId="1" applyNumberFormat="1" applyFont="1" applyFill="1" applyBorder="1" applyAlignment="1">
      <alignment horizontal="left"/>
    </xf>
    <xf numFmtId="178" fontId="22" fillId="16" borderId="1" xfId="2" applyNumberFormat="1" applyFont="1" applyFill="1" applyBorder="1" applyAlignment="1">
      <alignment horizontal="left"/>
    </xf>
    <xf numFmtId="3" fontId="22" fillId="16" borderId="1" xfId="2" applyNumberFormat="1" applyFont="1" applyFill="1" applyBorder="1" applyAlignment="1">
      <alignment horizontal="right"/>
    </xf>
    <xf numFmtId="184" fontId="22" fillId="16" borderId="1" xfId="2" applyNumberFormat="1" applyFont="1" applyFill="1" applyBorder="1"/>
    <xf numFmtId="164" fontId="22" fillId="0" borderId="1" xfId="1" applyNumberFormat="1" applyFont="1" applyFill="1" applyBorder="1" applyAlignment="1">
      <alignment horizontal="left"/>
    </xf>
    <xf numFmtId="178" fontId="22" fillId="0" borderId="1" xfId="2" applyNumberFormat="1" applyFont="1" applyFill="1" applyBorder="1" applyAlignment="1">
      <alignment horizontal="left"/>
    </xf>
    <xf numFmtId="3" fontId="22" fillId="0" borderId="1" xfId="2" applyNumberFormat="1" applyFont="1" applyFill="1" applyBorder="1" applyAlignment="1">
      <alignment horizontal="right"/>
    </xf>
    <xf numFmtId="184" fontId="22" fillId="6" borderId="1" xfId="2" applyNumberFormat="1" applyFont="1" applyFill="1" applyBorder="1"/>
    <xf numFmtId="184" fontId="22" fillId="0" borderId="1" xfId="2" applyNumberFormat="1" applyFont="1" applyBorder="1"/>
    <xf numFmtId="164" fontId="22" fillId="16" borderId="1" xfId="1" applyNumberFormat="1" applyFont="1" applyFill="1" applyBorder="1" applyAlignment="1">
      <alignment horizontal="left" vertical="center" wrapText="1"/>
    </xf>
    <xf numFmtId="3" fontId="22" fillId="16" borderId="1" xfId="2" applyNumberFormat="1" applyFont="1" applyFill="1" applyBorder="1" applyAlignment="1">
      <alignment horizontal="right" vertical="center"/>
    </xf>
    <xf numFmtId="184" fontId="22" fillId="16" borderId="1" xfId="2" applyNumberFormat="1" applyFont="1" applyFill="1" applyBorder="1" applyAlignment="1">
      <alignment horizontal="right" vertical="center"/>
    </xf>
    <xf numFmtId="164" fontId="22" fillId="0" borderId="1" xfId="1" applyNumberFormat="1" applyFont="1" applyFill="1" applyBorder="1" applyAlignment="1">
      <alignment horizontal="left" vertical="center" wrapText="1"/>
    </xf>
    <xf numFmtId="1" fontId="24" fillId="0" borderId="0" xfId="0" applyNumberFormat="1" applyFont="1" applyAlignment="1">
      <alignment horizontal="right"/>
    </xf>
    <xf numFmtId="184" fontId="22" fillId="16" borderId="1" xfId="2" applyNumberFormat="1" applyFont="1" applyFill="1" applyBorder="1" applyAlignment="1">
      <alignment horizontal="right"/>
    </xf>
    <xf numFmtId="0" fontId="24" fillId="0" borderId="0" xfId="0" applyFont="1"/>
    <xf numFmtId="164" fontId="22" fillId="0" borderId="1" xfId="1" applyNumberFormat="1" applyFont="1" applyFill="1" applyBorder="1" applyAlignment="1">
      <alignment vertical="center"/>
    </xf>
    <xf numFmtId="164" fontId="22" fillId="0" borderId="1" xfId="1" applyNumberFormat="1" applyFont="1" applyFill="1" applyBorder="1" applyAlignment="1"/>
    <xf numFmtId="0" fontId="22" fillId="6" borderId="1" xfId="0" applyFont="1" applyFill="1" applyBorder="1" applyAlignment="1">
      <alignment horizontal="left" vertical="center"/>
    </xf>
    <xf numFmtId="0" fontId="22" fillId="6" borderId="1" xfId="0" applyFont="1" applyFill="1" applyBorder="1"/>
    <xf numFmtId="164" fontId="22" fillId="6" borderId="1" xfId="1" applyNumberFormat="1" applyFont="1" applyFill="1" applyBorder="1" applyAlignment="1"/>
    <xf numFmtId="0" fontId="24" fillId="6" borderId="0" xfId="0" applyFont="1" applyFill="1"/>
    <xf numFmtId="164" fontId="22" fillId="6" borderId="1" xfId="1" applyNumberFormat="1" applyFont="1" applyFill="1" applyBorder="1" applyAlignment="1">
      <alignment horizontal="left" vertical="center" wrapText="1"/>
    </xf>
    <xf numFmtId="178" fontId="22" fillId="6" borderId="1" xfId="2" applyNumberFormat="1" applyFont="1" applyFill="1" applyBorder="1" applyAlignment="1">
      <alignment horizontal="left"/>
    </xf>
    <xf numFmtId="3" fontId="22" fillId="6" borderId="1" xfId="2" applyNumberFormat="1" applyFont="1" applyFill="1" applyBorder="1" applyAlignment="1">
      <alignment horizontal="right"/>
    </xf>
    <xf numFmtId="0" fontId="22" fillId="6" borderId="0" xfId="0" applyFont="1" applyFill="1"/>
    <xf numFmtId="164" fontId="22" fillId="6" borderId="1" xfId="1" applyNumberFormat="1" applyFont="1" applyFill="1" applyBorder="1" applyAlignment="1">
      <alignment horizontal="left" vertical="center"/>
    </xf>
    <xf numFmtId="178" fontId="22" fillId="6" borderId="1" xfId="2" applyNumberFormat="1" applyFont="1" applyFill="1" applyBorder="1" applyAlignment="1">
      <alignment horizontal="left" vertical="center"/>
    </xf>
    <xf numFmtId="3" fontId="22" fillId="6" borderId="1" xfId="2" applyNumberFormat="1" applyFont="1" applyFill="1" applyBorder="1" applyAlignment="1">
      <alignment horizontal="right" vertical="center"/>
    </xf>
    <xf numFmtId="184" fontId="22" fillId="6" borderId="1" xfId="2" applyNumberFormat="1" applyFont="1" applyFill="1" applyBorder="1" applyAlignment="1">
      <alignment horizontal="right" vertical="center"/>
    </xf>
    <xf numFmtId="164" fontId="22" fillId="6" borderId="1" xfId="1" applyNumberFormat="1" applyFont="1" applyFill="1" applyBorder="1" applyAlignment="1">
      <alignment horizontal="left"/>
    </xf>
    <xf numFmtId="164" fontId="22" fillId="6" borderId="1" xfId="1" applyNumberFormat="1" applyFont="1" applyFill="1" applyBorder="1" applyAlignment="1">
      <alignment horizontal="right" vertical="center"/>
    </xf>
    <xf numFmtId="164" fontId="22" fillId="6" borderId="1" xfId="1" applyNumberFormat="1" applyFont="1" applyFill="1" applyBorder="1" applyAlignment="1">
      <alignment vertical="center" wrapText="1"/>
    </xf>
    <xf numFmtId="164" fontId="22" fillId="6" borderId="1" xfId="1" applyNumberFormat="1" applyFont="1" applyFill="1" applyBorder="1" applyAlignment="1">
      <alignment horizontal="right"/>
    </xf>
    <xf numFmtId="184" fontId="22" fillId="6" borderId="1" xfId="2" applyNumberFormat="1" applyFont="1" applyFill="1" applyBorder="1" applyAlignment="1">
      <alignment horizontal="right"/>
    </xf>
    <xf numFmtId="178" fontId="22" fillId="6" borderId="0" xfId="2" applyNumberFormat="1" applyFont="1" applyFill="1"/>
    <xf numFmtId="3" fontId="22" fillId="6" borderId="0" xfId="2" applyNumberFormat="1" applyFont="1" applyFill="1" applyAlignment="1">
      <alignment horizontal="right"/>
    </xf>
    <xf numFmtId="164" fontId="22" fillId="0" borderId="1" xfId="0" applyNumberFormat="1" applyFont="1" applyBorder="1"/>
    <xf numFmtId="164" fontId="22" fillId="0" borderId="1" xfId="0" applyNumberFormat="1" applyFont="1" applyBorder="1" applyAlignment="1">
      <alignment horizontal="right"/>
    </xf>
    <xf numFmtId="177" fontId="23" fillId="8" borderId="1" xfId="4" applyNumberFormat="1" applyFont="1" applyFill="1" applyBorder="1" applyAlignment="1">
      <alignment horizontal="right"/>
    </xf>
    <xf numFmtId="178" fontId="23" fillId="8" borderId="1" xfId="2" applyNumberFormat="1" applyFont="1" applyFill="1" applyBorder="1"/>
    <xf numFmtId="184" fontId="23" fillId="8" borderId="1" xfId="2" applyNumberFormat="1" applyFont="1" applyFill="1" applyBorder="1" applyAlignment="1">
      <alignment horizontal="right"/>
    </xf>
    <xf numFmtId="184" fontId="23" fillId="8" borderId="1" xfId="2" applyNumberFormat="1" applyFont="1" applyFill="1" applyBorder="1"/>
    <xf numFmtId="0" fontId="22" fillId="0" borderId="0" xfId="0" applyFont="1" applyAlignment="1">
      <alignment horizontal="right"/>
    </xf>
    <xf numFmtId="168" fontId="22" fillId="0" borderId="0" xfId="4" applyNumberFormat="1" applyFont="1" applyFill="1"/>
    <xf numFmtId="177" fontId="22" fillId="0" borderId="0" xfId="4" applyNumberFormat="1" applyFont="1" applyFill="1"/>
    <xf numFmtId="169" fontId="22" fillId="0" borderId="0" xfId="0" applyNumberFormat="1" applyFont="1"/>
    <xf numFmtId="0" fontId="23" fillId="8" borderId="1" xfId="0" applyFont="1" applyFill="1" applyBorder="1"/>
    <xf numFmtId="168" fontId="22" fillId="8" borderId="1" xfId="4" applyNumberFormat="1" applyFont="1" applyFill="1" applyBorder="1"/>
    <xf numFmtId="177" fontId="22" fillId="8" borderId="1" xfId="4" applyNumberFormat="1" applyFont="1" applyFill="1" applyBorder="1"/>
    <xf numFmtId="42" fontId="22" fillId="8" borderId="1" xfId="0" applyNumberFormat="1" applyFont="1" applyFill="1" applyBorder="1"/>
    <xf numFmtId="41" fontId="22" fillId="0" borderId="0" xfId="4" applyFont="1" applyFill="1"/>
    <xf numFmtId="41" fontId="22" fillId="0" borderId="0" xfId="4" applyFont="1" applyFill="1" applyAlignment="1">
      <alignment horizontal="right"/>
    </xf>
    <xf numFmtId="41" fontId="23" fillId="8" borderId="1" xfId="4" applyFont="1" applyFill="1" applyBorder="1" applyAlignment="1">
      <alignment horizontal="left"/>
    </xf>
    <xf numFmtId="184" fontId="22" fillId="8" borderId="1" xfId="0" applyNumberFormat="1" applyFont="1" applyFill="1" applyBorder="1"/>
    <xf numFmtId="170" fontId="22" fillId="0" borderId="0" xfId="0" applyNumberFormat="1" applyFont="1"/>
    <xf numFmtId="180" fontId="22" fillId="0" borderId="0" xfId="0" applyNumberFormat="1" applyFont="1"/>
    <xf numFmtId="180" fontId="22" fillId="0" borderId="0" xfId="0" applyNumberFormat="1" applyFont="1" applyAlignment="1">
      <alignment horizontal="right"/>
    </xf>
    <xf numFmtId="10" fontId="22" fillId="0" borderId="0" xfId="0" applyNumberFormat="1" applyFont="1"/>
    <xf numFmtId="10" fontId="22" fillId="0" borderId="0" xfId="0" applyNumberFormat="1" applyFont="1" applyAlignment="1">
      <alignment horizontal="right"/>
    </xf>
    <xf numFmtId="164" fontId="22" fillId="0" borderId="0" xfId="0" applyNumberFormat="1" applyFont="1"/>
    <xf numFmtId="170" fontId="22" fillId="0" borderId="0" xfId="0" applyNumberFormat="1" applyFont="1" applyAlignment="1">
      <alignment horizontal="right"/>
    </xf>
    <xf numFmtId="3" fontId="22" fillId="0" borderId="0" xfId="0" applyNumberFormat="1" applyFont="1"/>
    <xf numFmtId="3" fontId="22" fillId="0" borderId="0" xfId="0" applyNumberFormat="1" applyFont="1" applyAlignment="1">
      <alignment horizontal="right"/>
    </xf>
    <xf numFmtId="164" fontId="22" fillId="0" borderId="0" xfId="0" applyNumberFormat="1" applyFont="1" applyAlignment="1">
      <alignment horizontal="right"/>
    </xf>
    <xf numFmtId="4" fontId="22" fillId="0" borderId="0" xfId="0" applyNumberFormat="1" applyFont="1"/>
    <xf numFmtId="173" fontId="22" fillId="0" borderId="0" xfId="0" applyNumberFormat="1" applyFont="1"/>
    <xf numFmtId="0" fontId="26" fillId="6" borderId="0" xfId="0" applyFont="1" applyFill="1"/>
    <xf numFmtId="42" fontId="26" fillId="6" borderId="0" xfId="0" applyNumberFormat="1" applyFont="1" applyFill="1"/>
    <xf numFmtId="4" fontId="26" fillId="6" borderId="0" xfId="0" applyNumberFormat="1" applyFont="1" applyFill="1"/>
    <xf numFmtId="44" fontId="26" fillId="6" borderId="0" xfId="0" applyNumberFormat="1" applyFont="1" applyFill="1"/>
    <xf numFmtId="171" fontId="26" fillId="6" borderId="0" xfId="1" applyNumberFormat="1" applyFont="1" applyFill="1"/>
    <xf numFmtId="171" fontId="25" fillId="6" borderId="0" xfId="0" applyNumberFormat="1" applyFont="1" applyFill="1"/>
    <xf numFmtId="3" fontId="27" fillId="6" borderId="0" xfId="0" applyNumberFormat="1" applyFont="1" applyFill="1"/>
    <xf numFmtId="0" fontId="28" fillId="8" borderId="1" xfId="0" applyFont="1" applyFill="1" applyBorder="1" applyAlignment="1">
      <alignment horizontal="center"/>
    </xf>
    <xf numFmtId="0" fontId="28" fillId="8" borderId="1" xfId="0" applyFont="1" applyFill="1" applyBorder="1" applyAlignment="1">
      <alignment horizontal="right" vertical="center"/>
    </xf>
    <xf numFmtId="184" fontId="28" fillId="8" borderId="1" xfId="2" applyNumberFormat="1" applyFont="1" applyFill="1" applyBorder="1" applyAlignment="1">
      <alignment vertical="center"/>
    </xf>
    <xf numFmtId="0" fontId="29" fillId="0" borderId="1" xfId="0" applyFont="1" applyBorder="1" applyAlignment="1">
      <alignment vertical="center"/>
    </xf>
    <xf numFmtId="0" fontId="29" fillId="8" borderId="1" xfId="0" applyFont="1" applyFill="1" applyBorder="1" applyAlignment="1">
      <alignment vertical="center"/>
    </xf>
    <xf numFmtId="0" fontId="29" fillId="0" borderId="1" xfId="0" applyFont="1" applyBorder="1" applyAlignment="1">
      <alignment horizontal="left" vertical="center"/>
    </xf>
    <xf numFmtId="184" fontId="29" fillId="0" borderId="1" xfId="2" applyNumberFormat="1" applyFont="1" applyFill="1" applyBorder="1" applyAlignment="1">
      <alignment vertical="center"/>
    </xf>
    <xf numFmtId="184" fontId="29" fillId="8" borderId="1" xfId="2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center" vertical="center" wrapText="1"/>
    </xf>
    <xf numFmtId="0" fontId="7" fillId="9" borderId="5" xfId="0" applyFont="1" applyFill="1" applyBorder="1" applyAlignment="1">
      <alignment horizontal="center" vertical="center" wrapText="1"/>
    </xf>
    <xf numFmtId="0" fontId="7" fillId="9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7" fillId="8" borderId="3" xfId="0" applyFont="1" applyFill="1" applyBorder="1" applyAlignment="1">
      <alignment horizontal="center" vertical="center" wrapText="1"/>
    </xf>
    <xf numFmtId="0" fontId="7" fillId="8" borderId="43" xfId="0" applyFont="1" applyFill="1" applyBorder="1" applyAlignment="1">
      <alignment horizontal="center" vertical="center" wrapText="1"/>
    </xf>
    <xf numFmtId="171" fontId="6" fillId="0" borderId="2" xfId="1" applyNumberFormat="1" applyFont="1" applyFill="1" applyBorder="1" applyAlignment="1">
      <alignment horizontal="center"/>
    </xf>
    <xf numFmtId="171" fontId="6" fillId="0" borderId="7" xfId="1" applyNumberFormat="1" applyFont="1" applyFill="1" applyBorder="1" applyAlignment="1">
      <alignment horizontal="center"/>
    </xf>
    <xf numFmtId="171" fontId="6" fillId="0" borderId="6" xfId="1" applyNumberFormat="1" applyFont="1" applyFill="1" applyBorder="1" applyAlignment="1">
      <alignment horizontal="center"/>
    </xf>
    <xf numFmtId="41" fontId="6" fillId="9" borderId="1" xfId="4" applyFont="1" applyFill="1" applyBorder="1" applyAlignment="1">
      <alignment horizontal="center" vertical="center" wrapText="1"/>
    </xf>
    <xf numFmtId="171" fontId="7" fillId="8" borderId="3" xfId="0" applyNumberFormat="1" applyFont="1" applyFill="1" applyBorder="1" applyAlignment="1">
      <alignment horizontal="center" vertical="center" wrapText="1"/>
    </xf>
    <xf numFmtId="171" fontId="7" fillId="8" borderId="43" xfId="0" applyNumberFormat="1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/>
    </xf>
    <xf numFmtId="41" fontId="7" fillId="8" borderId="3" xfId="4" applyFont="1" applyFill="1" applyBorder="1" applyAlignment="1">
      <alignment horizontal="center" vertical="center" wrapText="1"/>
    </xf>
    <xf numFmtId="41" fontId="7" fillId="8" borderId="43" xfId="4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171" fontId="7" fillId="8" borderId="4" xfId="0" applyNumberFormat="1" applyFont="1" applyFill="1" applyBorder="1" applyAlignment="1">
      <alignment horizontal="center" vertical="center" wrapText="1"/>
    </xf>
    <xf numFmtId="41" fontId="7" fillId="8" borderId="4" xfId="4" applyFont="1" applyFill="1" applyBorder="1" applyAlignment="1">
      <alignment horizontal="center" vertical="center" wrapText="1"/>
    </xf>
    <xf numFmtId="41" fontId="6" fillId="6" borderId="1" xfId="4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7" fillId="16" borderId="8" xfId="0" applyFont="1" applyFill="1" applyBorder="1" applyAlignment="1">
      <alignment horizontal="center" vertical="center" wrapText="1"/>
    </xf>
    <xf numFmtId="0" fontId="7" fillId="16" borderId="12" xfId="0" applyFont="1" applyFill="1" applyBorder="1" applyAlignment="1">
      <alignment horizontal="center" vertical="center" wrapText="1"/>
    </xf>
    <xf numFmtId="171" fontId="6" fillId="0" borderId="9" xfId="1" applyNumberFormat="1" applyFont="1" applyFill="1" applyBorder="1" applyAlignment="1">
      <alignment horizontal="center"/>
    </xf>
    <xf numFmtId="171" fontId="6" fillId="0" borderId="10" xfId="1" applyNumberFormat="1" applyFont="1" applyFill="1" applyBorder="1" applyAlignment="1">
      <alignment horizontal="center"/>
    </xf>
    <xf numFmtId="171" fontId="6" fillId="0" borderId="11" xfId="1" applyNumberFormat="1" applyFont="1" applyFill="1" applyBorder="1" applyAlignment="1">
      <alignment horizontal="center"/>
    </xf>
    <xf numFmtId="171" fontId="7" fillId="16" borderId="8" xfId="0" applyNumberFormat="1" applyFont="1" applyFill="1" applyBorder="1" applyAlignment="1">
      <alignment horizontal="center" vertical="center" wrapText="1"/>
    </xf>
    <xf numFmtId="171" fontId="7" fillId="16" borderId="12" xfId="0" applyNumberFormat="1" applyFont="1" applyFill="1" applyBorder="1" applyAlignment="1">
      <alignment horizontal="center" vertical="center" wrapText="1"/>
    </xf>
    <xf numFmtId="0" fontId="7" fillId="16" borderId="9" xfId="0" applyFont="1" applyFill="1" applyBorder="1" applyAlignment="1">
      <alignment horizontal="center" vertical="center"/>
    </xf>
    <xf numFmtId="0" fontId="7" fillId="16" borderId="10" xfId="0" applyFont="1" applyFill="1" applyBorder="1" applyAlignment="1">
      <alignment horizontal="center" vertical="center"/>
    </xf>
    <xf numFmtId="41" fontId="7" fillId="16" borderId="8" xfId="4" applyFont="1" applyFill="1" applyBorder="1" applyAlignment="1">
      <alignment horizontal="center" vertical="center" wrapText="1"/>
    </xf>
    <xf numFmtId="41" fontId="7" fillId="16" borderId="12" xfId="4" applyFont="1" applyFill="1" applyBorder="1" applyAlignment="1">
      <alignment horizontal="center" vertical="center" wrapText="1"/>
    </xf>
    <xf numFmtId="0" fontId="0" fillId="15" borderId="0" xfId="0" applyFill="1" applyAlignment="1">
      <alignment horizontal="center" vertical="center"/>
    </xf>
    <xf numFmtId="174" fontId="12" fillId="0" borderId="31" xfId="5" applyNumberFormat="1" applyFont="1" applyFill="1" applyBorder="1" applyAlignment="1">
      <alignment horizontal="center" vertical="center" wrapText="1"/>
    </xf>
    <xf numFmtId="174" fontId="12" fillId="0" borderId="2" xfId="0" applyNumberFormat="1" applyFont="1" applyBorder="1" applyAlignment="1">
      <alignment horizontal="center" vertical="center"/>
    </xf>
    <xf numFmtId="0" fontId="8" fillId="17" borderId="24" xfId="0" applyFont="1" applyFill="1" applyBorder="1" applyAlignment="1">
      <alignment horizontal="center" vertical="center"/>
    </xf>
    <xf numFmtId="0" fontId="8" fillId="17" borderId="10" xfId="0" applyFont="1" applyFill="1" applyBorder="1" applyAlignment="1">
      <alignment horizontal="center" vertical="center"/>
    </xf>
    <xf numFmtId="174" fontId="12" fillId="0" borderId="31" xfId="0" applyNumberFormat="1" applyFont="1" applyBorder="1" applyAlignment="1">
      <alignment horizontal="center" vertical="center"/>
    </xf>
    <xf numFmtId="174" fontId="13" fillId="0" borderId="31" xfId="5" applyNumberFormat="1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justify" vertical="center" wrapText="1"/>
    </xf>
    <xf numFmtId="0" fontId="11" fillId="0" borderId="27" xfId="0" applyFont="1" applyBorder="1" applyAlignment="1">
      <alignment horizontal="left" vertical="center" wrapText="1"/>
    </xf>
    <xf numFmtId="0" fontId="10" fillId="15" borderId="22" xfId="0" applyFont="1" applyFill="1" applyBorder="1" applyAlignment="1">
      <alignment horizontal="center"/>
    </xf>
    <xf numFmtId="0" fontId="10" fillId="15" borderId="0" xfId="0" applyFont="1" applyFill="1" applyAlignment="1">
      <alignment horizontal="center"/>
    </xf>
    <xf numFmtId="0" fontId="22" fillId="0" borderId="1" xfId="0" applyFont="1" applyBorder="1" applyAlignment="1">
      <alignment horizontal="right" vertical="center"/>
    </xf>
    <xf numFmtId="0" fontId="23" fillId="8" borderId="5" xfId="0" applyFont="1" applyFill="1" applyBorder="1" applyAlignment="1">
      <alignment horizontal="center" vertical="center" wrapText="1"/>
    </xf>
    <xf numFmtId="0" fontId="23" fillId="8" borderId="4" xfId="0" applyFont="1" applyFill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3" fillId="8" borderId="5" xfId="0" applyFont="1" applyFill="1" applyBorder="1" applyAlignment="1">
      <alignment horizontal="center" vertical="center"/>
    </xf>
    <xf numFmtId="0" fontId="23" fillId="8" borderId="4" xfId="0" applyFont="1" applyFill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37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3" fillId="8" borderId="1" xfId="0" applyFont="1" applyFill="1" applyBorder="1" applyAlignment="1">
      <alignment horizontal="center"/>
    </xf>
    <xf numFmtId="0" fontId="23" fillId="8" borderId="1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3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16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16" borderId="5" xfId="0" applyFont="1" applyFill="1" applyBorder="1" applyAlignment="1">
      <alignment horizontal="center" vertical="center" wrapText="1"/>
    </xf>
    <xf numFmtId="0" fontId="4" fillId="16" borderId="4" xfId="0" applyFont="1" applyFill="1" applyBorder="1" applyAlignment="1">
      <alignment horizontal="center" vertical="center" wrapText="1"/>
    </xf>
    <xf numFmtId="49" fontId="0" fillId="2" borderId="44" xfId="1" applyNumberFormat="1" applyFont="1" applyFill="1" applyBorder="1" applyAlignment="1">
      <alignment horizontal="center" vertical="center"/>
    </xf>
    <xf numFmtId="49" fontId="0" fillId="2" borderId="45" xfId="1" applyNumberFormat="1" applyFont="1" applyFill="1" applyBorder="1" applyAlignment="1">
      <alignment horizontal="center" vertical="center"/>
    </xf>
  </cellXfs>
  <cellStyles count="6">
    <cellStyle name="Millares" xfId="1" builtinId="3"/>
    <cellStyle name="Millares [0]" xfId="4" builtinId="6"/>
    <cellStyle name="Moneda" xfId="2" builtinId="4"/>
    <cellStyle name="Moneda [0]" xfId="5" builtinId="7"/>
    <cellStyle name="Normal" xfId="0" builtinId="0"/>
    <cellStyle name="Porcentaje" xfId="3" builtinId="5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COMPOSICION DEL GASTO  PRESUPUESTO APROBADO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F185-4B61-B323-23A3AA829C4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185-4B61-B323-23A3AA829C4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F185-4B61-B323-23A3AA829C4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185-4B61-B323-23A3AA829C44}"/>
              </c:ext>
            </c:extLst>
          </c:dPt>
          <c:dLbls>
            <c:dLbl>
              <c:idx val="0"/>
              <c:layout>
                <c:manualLayout>
                  <c:x val="-7.1052785068533103E-2"/>
                  <c:y val="-1.634948881953021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185-4B61-B323-23A3AA829C44}"/>
                </c:ext>
              </c:extLst>
            </c:dLbl>
            <c:dLbl>
              <c:idx val="1"/>
              <c:layout>
                <c:manualLayout>
                  <c:x val="1.4571948998178595E-2"/>
                  <c:y val="-1.38548875414240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729204614450517"/>
                      <c:h val="0.1225950955761201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185-4B61-B323-23A3AA829C44}"/>
                </c:ext>
              </c:extLst>
            </c:dLbl>
            <c:dLbl>
              <c:idx val="2"/>
              <c:layout>
                <c:manualLayout>
                  <c:x val="-2.2440418991341835E-2"/>
                  <c:y val="-5.09855802970748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808743169398907"/>
                      <c:h val="0.13233111484523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F185-4B61-B323-23A3AA829C44}"/>
                </c:ext>
              </c:extLst>
            </c:dLbl>
            <c:dLbl>
              <c:idx val="3"/>
              <c:layout>
                <c:manualLayout>
                  <c:x val="1.2206206464629067E-2"/>
                  <c:y val="-0.372069879274939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91621129326047"/>
                      <c:h val="0.110854601751604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F185-4B61-B323-23A3AA829C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'COMPARATIVO 2022 - 2023'!$H$2:$H$5</c:f>
              <c:strCache>
                <c:ptCount val="4"/>
                <c:pt idx="0">
                  <c:v>FUNCIONAMIENTO </c:v>
                </c:pt>
                <c:pt idx="1">
                  <c:v>SERVICIO DE LA DEUDA </c:v>
                </c:pt>
                <c:pt idx="2">
                  <c:v>DEFICIT FISCAL </c:v>
                </c:pt>
                <c:pt idx="3">
                  <c:v>INVERSION </c:v>
                </c:pt>
              </c:strCache>
            </c:strRef>
          </c:cat>
          <c:val>
            <c:numRef>
              <c:f>'COMPARATIVO 2022 - 2023'!$I$2:$I$5</c:f>
              <c:numCache>
                <c:formatCode>_-* #,##0_-;\-* #,##0_-;_-* "-"??_-;_-@_-</c:formatCode>
                <c:ptCount val="4"/>
                <c:pt idx="0">
                  <c:v>13629982314</c:v>
                </c:pt>
                <c:pt idx="1">
                  <c:v>7055715220</c:v>
                </c:pt>
                <c:pt idx="2">
                  <c:v>19173450000</c:v>
                </c:pt>
                <c:pt idx="3">
                  <c:v>104355729953.69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85-4B61-B323-23A3AA829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COMPOSICION DEL GASTO PRESUPUESTO PROYECTADO 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817803109991341E-2"/>
          <c:y val="0.18449355432780848"/>
          <c:w val="0.88472623640944537"/>
          <c:h val="0.69073621322196599"/>
        </c:manualLayout>
      </c:layout>
      <c:pie3DChart>
        <c:varyColors val="1"/>
        <c:ser>
          <c:idx val="0"/>
          <c:order val="0"/>
          <c:cat>
            <c:strRef>
              <c:f>'COMPARATIVO 2022 - 2023'!$M$2:$M$5</c:f>
              <c:strCache>
                <c:ptCount val="4"/>
                <c:pt idx="0">
                  <c:v>FUNCIONAMIENTO </c:v>
                </c:pt>
                <c:pt idx="1">
                  <c:v>SERVICIO DE LA DEUDA </c:v>
                </c:pt>
                <c:pt idx="2">
                  <c:v>DEFICIT FISCAL </c:v>
                </c:pt>
                <c:pt idx="3">
                  <c:v>INVERSION </c:v>
                </c:pt>
              </c:strCache>
            </c:strRef>
          </c:cat>
          <c:val>
            <c:numRef>
              <c:f>'COMPARATIVO 2022 - 2023'!$N$2:$N$5</c:f>
            </c:numRef>
          </c:val>
          <c:extLst>
            <c:ext xmlns:c16="http://schemas.microsoft.com/office/drawing/2014/chart" uri="{C3380CC4-5D6E-409C-BE32-E72D297353CC}">
              <c16:uniqueId val="{00000000-D4D8-42ED-B644-313311B06C57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D4D8-42ED-B644-313311B06C57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D4D8-42ED-B644-313311B06C57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4D8-42ED-B644-313311B06C57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4D8-42ED-B644-313311B06C57}"/>
              </c:ext>
            </c:extLst>
          </c:dPt>
          <c:dLbls>
            <c:dLbl>
              <c:idx val="0"/>
              <c:layout>
                <c:manualLayout>
                  <c:x val="5.1174603979625829E-3"/>
                  <c:y val="1.250157771091450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D8-42ED-B644-313311B06C57}"/>
                </c:ext>
              </c:extLst>
            </c:dLbl>
            <c:dLbl>
              <c:idx val="1"/>
              <c:layout>
                <c:manualLayout>
                  <c:x val="1.7606188479917181E-2"/>
                  <c:y val="-3.125467133300723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244276824091229"/>
                      <c:h val="9.59742633907668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D4D8-42ED-B644-313311B06C57}"/>
                </c:ext>
              </c:extLst>
            </c:dLbl>
            <c:dLbl>
              <c:idx val="2"/>
              <c:layout>
                <c:manualLayout>
                  <c:x val="-1.961477031413832E-2"/>
                  <c:y val="9.2237196984987502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D8-42ED-B644-313311B06C57}"/>
                </c:ext>
              </c:extLst>
            </c:dLbl>
            <c:dLbl>
              <c:idx val="3"/>
              <c:layout>
                <c:manualLayout>
                  <c:x val="2.8032928792983611E-2"/>
                  <c:y val="-0.5608467116433030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4D8-42ED-B644-313311B06C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'COMPARATIVO 2022 - 2023'!$M$2:$M$5</c:f>
              <c:strCache>
                <c:ptCount val="4"/>
                <c:pt idx="0">
                  <c:v>FUNCIONAMIENTO </c:v>
                </c:pt>
                <c:pt idx="1">
                  <c:v>SERVICIO DE LA DEUDA </c:v>
                </c:pt>
                <c:pt idx="2">
                  <c:v>DEFICIT FISCAL </c:v>
                </c:pt>
                <c:pt idx="3">
                  <c:v>INVERSION </c:v>
                </c:pt>
              </c:strCache>
            </c:strRef>
          </c:cat>
          <c:val>
            <c:numRef>
              <c:f>'COMPARATIVO 2022 - 2023'!$O$2:$O$5</c:f>
              <c:numCache>
                <c:formatCode>_-* #,##0_-;\-* #,##0_-;_-* "-"??_-;_-@_-</c:formatCode>
                <c:ptCount val="4"/>
                <c:pt idx="0">
                  <c:v>23378784812</c:v>
                </c:pt>
                <c:pt idx="1">
                  <c:v>11143805251.200001</c:v>
                </c:pt>
                <c:pt idx="2">
                  <c:v>1052353368</c:v>
                </c:pt>
                <c:pt idx="3">
                  <c:v>102554925128.63655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D8-42ED-B644-313311B06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638174</xdr:colOff>
      <xdr:row>7</xdr:row>
      <xdr:rowOff>104775</xdr:rowOff>
    </xdr:from>
    <xdr:to>
      <xdr:col>9</xdr:col>
      <xdr:colOff>761999</xdr:colOff>
      <xdr:row>26</xdr:row>
      <xdr:rowOff>33337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85CFA57-BE72-36A2-1377-7372E4F6E3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1004886</xdr:colOff>
      <xdr:row>7</xdr:row>
      <xdr:rowOff>152400</xdr:rowOff>
    </xdr:from>
    <xdr:to>
      <xdr:col>16</xdr:col>
      <xdr:colOff>180975</xdr:colOff>
      <xdr:row>25</xdr:row>
      <xdr:rowOff>161926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C0D71EE-F384-EC64-ED34-768B3E41C8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bohorquez\Downloads\tabla%20costo%20nomina%20propuesta%20aprobada%20SEPTIEMB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bohorquez\Downloads\EJECUCION%20PRESUPUESTAL%20%20CONSOLIDADO%20190220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bohorquez\OneDrive%20-%20Corporaci&#243;n%20Aut&#243;noma%20Regional%20del%20Atl&#225;ntico%20CRA\Documentos\JERMAN%20BOHORQUEZ%20CAMARGO\PRESUPUESTO\2023\PREPARACION%202024\CRA%20-%20SIMULACION%20PLAN%20DE%20PAG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ES"/>
      <sheetName val="ANEXO"/>
      <sheetName val="DETALLE CLASIFICACION "/>
    </sheetNames>
    <sheetDataSet>
      <sheetData sheetId="0">
        <row r="19">
          <cell r="B19">
            <v>10581497377.893677</v>
          </cell>
          <cell r="C19">
            <v>11110572246.788363</v>
          </cell>
          <cell r="D19">
            <v>11666100859.127781</v>
          </cell>
          <cell r="E19">
            <v>12249405902.084171</v>
          </cell>
          <cell r="F19">
            <v>12861876197.188379</v>
          </cell>
          <cell r="G19">
            <v>13504970007.047796</v>
          </cell>
          <cell r="H19">
            <v>14180218507.400187</v>
          </cell>
          <cell r="I19">
            <v>14889229432.770199</v>
          </cell>
          <cell r="J19">
            <v>15633690904.408709</v>
          </cell>
          <cell r="K19">
            <v>16415375449.629145</v>
          </cell>
        </row>
      </sheetData>
      <sheetData sheetId="1"/>
      <sheetData sheetId="2">
        <row r="14">
          <cell r="C14">
            <v>0.59814063910324156</v>
          </cell>
        </row>
        <row r="15">
          <cell r="C15">
            <v>0.4018593608967585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0"/>
      <sheetName val="2019"/>
      <sheetName val="2021"/>
      <sheetName val="2022"/>
      <sheetName val="2023"/>
      <sheetName val="2019-1"/>
      <sheetName val="COMPARATIVO RECAUDOS"/>
      <sheetName val="COMPARATIVO GASTO"/>
      <sheetName val="GASTOS ACUMULADOS"/>
      <sheetName val="2021-1"/>
      <sheetName val="2022-1"/>
      <sheetName val="2023-1"/>
    </sheetNames>
    <sheetDataSet>
      <sheetData sheetId="0"/>
      <sheetData sheetId="1"/>
      <sheetData sheetId="2"/>
      <sheetData sheetId="3"/>
      <sheetData sheetId="4"/>
      <sheetData sheetId="5"/>
      <sheetData sheetId="6">
        <row r="10">
          <cell r="F10">
            <v>14459473207.58</v>
          </cell>
        </row>
        <row r="14">
          <cell r="F14">
            <v>13673438495</v>
          </cell>
        </row>
        <row r="15">
          <cell r="F15">
            <v>4172895313</v>
          </cell>
        </row>
        <row r="17">
          <cell r="F17">
            <v>45380290</v>
          </cell>
        </row>
        <row r="19">
          <cell r="F19">
            <v>240496823</v>
          </cell>
        </row>
        <row r="20">
          <cell r="F20">
            <v>2033632445</v>
          </cell>
        </row>
        <row r="21">
          <cell r="F21">
            <v>7098025775</v>
          </cell>
        </row>
        <row r="23">
          <cell r="F23">
            <v>1802435123</v>
          </cell>
        </row>
        <row r="24">
          <cell r="F24">
            <v>6277351291</v>
          </cell>
        </row>
        <row r="25">
          <cell r="F25">
            <v>42640883</v>
          </cell>
        </row>
        <row r="28">
          <cell r="F28">
            <v>477994148</v>
          </cell>
        </row>
        <row r="30">
          <cell r="F30">
            <v>71835926701</v>
          </cell>
        </row>
        <row r="31">
          <cell r="F31">
            <v>78000000</v>
          </cell>
        </row>
        <row r="33">
          <cell r="F33">
            <v>576167588.05999994</v>
          </cell>
        </row>
        <row r="37">
          <cell r="F37">
            <v>22406251154</v>
          </cell>
        </row>
        <row r="39">
          <cell r="F39">
            <v>2694800000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RESUMEN 2024"/>
    </sheetNames>
    <sheetDataSet>
      <sheetData sheetId="0"/>
      <sheetData sheetId="1">
        <row r="4">
          <cell r="D4">
            <v>11143805251.200001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668D4-D530-49D3-80A3-D484B94E52A5}">
  <dimension ref="A1:L85"/>
  <sheetViews>
    <sheetView topLeftCell="B1" zoomScale="160" zoomScaleNormal="160" workbookViewId="0">
      <selection activeCell="D4" sqref="D4"/>
    </sheetView>
  </sheetViews>
  <sheetFormatPr baseColWidth="10" defaultRowHeight="9.6" x14ac:dyDescent="0.2"/>
  <cols>
    <col min="1" max="1" width="16.44140625" style="9" hidden="1" customWidth="1"/>
    <col min="2" max="2" width="23.33203125" style="55" customWidth="1"/>
    <col min="3" max="5" width="12.33203125" style="9" customWidth="1"/>
    <col min="6" max="7" width="12.5546875" style="9" customWidth="1"/>
    <col min="8" max="8" width="11.6640625" style="9" bestFit="1" customWidth="1"/>
    <col min="9" max="12" width="12.5546875" style="9" bestFit="1" customWidth="1"/>
    <col min="13" max="256" width="11.44140625" style="9"/>
    <col min="257" max="257" width="0" style="9" hidden="1" customWidth="1"/>
    <col min="258" max="258" width="31.5546875" style="9" customWidth="1"/>
    <col min="259" max="259" width="14.6640625" style="9" customWidth="1"/>
    <col min="260" max="512" width="11.44140625" style="9"/>
    <col min="513" max="513" width="0" style="9" hidden="1" customWidth="1"/>
    <col min="514" max="514" width="31.5546875" style="9" customWidth="1"/>
    <col min="515" max="515" width="14.6640625" style="9" customWidth="1"/>
    <col min="516" max="768" width="11.44140625" style="9"/>
    <col min="769" max="769" width="0" style="9" hidden="1" customWidth="1"/>
    <col min="770" max="770" width="31.5546875" style="9" customWidth="1"/>
    <col min="771" max="771" width="14.6640625" style="9" customWidth="1"/>
    <col min="772" max="1024" width="11.44140625" style="9"/>
    <col min="1025" max="1025" width="0" style="9" hidden="1" customWidth="1"/>
    <col min="1026" max="1026" width="31.5546875" style="9" customWidth="1"/>
    <col min="1027" max="1027" width="14.6640625" style="9" customWidth="1"/>
    <col min="1028" max="1280" width="11.44140625" style="9"/>
    <col min="1281" max="1281" width="0" style="9" hidden="1" customWidth="1"/>
    <col min="1282" max="1282" width="31.5546875" style="9" customWidth="1"/>
    <col min="1283" max="1283" width="14.6640625" style="9" customWidth="1"/>
    <col min="1284" max="1536" width="11.44140625" style="9"/>
    <col min="1537" max="1537" width="0" style="9" hidden="1" customWidth="1"/>
    <col min="1538" max="1538" width="31.5546875" style="9" customWidth="1"/>
    <col min="1539" max="1539" width="14.6640625" style="9" customWidth="1"/>
    <col min="1540" max="1792" width="11.44140625" style="9"/>
    <col min="1793" max="1793" width="0" style="9" hidden="1" customWidth="1"/>
    <col min="1794" max="1794" width="31.5546875" style="9" customWidth="1"/>
    <col min="1795" max="1795" width="14.6640625" style="9" customWidth="1"/>
    <col min="1796" max="2048" width="11.44140625" style="9"/>
    <col min="2049" max="2049" width="0" style="9" hidden="1" customWidth="1"/>
    <col min="2050" max="2050" width="31.5546875" style="9" customWidth="1"/>
    <col min="2051" max="2051" width="14.6640625" style="9" customWidth="1"/>
    <col min="2052" max="2304" width="11.44140625" style="9"/>
    <col min="2305" max="2305" width="0" style="9" hidden="1" customWidth="1"/>
    <col min="2306" max="2306" width="31.5546875" style="9" customWidth="1"/>
    <col min="2307" max="2307" width="14.6640625" style="9" customWidth="1"/>
    <col min="2308" max="2560" width="11.44140625" style="9"/>
    <col min="2561" max="2561" width="0" style="9" hidden="1" customWidth="1"/>
    <col min="2562" max="2562" width="31.5546875" style="9" customWidth="1"/>
    <col min="2563" max="2563" width="14.6640625" style="9" customWidth="1"/>
    <col min="2564" max="2816" width="11.44140625" style="9"/>
    <col min="2817" max="2817" width="0" style="9" hidden="1" customWidth="1"/>
    <col min="2818" max="2818" width="31.5546875" style="9" customWidth="1"/>
    <col min="2819" max="2819" width="14.6640625" style="9" customWidth="1"/>
    <col min="2820" max="3072" width="11.44140625" style="9"/>
    <col min="3073" max="3073" width="0" style="9" hidden="1" customWidth="1"/>
    <col min="3074" max="3074" width="31.5546875" style="9" customWidth="1"/>
    <col min="3075" max="3075" width="14.6640625" style="9" customWidth="1"/>
    <col min="3076" max="3328" width="11.44140625" style="9"/>
    <col min="3329" max="3329" width="0" style="9" hidden="1" customWidth="1"/>
    <col min="3330" max="3330" width="31.5546875" style="9" customWidth="1"/>
    <col min="3331" max="3331" width="14.6640625" style="9" customWidth="1"/>
    <col min="3332" max="3584" width="11.44140625" style="9"/>
    <col min="3585" max="3585" width="0" style="9" hidden="1" customWidth="1"/>
    <col min="3586" max="3586" width="31.5546875" style="9" customWidth="1"/>
    <col min="3587" max="3587" width="14.6640625" style="9" customWidth="1"/>
    <col min="3588" max="3840" width="11.44140625" style="9"/>
    <col min="3841" max="3841" width="0" style="9" hidden="1" customWidth="1"/>
    <col min="3842" max="3842" width="31.5546875" style="9" customWidth="1"/>
    <col min="3843" max="3843" width="14.6640625" style="9" customWidth="1"/>
    <col min="3844" max="4096" width="11.44140625" style="9"/>
    <col min="4097" max="4097" width="0" style="9" hidden="1" customWidth="1"/>
    <col min="4098" max="4098" width="31.5546875" style="9" customWidth="1"/>
    <col min="4099" max="4099" width="14.6640625" style="9" customWidth="1"/>
    <col min="4100" max="4352" width="11.44140625" style="9"/>
    <col min="4353" max="4353" width="0" style="9" hidden="1" customWidth="1"/>
    <col min="4354" max="4354" width="31.5546875" style="9" customWidth="1"/>
    <col min="4355" max="4355" width="14.6640625" style="9" customWidth="1"/>
    <col min="4356" max="4608" width="11.44140625" style="9"/>
    <col min="4609" max="4609" width="0" style="9" hidden="1" customWidth="1"/>
    <col min="4610" max="4610" width="31.5546875" style="9" customWidth="1"/>
    <col min="4611" max="4611" width="14.6640625" style="9" customWidth="1"/>
    <col min="4612" max="4864" width="11.44140625" style="9"/>
    <col min="4865" max="4865" width="0" style="9" hidden="1" customWidth="1"/>
    <col min="4866" max="4866" width="31.5546875" style="9" customWidth="1"/>
    <col min="4867" max="4867" width="14.6640625" style="9" customWidth="1"/>
    <col min="4868" max="5120" width="11.44140625" style="9"/>
    <col min="5121" max="5121" width="0" style="9" hidden="1" customWidth="1"/>
    <col min="5122" max="5122" width="31.5546875" style="9" customWidth="1"/>
    <col min="5123" max="5123" width="14.6640625" style="9" customWidth="1"/>
    <col min="5124" max="5376" width="11.44140625" style="9"/>
    <col min="5377" max="5377" width="0" style="9" hidden="1" customWidth="1"/>
    <col min="5378" max="5378" width="31.5546875" style="9" customWidth="1"/>
    <col min="5379" max="5379" width="14.6640625" style="9" customWidth="1"/>
    <col min="5380" max="5632" width="11.44140625" style="9"/>
    <col min="5633" max="5633" width="0" style="9" hidden="1" customWidth="1"/>
    <col min="5634" max="5634" width="31.5546875" style="9" customWidth="1"/>
    <col min="5635" max="5635" width="14.6640625" style="9" customWidth="1"/>
    <col min="5636" max="5888" width="11.44140625" style="9"/>
    <col min="5889" max="5889" width="0" style="9" hidden="1" customWidth="1"/>
    <col min="5890" max="5890" width="31.5546875" style="9" customWidth="1"/>
    <col min="5891" max="5891" width="14.6640625" style="9" customWidth="1"/>
    <col min="5892" max="6144" width="11.44140625" style="9"/>
    <col min="6145" max="6145" width="0" style="9" hidden="1" customWidth="1"/>
    <col min="6146" max="6146" width="31.5546875" style="9" customWidth="1"/>
    <col min="6147" max="6147" width="14.6640625" style="9" customWidth="1"/>
    <col min="6148" max="6400" width="11.44140625" style="9"/>
    <col min="6401" max="6401" width="0" style="9" hidden="1" customWidth="1"/>
    <col min="6402" max="6402" width="31.5546875" style="9" customWidth="1"/>
    <col min="6403" max="6403" width="14.6640625" style="9" customWidth="1"/>
    <col min="6404" max="6656" width="11.44140625" style="9"/>
    <col min="6657" max="6657" width="0" style="9" hidden="1" customWidth="1"/>
    <col min="6658" max="6658" width="31.5546875" style="9" customWidth="1"/>
    <col min="6659" max="6659" width="14.6640625" style="9" customWidth="1"/>
    <col min="6660" max="6912" width="11.44140625" style="9"/>
    <col min="6913" max="6913" width="0" style="9" hidden="1" customWidth="1"/>
    <col min="6914" max="6914" width="31.5546875" style="9" customWidth="1"/>
    <col min="6915" max="6915" width="14.6640625" style="9" customWidth="1"/>
    <col min="6916" max="7168" width="11.44140625" style="9"/>
    <col min="7169" max="7169" width="0" style="9" hidden="1" customWidth="1"/>
    <col min="7170" max="7170" width="31.5546875" style="9" customWidth="1"/>
    <col min="7171" max="7171" width="14.6640625" style="9" customWidth="1"/>
    <col min="7172" max="7424" width="11.44140625" style="9"/>
    <col min="7425" max="7425" width="0" style="9" hidden="1" customWidth="1"/>
    <col min="7426" max="7426" width="31.5546875" style="9" customWidth="1"/>
    <col min="7427" max="7427" width="14.6640625" style="9" customWidth="1"/>
    <col min="7428" max="7680" width="11.44140625" style="9"/>
    <col min="7681" max="7681" width="0" style="9" hidden="1" customWidth="1"/>
    <col min="7682" max="7682" width="31.5546875" style="9" customWidth="1"/>
    <col min="7683" max="7683" width="14.6640625" style="9" customWidth="1"/>
    <col min="7684" max="7936" width="11.44140625" style="9"/>
    <col min="7937" max="7937" width="0" style="9" hidden="1" customWidth="1"/>
    <col min="7938" max="7938" width="31.5546875" style="9" customWidth="1"/>
    <col min="7939" max="7939" width="14.6640625" style="9" customWidth="1"/>
    <col min="7940" max="8192" width="11.44140625" style="9"/>
    <col min="8193" max="8193" width="0" style="9" hidden="1" customWidth="1"/>
    <col min="8194" max="8194" width="31.5546875" style="9" customWidth="1"/>
    <col min="8195" max="8195" width="14.6640625" style="9" customWidth="1"/>
    <col min="8196" max="8448" width="11.44140625" style="9"/>
    <col min="8449" max="8449" width="0" style="9" hidden="1" customWidth="1"/>
    <col min="8450" max="8450" width="31.5546875" style="9" customWidth="1"/>
    <col min="8451" max="8451" width="14.6640625" style="9" customWidth="1"/>
    <col min="8452" max="8704" width="11.44140625" style="9"/>
    <col min="8705" max="8705" width="0" style="9" hidden="1" customWidth="1"/>
    <col min="8706" max="8706" width="31.5546875" style="9" customWidth="1"/>
    <col min="8707" max="8707" width="14.6640625" style="9" customWidth="1"/>
    <col min="8708" max="8960" width="11.44140625" style="9"/>
    <col min="8961" max="8961" width="0" style="9" hidden="1" customWidth="1"/>
    <col min="8962" max="8962" width="31.5546875" style="9" customWidth="1"/>
    <col min="8963" max="8963" width="14.6640625" style="9" customWidth="1"/>
    <col min="8964" max="9216" width="11.44140625" style="9"/>
    <col min="9217" max="9217" width="0" style="9" hidden="1" customWidth="1"/>
    <col min="9218" max="9218" width="31.5546875" style="9" customWidth="1"/>
    <col min="9219" max="9219" width="14.6640625" style="9" customWidth="1"/>
    <col min="9220" max="9472" width="11.44140625" style="9"/>
    <col min="9473" max="9473" width="0" style="9" hidden="1" customWidth="1"/>
    <col min="9474" max="9474" width="31.5546875" style="9" customWidth="1"/>
    <col min="9475" max="9475" width="14.6640625" style="9" customWidth="1"/>
    <col min="9476" max="9728" width="11.44140625" style="9"/>
    <col min="9729" max="9729" width="0" style="9" hidden="1" customWidth="1"/>
    <col min="9730" max="9730" width="31.5546875" style="9" customWidth="1"/>
    <col min="9731" max="9731" width="14.6640625" style="9" customWidth="1"/>
    <col min="9732" max="9984" width="11.44140625" style="9"/>
    <col min="9985" max="9985" width="0" style="9" hidden="1" customWidth="1"/>
    <col min="9986" max="9986" width="31.5546875" style="9" customWidth="1"/>
    <col min="9987" max="9987" width="14.6640625" style="9" customWidth="1"/>
    <col min="9988" max="10240" width="11.44140625" style="9"/>
    <col min="10241" max="10241" width="0" style="9" hidden="1" customWidth="1"/>
    <col min="10242" max="10242" width="31.5546875" style="9" customWidth="1"/>
    <col min="10243" max="10243" width="14.6640625" style="9" customWidth="1"/>
    <col min="10244" max="10496" width="11.44140625" style="9"/>
    <col min="10497" max="10497" width="0" style="9" hidden="1" customWidth="1"/>
    <col min="10498" max="10498" width="31.5546875" style="9" customWidth="1"/>
    <col min="10499" max="10499" width="14.6640625" style="9" customWidth="1"/>
    <col min="10500" max="10752" width="11.44140625" style="9"/>
    <col min="10753" max="10753" width="0" style="9" hidden="1" customWidth="1"/>
    <col min="10754" max="10754" width="31.5546875" style="9" customWidth="1"/>
    <col min="10755" max="10755" width="14.6640625" style="9" customWidth="1"/>
    <col min="10756" max="11008" width="11.44140625" style="9"/>
    <col min="11009" max="11009" width="0" style="9" hidden="1" customWidth="1"/>
    <col min="11010" max="11010" width="31.5546875" style="9" customWidth="1"/>
    <col min="11011" max="11011" width="14.6640625" style="9" customWidth="1"/>
    <col min="11012" max="11264" width="11.44140625" style="9"/>
    <col min="11265" max="11265" width="0" style="9" hidden="1" customWidth="1"/>
    <col min="11266" max="11266" width="31.5546875" style="9" customWidth="1"/>
    <col min="11267" max="11267" width="14.6640625" style="9" customWidth="1"/>
    <col min="11268" max="11520" width="11.44140625" style="9"/>
    <col min="11521" max="11521" width="0" style="9" hidden="1" customWidth="1"/>
    <col min="11522" max="11522" width="31.5546875" style="9" customWidth="1"/>
    <col min="11523" max="11523" width="14.6640625" style="9" customWidth="1"/>
    <col min="11524" max="11776" width="11.44140625" style="9"/>
    <col min="11777" max="11777" width="0" style="9" hidden="1" customWidth="1"/>
    <col min="11778" max="11778" width="31.5546875" style="9" customWidth="1"/>
    <col min="11779" max="11779" width="14.6640625" style="9" customWidth="1"/>
    <col min="11780" max="12032" width="11.44140625" style="9"/>
    <col min="12033" max="12033" width="0" style="9" hidden="1" customWidth="1"/>
    <col min="12034" max="12034" width="31.5546875" style="9" customWidth="1"/>
    <col min="12035" max="12035" width="14.6640625" style="9" customWidth="1"/>
    <col min="12036" max="12288" width="11.44140625" style="9"/>
    <col min="12289" max="12289" width="0" style="9" hidden="1" customWidth="1"/>
    <col min="12290" max="12290" width="31.5546875" style="9" customWidth="1"/>
    <col min="12291" max="12291" width="14.6640625" style="9" customWidth="1"/>
    <col min="12292" max="12544" width="11.44140625" style="9"/>
    <col min="12545" max="12545" width="0" style="9" hidden="1" customWidth="1"/>
    <col min="12546" max="12546" width="31.5546875" style="9" customWidth="1"/>
    <col min="12547" max="12547" width="14.6640625" style="9" customWidth="1"/>
    <col min="12548" max="12800" width="11.44140625" style="9"/>
    <col min="12801" max="12801" width="0" style="9" hidden="1" customWidth="1"/>
    <col min="12802" max="12802" width="31.5546875" style="9" customWidth="1"/>
    <col min="12803" max="12803" width="14.6640625" style="9" customWidth="1"/>
    <col min="12804" max="13056" width="11.44140625" style="9"/>
    <col min="13057" max="13057" width="0" style="9" hidden="1" customWidth="1"/>
    <col min="13058" max="13058" width="31.5546875" style="9" customWidth="1"/>
    <col min="13059" max="13059" width="14.6640625" style="9" customWidth="1"/>
    <col min="13060" max="13312" width="11.44140625" style="9"/>
    <col min="13313" max="13313" width="0" style="9" hidden="1" customWidth="1"/>
    <col min="13314" max="13314" width="31.5546875" style="9" customWidth="1"/>
    <col min="13315" max="13315" width="14.6640625" style="9" customWidth="1"/>
    <col min="13316" max="13568" width="11.44140625" style="9"/>
    <col min="13569" max="13569" width="0" style="9" hidden="1" customWidth="1"/>
    <col min="13570" max="13570" width="31.5546875" style="9" customWidth="1"/>
    <col min="13571" max="13571" width="14.6640625" style="9" customWidth="1"/>
    <col min="13572" max="13824" width="11.44140625" style="9"/>
    <col min="13825" max="13825" width="0" style="9" hidden="1" customWidth="1"/>
    <col min="13826" max="13826" width="31.5546875" style="9" customWidth="1"/>
    <col min="13827" max="13827" width="14.6640625" style="9" customWidth="1"/>
    <col min="13828" max="14080" width="11.44140625" style="9"/>
    <col min="14081" max="14081" width="0" style="9" hidden="1" customWidth="1"/>
    <col min="14082" max="14082" width="31.5546875" style="9" customWidth="1"/>
    <col min="14083" max="14083" width="14.6640625" style="9" customWidth="1"/>
    <col min="14084" max="14336" width="11.44140625" style="9"/>
    <col min="14337" max="14337" width="0" style="9" hidden="1" customWidth="1"/>
    <col min="14338" max="14338" width="31.5546875" style="9" customWidth="1"/>
    <col min="14339" max="14339" width="14.6640625" style="9" customWidth="1"/>
    <col min="14340" max="14592" width="11.44140625" style="9"/>
    <col min="14593" max="14593" width="0" style="9" hidden="1" customWidth="1"/>
    <col min="14594" max="14594" width="31.5546875" style="9" customWidth="1"/>
    <col min="14595" max="14595" width="14.6640625" style="9" customWidth="1"/>
    <col min="14596" max="14848" width="11.44140625" style="9"/>
    <col min="14849" max="14849" width="0" style="9" hidden="1" customWidth="1"/>
    <col min="14850" max="14850" width="31.5546875" style="9" customWidth="1"/>
    <col min="14851" max="14851" width="14.6640625" style="9" customWidth="1"/>
    <col min="14852" max="15104" width="11.44140625" style="9"/>
    <col min="15105" max="15105" width="0" style="9" hidden="1" customWidth="1"/>
    <col min="15106" max="15106" width="31.5546875" style="9" customWidth="1"/>
    <col min="15107" max="15107" width="14.6640625" style="9" customWidth="1"/>
    <col min="15108" max="15360" width="11.44140625" style="9"/>
    <col min="15361" max="15361" width="0" style="9" hidden="1" customWidth="1"/>
    <col min="15362" max="15362" width="31.5546875" style="9" customWidth="1"/>
    <col min="15363" max="15363" width="14.6640625" style="9" customWidth="1"/>
    <col min="15364" max="15616" width="11.44140625" style="9"/>
    <col min="15617" max="15617" width="0" style="9" hidden="1" customWidth="1"/>
    <col min="15618" max="15618" width="31.5546875" style="9" customWidth="1"/>
    <col min="15619" max="15619" width="14.6640625" style="9" customWidth="1"/>
    <col min="15620" max="15872" width="11.44140625" style="9"/>
    <col min="15873" max="15873" width="0" style="9" hidden="1" customWidth="1"/>
    <col min="15874" max="15874" width="31.5546875" style="9" customWidth="1"/>
    <col min="15875" max="15875" width="14.6640625" style="9" customWidth="1"/>
    <col min="15876" max="16128" width="11.44140625" style="9"/>
    <col min="16129" max="16129" width="0" style="9" hidden="1" customWidth="1"/>
    <col min="16130" max="16130" width="31.5546875" style="9" customWidth="1"/>
    <col min="16131" max="16131" width="14.6640625" style="9" customWidth="1"/>
    <col min="16132" max="16384" width="11.44140625" style="9"/>
  </cols>
  <sheetData>
    <row r="1" spans="1:12" s="4" customFormat="1" x14ac:dyDescent="0.2">
      <c r="A1" s="1" t="s">
        <v>0</v>
      </c>
      <c r="B1" s="2" t="s">
        <v>1</v>
      </c>
      <c r="C1" s="3">
        <v>2022</v>
      </c>
      <c r="D1" s="1">
        <v>2023</v>
      </c>
      <c r="E1" s="1">
        <v>2024</v>
      </c>
      <c r="F1" s="3">
        <v>2025</v>
      </c>
      <c r="G1" s="1">
        <v>2026</v>
      </c>
      <c r="H1" s="1">
        <v>2027</v>
      </c>
      <c r="I1" s="3">
        <v>2028</v>
      </c>
      <c r="J1" s="1">
        <v>2029</v>
      </c>
      <c r="K1" s="1">
        <v>2030</v>
      </c>
      <c r="L1" s="3">
        <v>2031</v>
      </c>
    </row>
    <row r="2" spans="1:12" x14ac:dyDescent="0.2">
      <c r="A2" s="5" t="s">
        <v>2</v>
      </c>
      <c r="B2" s="6" t="s">
        <v>3</v>
      </c>
      <c r="C2" s="7">
        <f t="shared" ref="C2:L2" si="0">+C3+C56</f>
        <v>142153777488.20001</v>
      </c>
      <c r="D2" s="8">
        <f t="shared" si="0"/>
        <v>132198745756.54039</v>
      </c>
      <c r="E2" s="8">
        <f t="shared" si="0"/>
        <v>147653025250.54422</v>
      </c>
      <c r="F2" s="8">
        <f t="shared" si="0"/>
        <v>164587758362.74216</v>
      </c>
      <c r="G2" s="8">
        <f t="shared" si="0"/>
        <v>177957922058.79016</v>
      </c>
      <c r="H2" s="8">
        <f t="shared" si="0"/>
        <v>189120636596.70557</v>
      </c>
      <c r="I2" s="8">
        <f t="shared" si="0"/>
        <v>200241159874.63086</v>
      </c>
      <c r="J2" s="8">
        <f t="shared" si="0"/>
        <v>211795393762.06067</v>
      </c>
      <c r="K2" s="8">
        <f t="shared" si="0"/>
        <v>224001640731.11005</v>
      </c>
      <c r="L2" s="8">
        <f t="shared" si="0"/>
        <v>237178110802.33185</v>
      </c>
    </row>
    <row r="3" spans="1:12" s="13" customFormat="1" x14ac:dyDescent="0.2">
      <c r="A3" s="10" t="s">
        <v>4</v>
      </c>
      <c r="B3" s="10" t="s">
        <v>5</v>
      </c>
      <c r="C3" s="11">
        <f>C4+C9</f>
        <v>132541201836.74001</v>
      </c>
      <c r="D3" s="12">
        <f t="shared" ref="D3:L3" si="1">D4+D9</f>
        <v>131864191015.90579</v>
      </c>
      <c r="E3" s="12">
        <f t="shared" si="1"/>
        <v>147315124962.50327</v>
      </c>
      <c r="F3" s="12">
        <f t="shared" si="1"/>
        <v>164246479071.8208</v>
      </c>
      <c r="G3" s="12">
        <f t="shared" si="1"/>
        <v>177613229974.95959</v>
      </c>
      <c r="H3" s="12">
        <f t="shared" si="1"/>
        <v>188772497592.03668</v>
      </c>
      <c r="I3" s="12">
        <f t="shared" si="1"/>
        <v>199889539479.91528</v>
      </c>
      <c r="J3" s="12">
        <f t="shared" si="1"/>
        <v>211440257163.39795</v>
      </c>
      <c r="K3" s="12">
        <f t="shared" si="1"/>
        <v>223642952766.46069</v>
      </c>
      <c r="L3" s="12">
        <f t="shared" si="1"/>
        <v>236815835958.03601</v>
      </c>
    </row>
    <row r="4" spans="1:12" x14ac:dyDescent="0.2">
      <c r="A4" s="14" t="s">
        <v>6</v>
      </c>
      <c r="B4" s="15" t="s">
        <v>7</v>
      </c>
      <c r="C4" s="16">
        <f>+C5</f>
        <v>13835398747.27</v>
      </c>
      <c r="D4" s="17">
        <f t="shared" ref="D4:L5" si="2">+D5</f>
        <v>14450902970.133501</v>
      </c>
      <c r="E4" s="17">
        <f t="shared" si="2"/>
        <v>15094894432.705177</v>
      </c>
      <c r="F4" s="17">
        <f t="shared" si="2"/>
        <v>15768728857.827387</v>
      </c>
      <c r="G4" s="17">
        <f t="shared" si="2"/>
        <v>16473827695.310314</v>
      </c>
      <c r="H4" s="17">
        <f t="shared" si="2"/>
        <v>17211681346.505135</v>
      </c>
      <c r="I4" s="17">
        <f t="shared" si="2"/>
        <v>17983852548.252579</v>
      </c>
      <c r="J4" s="17">
        <f t="shared" si="2"/>
        <v>18791979924.120056</v>
      </c>
      <c r="K4" s="17">
        <f t="shared" si="2"/>
        <v>19637781711.234558</v>
      </c>
      <c r="L4" s="17">
        <f t="shared" si="2"/>
        <v>20523059671.432034</v>
      </c>
    </row>
    <row r="5" spans="1:12" s="13" customFormat="1" x14ac:dyDescent="0.2">
      <c r="A5" s="18" t="s">
        <v>8</v>
      </c>
      <c r="B5" s="10" t="s">
        <v>9</v>
      </c>
      <c r="C5" s="11">
        <f>+C6</f>
        <v>13835398747.27</v>
      </c>
      <c r="D5" s="12">
        <f t="shared" si="2"/>
        <v>14450902970.133501</v>
      </c>
      <c r="E5" s="12">
        <f t="shared" si="2"/>
        <v>15094894432.705177</v>
      </c>
      <c r="F5" s="12">
        <f t="shared" si="2"/>
        <v>15768728857.827387</v>
      </c>
      <c r="G5" s="12">
        <f t="shared" si="2"/>
        <v>16473827695.310314</v>
      </c>
      <c r="H5" s="12">
        <f t="shared" si="2"/>
        <v>17211681346.505135</v>
      </c>
      <c r="I5" s="12">
        <f t="shared" si="2"/>
        <v>17983852548.252579</v>
      </c>
      <c r="J5" s="12">
        <f t="shared" si="2"/>
        <v>18791979924.120056</v>
      </c>
      <c r="K5" s="12">
        <f t="shared" si="2"/>
        <v>19637781711.234558</v>
      </c>
      <c r="L5" s="12">
        <f t="shared" si="2"/>
        <v>20523059671.432034</v>
      </c>
    </row>
    <row r="6" spans="1:12" x14ac:dyDescent="0.2">
      <c r="A6" s="19" t="s">
        <v>10</v>
      </c>
      <c r="B6" s="15" t="s">
        <v>11</v>
      </c>
      <c r="C6" s="16">
        <f>+C7+C8</f>
        <v>13835398747.27</v>
      </c>
      <c r="D6" s="17">
        <f t="shared" ref="D6:L6" si="3">+D7+D8</f>
        <v>14450902970.133501</v>
      </c>
      <c r="E6" s="17">
        <f t="shared" si="3"/>
        <v>15094894432.705177</v>
      </c>
      <c r="F6" s="17">
        <f t="shared" si="3"/>
        <v>15768728857.827387</v>
      </c>
      <c r="G6" s="17">
        <f t="shared" si="3"/>
        <v>16473827695.310314</v>
      </c>
      <c r="H6" s="17">
        <f t="shared" si="3"/>
        <v>17211681346.505135</v>
      </c>
      <c r="I6" s="17">
        <f t="shared" si="3"/>
        <v>17983852548.252579</v>
      </c>
      <c r="J6" s="17">
        <f t="shared" si="3"/>
        <v>18791979924.120056</v>
      </c>
      <c r="K6" s="17">
        <f t="shared" si="3"/>
        <v>19637781711.234558</v>
      </c>
      <c r="L6" s="17">
        <f t="shared" si="3"/>
        <v>20523059671.432034</v>
      </c>
    </row>
    <row r="7" spans="1:12" s="13" customFormat="1" x14ac:dyDescent="0.2">
      <c r="A7" s="20" t="s">
        <v>12</v>
      </c>
      <c r="B7" s="10" t="s">
        <v>13</v>
      </c>
      <c r="C7" s="11">
        <v>10022113022.27</v>
      </c>
      <c r="D7" s="21">
        <f>+C7*1.05</f>
        <v>10523218673.383501</v>
      </c>
      <c r="E7" s="21">
        <f t="shared" ref="E7:L7" si="4">+D7*1.05</f>
        <v>11049379607.052677</v>
      </c>
      <c r="F7" s="21">
        <f t="shared" si="4"/>
        <v>11601848587.405312</v>
      </c>
      <c r="G7" s="21">
        <f t="shared" si="4"/>
        <v>12181941016.775578</v>
      </c>
      <c r="H7" s="21">
        <f t="shared" si="4"/>
        <v>12791038067.614357</v>
      </c>
      <c r="I7" s="21">
        <f t="shared" si="4"/>
        <v>13430589970.995075</v>
      </c>
      <c r="J7" s="21">
        <f t="shared" si="4"/>
        <v>14102119469.54483</v>
      </c>
      <c r="K7" s="21">
        <f t="shared" si="4"/>
        <v>14807225443.022072</v>
      </c>
      <c r="L7" s="21">
        <f t="shared" si="4"/>
        <v>15547586715.173176</v>
      </c>
    </row>
    <row r="8" spans="1:12" x14ac:dyDescent="0.2">
      <c r="A8" s="22" t="s">
        <v>14</v>
      </c>
      <c r="B8" s="23" t="s">
        <v>15</v>
      </c>
      <c r="C8" s="16">
        <v>3813285725</v>
      </c>
      <c r="D8" s="24">
        <f>+C8*1.03</f>
        <v>3927684296.75</v>
      </c>
      <c r="E8" s="24">
        <f t="shared" ref="E8:L8" si="5">+D8*1.03</f>
        <v>4045514825.6525002</v>
      </c>
      <c r="F8" s="24">
        <f t="shared" si="5"/>
        <v>4166880270.4220753</v>
      </c>
      <c r="G8" s="24">
        <f t="shared" si="5"/>
        <v>4291886678.5347376</v>
      </c>
      <c r="H8" s="24">
        <f t="shared" si="5"/>
        <v>4420643278.8907795</v>
      </c>
      <c r="I8" s="24">
        <f t="shared" si="5"/>
        <v>4553262577.2575026</v>
      </c>
      <c r="J8" s="24">
        <f t="shared" si="5"/>
        <v>4689860454.5752277</v>
      </c>
      <c r="K8" s="24">
        <f t="shared" si="5"/>
        <v>4830556268.2124844</v>
      </c>
      <c r="L8" s="24">
        <f t="shared" si="5"/>
        <v>4975472956.2588587</v>
      </c>
    </row>
    <row r="9" spans="1:12" s="13" customFormat="1" x14ac:dyDescent="0.2">
      <c r="A9" s="20" t="s">
        <v>16</v>
      </c>
      <c r="B9" s="10" t="s">
        <v>17</v>
      </c>
      <c r="C9" s="11">
        <f t="shared" ref="C9:L9" si="6">+C10+C26+C45+C50</f>
        <v>118705803089.47</v>
      </c>
      <c r="D9" s="12">
        <f t="shared" si="6"/>
        <v>117413288045.77229</v>
      </c>
      <c r="E9" s="12">
        <f t="shared" si="6"/>
        <v>132220230529.7981</v>
      </c>
      <c r="F9" s="12">
        <f t="shared" si="6"/>
        <v>148477750213.99341</v>
      </c>
      <c r="G9" s="12">
        <f t="shared" si="6"/>
        <v>161139402279.64929</v>
      </c>
      <c r="H9" s="12">
        <f t="shared" si="6"/>
        <v>171560816245.53156</v>
      </c>
      <c r="I9" s="12">
        <f t="shared" si="6"/>
        <v>181905686931.66272</v>
      </c>
      <c r="J9" s="12">
        <f t="shared" si="6"/>
        <v>192648277239.27789</v>
      </c>
      <c r="K9" s="12">
        <f t="shared" si="6"/>
        <v>204005171055.22614</v>
      </c>
      <c r="L9" s="12">
        <f t="shared" si="6"/>
        <v>216292776286.60397</v>
      </c>
    </row>
    <row r="10" spans="1:12" x14ac:dyDescent="0.2">
      <c r="A10" s="25" t="s">
        <v>18</v>
      </c>
      <c r="B10" s="15" t="s">
        <v>19</v>
      </c>
      <c r="C10" s="16">
        <f>+C11</f>
        <v>15428783423.73</v>
      </c>
      <c r="D10" s="17">
        <f t="shared" ref="D10:L11" si="7">+D11</f>
        <v>15891088293.5709</v>
      </c>
      <c r="E10" s="17">
        <f t="shared" si="7"/>
        <v>16367256723.178316</v>
      </c>
      <c r="F10" s="17">
        <f t="shared" si="7"/>
        <v>16857704563.481958</v>
      </c>
      <c r="G10" s="17">
        <f t="shared" si="7"/>
        <v>17362860140.380795</v>
      </c>
      <c r="H10" s="17">
        <f t="shared" si="7"/>
        <v>17883164628.986534</v>
      </c>
      <c r="I10" s="17">
        <f t="shared" si="7"/>
        <v>18419072439.094395</v>
      </c>
      <c r="J10" s="17">
        <f t="shared" si="7"/>
        <v>18971051612.217876</v>
      </c>
      <c r="K10" s="17">
        <f t="shared" si="7"/>
        <v>19539584230.534561</v>
      </c>
      <c r="L10" s="17">
        <f t="shared" si="7"/>
        <v>20125166838.100254</v>
      </c>
    </row>
    <row r="11" spans="1:12" s="13" customFormat="1" ht="12.75" customHeight="1" x14ac:dyDescent="0.2">
      <c r="A11" s="10" t="s">
        <v>20</v>
      </c>
      <c r="B11" s="10" t="s">
        <v>21</v>
      </c>
      <c r="C11" s="11">
        <f>+C12</f>
        <v>15428783423.73</v>
      </c>
      <c r="D11" s="12">
        <f t="shared" si="7"/>
        <v>15891088293.5709</v>
      </c>
      <c r="E11" s="12">
        <f t="shared" si="7"/>
        <v>16367256723.178316</v>
      </c>
      <c r="F11" s="12">
        <f t="shared" si="7"/>
        <v>16857704563.481958</v>
      </c>
      <c r="G11" s="12">
        <f t="shared" si="7"/>
        <v>17362860140.380795</v>
      </c>
      <c r="H11" s="12">
        <f t="shared" si="7"/>
        <v>17883164628.986534</v>
      </c>
      <c r="I11" s="12">
        <f t="shared" si="7"/>
        <v>18419072439.094395</v>
      </c>
      <c r="J11" s="12">
        <f t="shared" si="7"/>
        <v>18971051612.217876</v>
      </c>
      <c r="K11" s="12">
        <f t="shared" si="7"/>
        <v>19539584230.534561</v>
      </c>
      <c r="L11" s="12">
        <f t="shared" si="7"/>
        <v>20125166838.100254</v>
      </c>
    </row>
    <row r="12" spans="1:12" x14ac:dyDescent="0.2">
      <c r="A12" s="26" t="s">
        <v>22</v>
      </c>
      <c r="B12" s="15" t="s">
        <v>23</v>
      </c>
      <c r="C12" s="16">
        <f>+C13+C22</f>
        <v>15428783423.73</v>
      </c>
      <c r="D12" s="17">
        <f t="shared" ref="D12:L12" si="8">+D13+D22</f>
        <v>15891088293.5709</v>
      </c>
      <c r="E12" s="17">
        <f t="shared" si="8"/>
        <v>16367256723.178316</v>
      </c>
      <c r="F12" s="17">
        <f t="shared" si="8"/>
        <v>16857704563.481958</v>
      </c>
      <c r="G12" s="17">
        <f t="shared" si="8"/>
        <v>17362860140.380795</v>
      </c>
      <c r="H12" s="17">
        <f t="shared" si="8"/>
        <v>17883164628.986534</v>
      </c>
      <c r="I12" s="17">
        <f t="shared" si="8"/>
        <v>18419072439.094395</v>
      </c>
      <c r="J12" s="17">
        <f t="shared" si="8"/>
        <v>18971051612.217876</v>
      </c>
      <c r="K12" s="17">
        <f t="shared" si="8"/>
        <v>19539584230.534561</v>
      </c>
      <c r="L12" s="17">
        <f t="shared" si="8"/>
        <v>20125166838.100254</v>
      </c>
    </row>
    <row r="13" spans="1:12" s="13" customFormat="1" x14ac:dyDescent="0.2">
      <c r="A13" s="28" t="s">
        <v>24</v>
      </c>
      <c r="B13" s="10" t="s">
        <v>25</v>
      </c>
      <c r="C13" s="11">
        <f>+C14+C19</f>
        <v>15325004767.42</v>
      </c>
      <c r="D13" s="12">
        <f t="shared" ref="D13:L13" si="9">+D14+D19</f>
        <v>15784754910.4426</v>
      </c>
      <c r="E13" s="12">
        <f t="shared" si="9"/>
        <v>16258297557.755877</v>
      </c>
      <c r="F13" s="12">
        <f t="shared" si="9"/>
        <v>16746046484.488554</v>
      </c>
      <c r="G13" s="12">
        <f t="shared" si="9"/>
        <v>17248427879.023212</v>
      </c>
      <c r="H13" s="12">
        <f t="shared" si="9"/>
        <v>17765880715.393906</v>
      </c>
      <c r="I13" s="12">
        <f t="shared" si="9"/>
        <v>18298857136.855724</v>
      </c>
      <c r="J13" s="12">
        <f t="shared" si="9"/>
        <v>18847822850.961399</v>
      </c>
      <c r="K13" s="12">
        <f t="shared" si="9"/>
        <v>19413257536.490238</v>
      </c>
      <c r="L13" s="12">
        <f t="shared" si="9"/>
        <v>19995655262.584946</v>
      </c>
    </row>
    <row r="14" spans="1:12" x14ac:dyDescent="0.2">
      <c r="A14" s="27" t="s">
        <v>26</v>
      </c>
      <c r="B14" s="15" t="s">
        <v>27</v>
      </c>
      <c r="C14" s="16">
        <f>+C16+C17</f>
        <v>10385099524.42</v>
      </c>
      <c r="D14" s="17">
        <f t="shared" ref="D14:L14" si="10">+D16+D17</f>
        <v>10696652510.152599</v>
      </c>
      <c r="E14" s="17">
        <f t="shared" si="10"/>
        <v>11017552085.457176</v>
      </c>
      <c r="F14" s="17">
        <f t="shared" si="10"/>
        <v>11348078648.020893</v>
      </c>
      <c r="G14" s="17">
        <f t="shared" si="10"/>
        <v>11688521007.461521</v>
      </c>
      <c r="H14" s="17">
        <f t="shared" si="10"/>
        <v>12039176637.685366</v>
      </c>
      <c r="I14" s="17">
        <f t="shared" si="10"/>
        <v>12400351936.815928</v>
      </c>
      <c r="J14" s="17">
        <f t="shared" si="10"/>
        <v>12772362494.920406</v>
      </c>
      <c r="K14" s="17">
        <f t="shared" si="10"/>
        <v>13155533369.768017</v>
      </c>
      <c r="L14" s="17">
        <f t="shared" si="10"/>
        <v>13550199370.861057</v>
      </c>
    </row>
    <row r="15" spans="1:12" x14ac:dyDescent="0.2">
      <c r="A15" s="27" t="s">
        <v>28</v>
      </c>
      <c r="B15" s="15" t="s">
        <v>15</v>
      </c>
      <c r="C15" s="16"/>
      <c r="D15" s="24"/>
      <c r="E15" s="24"/>
      <c r="F15" s="24"/>
      <c r="G15" s="24"/>
      <c r="H15" s="24"/>
      <c r="I15" s="24"/>
      <c r="J15" s="24"/>
      <c r="K15" s="24"/>
      <c r="L15" s="24"/>
    </row>
    <row r="16" spans="1:12" s="13" customFormat="1" x14ac:dyDescent="0.2">
      <c r="A16" s="28" t="s">
        <v>29</v>
      </c>
      <c r="B16" s="10" t="s">
        <v>30</v>
      </c>
      <c r="C16" s="11">
        <v>9477300060.2399998</v>
      </c>
      <c r="D16" s="29">
        <f>+C16*1.03</f>
        <v>9761619062.0471992</v>
      </c>
      <c r="E16" s="29">
        <f t="shared" ref="E16:L17" si="11">+D16*1.03</f>
        <v>10054467633.908615</v>
      </c>
      <c r="F16" s="29">
        <f t="shared" si="11"/>
        <v>10356101662.925875</v>
      </c>
      <c r="G16" s="29">
        <f t="shared" si="11"/>
        <v>10666784712.813652</v>
      </c>
      <c r="H16" s="29">
        <f t="shared" si="11"/>
        <v>10986788254.198061</v>
      </c>
      <c r="I16" s="29">
        <f t="shared" si="11"/>
        <v>11316391901.824003</v>
      </c>
      <c r="J16" s="29">
        <f t="shared" si="11"/>
        <v>11655883658.878723</v>
      </c>
      <c r="K16" s="29">
        <f t="shared" si="11"/>
        <v>12005560168.645084</v>
      </c>
      <c r="L16" s="29">
        <f t="shared" si="11"/>
        <v>12365726973.704437</v>
      </c>
    </row>
    <row r="17" spans="1:12" x14ac:dyDescent="0.2">
      <c r="A17" s="27" t="s">
        <v>31</v>
      </c>
      <c r="B17" s="15" t="s">
        <v>32</v>
      </c>
      <c r="C17" s="16">
        <v>907799464.17999995</v>
      </c>
      <c r="D17" s="24">
        <f>+C17*1.03</f>
        <v>935033448.10539997</v>
      </c>
      <c r="E17" s="24">
        <f t="shared" si="11"/>
        <v>963084451.54856193</v>
      </c>
      <c r="F17" s="24">
        <f t="shared" si="11"/>
        <v>991976985.09501886</v>
      </c>
      <c r="G17" s="24">
        <f t="shared" si="11"/>
        <v>1021736294.6478695</v>
      </c>
      <c r="H17" s="24">
        <f t="shared" si="11"/>
        <v>1052388383.4873055</v>
      </c>
      <c r="I17" s="24">
        <f t="shared" si="11"/>
        <v>1083960034.9919248</v>
      </c>
      <c r="J17" s="24">
        <f t="shared" si="11"/>
        <v>1116478836.0416825</v>
      </c>
      <c r="K17" s="24">
        <f t="shared" si="11"/>
        <v>1149973201.1229329</v>
      </c>
      <c r="L17" s="24">
        <f t="shared" si="11"/>
        <v>1184472397.156621</v>
      </c>
    </row>
    <row r="18" spans="1:12" x14ac:dyDescent="0.2">
      <c r="A18" s="27" t="s">
        <v>33</v>
      </c>
      <c r="B18" s="15" t="s">
        <v>15</v>
      </c>
      <c r="C18" s="30"/>
      <c r="D18" s="24"/>
      <c r="E18" s="24"/>
      <c r="F18" s="24"/>
      <c r="G18" s="24"/>
      <c r="H18" s="24"/>
      <c r="I18" s="24"/>
      <c r="J18" s="24"/>
      <c r="K18" s="24"/>
      <c r="L18" s="24"/>
    </row>
    <row r="19" spans="1:12" s="13" customFormat="1" x14ac:dyDescent="0.2">
      <c r="A19" s="28" t="s">
        <v>34</v>
      </c>
      <c r="B19" s="10" t="s">
        <v>35</v>
      </c>
      <c r="C19" s="11">
        <f>+C20+C21</f>
        <v>4939905243</v>
      </c>
      <c r="D19" s="12">
        <f t="shared" ref="D19:L19" si="12">+D20+D21</f>
        <v>5088102400.29</v>
      </c>
      <c r="E19" s="12">
        <f t="shared" si="12"/>
        <v>5240745472.2987003</v>
      </c>
      <c r="F19" s="12">
        <f t="shared" si="12"/>
        <v>5397967836.4676609</v>
      </c>
      <c r="G19" s="12">
        <f t="shared" si="12"/>
        <v>5559906871.5616903</v>
      </c>
      <c r="H19" s="12">
        <f t="shared" si="12"/>
        <v>5726704077.7085409</v>
      </c>
      <c r="I19" s="12">
        <f t="shared" si="12"/>
        <v>5898505200.0397978</v>
      </c>
      <c r="J19" s="12">
        <f t="shared" si="12"/>
        <v>6075460356.0409918</v>
      </c>
      <c r="K19" s="12">
        <f t="shared" si="12"/>
        <v>6257724166.7222214</v>
      </c>
      <c r="L19" s="12">
        <f t="shared" si="12"/>
        <v>6445455891.7238874</v>
      </c>
    </row>
    <row r="20" spans="1:12" x14ac:dyDescent="0.2">
      <c r="A20" s="27" t="s">
        <v>36</v>
      </c>
      <c r="B20" s="15" t="s">
        <v>37</v>
      </c>
      <c r="C20" s="16">
        <v>4836187790</v>
      </c>
      <c r="D20" s="24">
        <f>+C20*1.03</f>
        <v>4981273423.6999998</v>
      </c>
      <c r="E20" s="24">
        <f t="shared" ref="E20:L21" si="13">+D20*1.03</f>
        <v>5130711626.4110003</v>
      </c>
      <c r="F20" s="24">
        <f t="shared" si="13"/>
        <v>5284632975.20333</v>
      </c>
      <c r="G20" s="24">
        <f t="shared" si="13"/>
        <v>5443171964.4594297</v>
      </c>
      <c r="H20" s="24">
        <f t="shared" si="13"/>
        <v>5606467123.3932123</v>
      </c>
      <c r="I20" s="24">
        <f t="shared" si="13"/>
        <v>5774661137.0950089</v>
      </c>
      <c r="J20" s="24">
        <f t="shared" si="13"/>
        <v>5947900971.207859</v>
      </c>
      <c r="K20" s="24">
        <f t="shared" si="13"/>
        <v>6126338000.3440952</v>
      </c>
      <c r="L20" s="24">
        <f t="shared" si="13"/>
        <v>6310128140.3544178</v>
      </c>
    </row>
    <row r="21" spans="1:12" s="13" customFormat="1" x14ac:dyDescent="0.2">
      <c r="A21" s="28" t="s">
        <v>38</v>
      </c>
      <c r="B21" s="10" t="s">
        <v>39</v>
      </c>
      <c r="C21" s="11">
        <v>103717453</v>
      </c>
      <c r="D21" s="21">
        <f>+C21*1.03</f>
        <v>106828976.59</v>
      </c>
      <c r="E21" s="21">
        <f t="shared" si="13"/>
        <v>110033845.88770001</v>
      </c>
      <c r="F21" s="21">
        <f t="shared" si="13"/>
        <v>113334861.26433101</v>
      </c>
      <c r="G21" s="21">
        <f t="shared" si="13"/>
        <v>116734907.10226095</v>
      </c>
      <c r="H21" s="21">
        <f t="shared" si="13"/>
        <v>120236954.31532878</v>
      </c>
      <c r="I21" s="21">
        <f t="shared" si="13"/>
        <v>123844062.94478865</v>
      </c>
      <c r="J21" s="21">
        <f t="shared" si="13"/>
        <v>127559384.83313231</v>
      </c>
      <c r="K21" s="21">
        <f t="shared" si="13"/>
        <v>131386166.37812628</v>
      </c>
      <c r="L21" s="21">
        <f t="shared" si="13"/>
        <v>135327751.36947006</v>
      </c>
    </row>
    <row r="22" spans="1:12" x14ac:dyDescent="0.2">
      <c r="A22" s="27" t="s">
        <v>40</v>
      </c>
      <c r="B22" s="15" t="s">
        <v>41</v>
      </c>
      <c r="C22" s="16">
        <f>+C23</f>
        <v>103778656.31</v>
      </c>
      <c r="D22" s="17">
        <f t="shared" ref="D22:L22" si="14">+D23</f>
        <v>106333383.12830001</v>
      </c>
      <c r="E22" s="17">
        <f t="shared" si="14"/>
        <v>108959165.42243901</v>
      </c>
      <c r="F22" s="17">
        <f t="shared" si="14"/>
        <v>111658078.99340507</v>
      </c>
      <c r="G22" s="17">
        <f t="shared" si="14"/>
        <v>114432261.35758308</v>
      </c>
      <c r="H22" s="17">
        <f t="shared" si="14"/>
        <v>117283913.59263015</v>
      </c>
      <c r="I22" s="17">
        <f t="shared" si="14"/>
        <v>120215302.23867184</v>
      </c>
      <c r="J22" s="17">
        <f t="shared" si="14"/>
        <v>123228761.2564774</v>
      </c>
      <c r="K22" s="17">
        <f t="shared" si="14"/>
        <v>126326694.04432359</v>
      </c>
      <c r="L22" s="17">
        <f t="shared" si="14"/>
        <v>129511575.51530668</v>
      </c>
    </row>
    <row r="23" spans="1:12" s="13" customFormat="1" x14ac:dyDescent="0.2">
      <c r="A23" s="28" t="s">
        <v>42</v>
      </c>
      <c r="B23" s="10" t="s">
        <v>43</v>
      </c>
      <c r="C23" s="11">
        <f>+C24+C25</f>
        <v>103778656.31</v>
      </c>
      <c r="D23" s="12">
        <f t="shared" ref="D23:L23" si="15">+D24+D25</f>
        <v>106333383.12830001</v>
      </c>
      <c r="E23" s="12">
        <f t="shared" si="15"/>
        <v>108959165.42243901</v>
      </c>
      <c r="F23" s="12">
        <f t="shared" si="15"/>
        <v>111658078.99340507</v>
      </c>
      <c r="G23" s="12">
        <f t="shared" si="15"/>
        <v>114432261.35758308</v>
      </c>
      <c r="H23" s="12">
        <f t="shared" si="15"/>
        <v>117283913.59263015</v>
      </c>
      <c r="I23" s="12">
        <f t="shared" si="15"/>
        <v>120215302.23867184</v>
      </c>
      <c r="J23" s="12">
        <f t="shared" si="15"/>
        <v>123228761.2564774</v>
      </c>
      <c r="K23" s="12">
        <f t="shared" si="15"/>
        <v>126326694.04432359</v>
      </c>
      <c r="L23" s="12">
        <f t="shared" si="15"/>
        <v>129511575.51530668</v>
      </c>
    </row>
    <row r="24" spans="1:12" x14ac:dyDescent="0.2">
      <c r="A24" s="27" t="s">
        <v>44</v>
      </c>
      <c r="B24" s="15" t="s">
        <v>30</v>
      </c>
      <c r="C24" s="16">
        <v>75847012.760000005</v>
      </c>
      <c r="D24" s="24">
        <f>+C24*1.03</f>
        <v>78122423.142800003</v>
      </c>
      <c r="E24" s="24">
        <f t="shared" ref="E24:L24" si="16">+D24*1.03</f>
        <v>80466095.83708401</v>
      </c>
      <c r="F24" s="24">
        <f t="shared" si="16"/>
        <v>82880078.712196529</v>
      </c>
      <c r="G24" s="24">
        <f t="shared" si="16"/>
        <v>85366481.073562428</v>
      </c>
      <c r="H24" s="24">
        <f t="shared" si="16"/>
        <v>87927475.505769297</v>
      </c>
      <c r="I24" s="24">
        <f t="shared" si="16"/>
        <v>90565299.770942375</v>
      </c>
      <c r="J24" s="24">
        <f t="shared" si="16"/>
        <v>93282258.764070645</v>
      </c>
      <c r="K24" s="24">
        <f t="shared" si="16"/>
        <v>96080726.526992768</v>
      </c>
      <c r="L24" s="24">
        <f t="shared" si="16"/>
        <v>98963148.322802559</v>
      </c>
    </row>
    <row r="25" spans="1:12" s="13" customFormat="1" x14ac:dyDescent="0.2">
      <c r="A25" s="28" t="s">
        <v>45</v>
      </c>
      <c r="B25" s="10" t="s">
        <v>32</v>
      </c>
      <c r="C25" s="11">
        <v>27931643.550000001</v>
      </c>
      <c r="D25" s="21">
        <f>+C25*1.01</f>
        <v>28210959.9855</v>
      </c>
      <c r="E25" s="21">
        <f t="shared" ref="E25:L25" si="17">+D25*1.01</f>
        <v>28493069.585355002</v>
      </c>
      <c r="F25" s="21">
        <f t="shared" si="17"/>
        <v>28778000.281208552</v>
      </c>
      <c r="G25" s="21">
        <f t="shared" si="17"/>
        <v>29065780.28402064</v>
      </c>
      <c r="H25" s="21">
        <f t="shared" si="17"/>
        <v>29356438.086860847</v>
      </c>
      <c r="I25" s="21">
        <f t="shared" si="17"/>
        <v>29650002.467729457</v>
      </c>
      <c r="J25" s="21">
        <f t="shared" si="17"/>
        <v>29946502.492406752</v>
      </c>
      <c r="K25" s="21">
        <f t="shared" si="17"/>
        <v>30245967.517330822</v>
      </c>
      <c r="L25" s="21">
        <f t="shared" si="17"/>
        <v>30548427.19250413</v>
      </c>
    </row>
    <row r="26" spans="1:12" x14ac:dyDescent="0.2">
      <c r="A26" s="27" t="s">
        <v>46</v>
      </c>
      <c r="B26" s="15" t="s">
        <v>47</v>
      </c>
      <c r="C26" s="16">
        <f>+C28+C30+C33+C36+C39+C42</f>
        <v>18846842501.899998</v>
      </c>
      <c r="D26" s="17">
        <f t="shared" ref="D26:L26" si="18">+D28+D30+D33+D36+D39+D42</f>
        <v>19529040982.7682</v>
      </c>
      <c r="E26" s="17">
        <f t="shared" si="18"/>
        <v>20237638963.047291</v>
      </c>
      <c r="F26" s="17">
        <f t="shared" si="18"/>
        <v>20973726043.815773</v>
      </c>
      <c r="G26" s="17">
        <f t="shared" si="18"/>
        <v>21738439404.3778</v>
      </c>
      <c r="H26" s="17">
        <f t="shared" si="18"/>
        <v>22532965974.213463</v>
      </c>
      <c r="I26" s="17">
        <f t="shared" si="18"/>
        <v>23358544707.318764</v>
      </c>
      <c r="J26" s="17">
        <f t="shared" si="18"/>
        <v>24216468963.868408</v>
      </c>
      <c r="K26" s="17">
        <f t="shared" si="18"/>
        <v>25108089004.375854</v>
      </c>
      <c r="L26" s="17">
        <f t="shared" si="18"/>
        <v>26034814601.777847</v>
      </c>
    </row>
    <row r="27" spans="1:12" x14ac:dyDescent="0.2">
      <c r="A27" s="27" t="s">
        <v>48</v>
      </c>
      <c r="B27" s="15" t="s">
        <v>15</v>
      </c>
      <c r="C27" s="30"/>
      <c r="D27" s="17"/>
      <c r="E27" s="17"/>
      <c r="F27" s="17"/>
      <c r="G27" s="17"/>
      <c r="H27" s="17"/>
      <c r="I27" s="17"/>
      <c r="J27" s="17"/>
      <c r="K27" s="17"/>
      <c r="L27" s="17"/>
    </row>
    <row r="28" spans="1:12" s="13" customFormat="1" x14ac:dyDescent="0.2">
      <c r="A28" s="28" t="s">
        <v>49</v>
      </c>
      <c r="B28" s="10" t="s">
        <v>50</v>
      </c>
      <c r="C28" s="11">
        <f>+C29</f>
        <v>15857419.939999999</v>
      </c>
      <c r="D28" s="12">
        <f t="shared" ref="D28:L28" si="19">+D29</f>
        <v>16333142.5382</v>
      </c>
      <c r="E28" s="12">
        <f t="shared" si="19"/>
        <v>16823136.814346001</v>
      </c>
      <c r="F28" s="12">
        <f t="shared" si="19"/>
        <v>17327830.918776382</v>
      </c>
      <c r="G28" s="12">
        <f t="shared" si="19"/>
        <v>17847665.846339673</v>
      </c>
      <c r="H28" s="12">
        <f t="shared" si="19"/>
        <v>18383095.821729865</v>
      </c>
      <c r="I28" s="12">
        <f t="shared" si="19"/>
        <v>18934588.696381763</v>
      </c>
      <c r="J28" s="12">
        <f t="shared" si="19"/>
        <v>19502626.357273217</v>
      </c>
      <c r="K28" s="12">
        <f t="shared" si="19"/>
        <v>20087705.147991415</v>
      </c>
      <c r="L28" s="12">
        <f t="shared" si="19"/>
        <v>20690336.302431159</v>
      </c>
    </row>
    <row r="29" spans="1:12" x14ac:dyDescent="0.2">
      <c r="A29" s="27" t="s">
        <v>51</v>
      </c>
      <c r="B29" s="15" t="s">
        <v>30</v>
      </c>
      <c r="C29" s="16">
        <v>15857419.939999999</v>
      </c>
      <c r="D29" s="24">
        <f>+C29*1.03</f>
        <v>16333142.5382</v>
      </c>
      <c r="E29" s="24">
        <f t="shared" ref="E29:L29" si="20">+D29*1.03</f>
        <v>16823136.814346001</v>
      </c>
      <c r="F29" s="24">
        <f t="shared" si="20"/>
        <v>17327830.918776382</v>
      </c>
      <c r="G29" s="24">
        <f t="shared" si="20"/>
        <v>17847665.846339673</v>
      </c>
      <c r="H29" s="24">
        <f t="shared" si="20"/>
        <v>18383095.821729865</v>
      </c>
      <c r="I29" s="24">
        <f t="shared" si="20"/>
        <v>18934588.696381763</v>
      </c>
      <c r="J29" s="24">
        <f t="shared" si="20"/>
        <v>19502626.357273217</v>
      </c>
      <c r="K29" s="24">
        <f t="shared" si="20"/>
        <v>20087705.147991415</v>
      </c>
      <c r="L29" s="24">
        <f t="shared" si="20"/>
        <v>20690336.302431159</v>
      </c>
    </row>
    <row r="30" spans="1:12" s="13" customFormat="1" x14ac:dyDescent="0.2">
      <c r="A30" s="28" t="s">
        <v>52</v>
      </c>
      <c r="B30" s="10" t="s">
        <v>53</v>
      </c>
      <c r="C30" s="11">
        <f>+C31+C32</f>
        <v>1604695743.6299999</v>
      </c>
      <c r="D30" s="12">
        <f t="shared" ref="D30:L30" si="21">+D31+D32</f>
        <v>1682050117.6961</v>
      </c>
      <c r="E30" s="12">
        <f t="shared" si="21"/>
        <v>1763185798.0720432</v>
      </c>
      <c r="F30" s="12">
        <f t="shared" si="21"/>
        <v>1848289257.7015176</v>
      </c>
      <c r="G30" s="12">
        <f t="shared" si="21"/>
        <v>1937556215.404242</v>
      </c>
      <c r="H30" s="12">
        <f t="shared" si="21"/>
        <v>2031192095.836632</v>
      </c>
      <c r="I30" s="12">
        <f t="shared" si="21"/>
        <v>2129412512.3805068</v>
      </c>
      <c r="J30" s="12">
        <f t="shared" si="21"/>
        <v>2232443774.1041365</v>
      </c>
      <c r="K30" s="12">
        <f t="shared" si="21"/>
        <v>2340523417.997086</v>
      </c>
      <c r="L30" s="12">
        <f t="shared" si="21"/>
        <v>2453900767.7403154</v>
      </c>
    </row>
    <row r="31" spans="1:12" x14ac:dyDescent="0.2">
      <c r="A31" s="26" t="s">
        <v>54</v>
      </c>
      <c r="B31" s="15" t="s">
        <v>55</v>
      </c>
      <c r="C31" s="16">
        <v>1460675087.8599999</v>
      </c>
      <c r="D31" s="24">
        <f>+C31*1.05</f>
        <v>1533708842.253</v>
      </c>
      <c r="E31" s="24">
        <f t="shared" ref="E31:L31" si="22">+D31*1.05</f>
        <v>1610394284.3656502</v>
      </c>
      <c r="F31" s="24">
        <f t="shared" si="22"/>
        <v>1690913998.5839329</v>
      </c>
      <c r="G31" s="24">
        <f t="shared" si="22"/>
        <v>1775459698.5131297</v>
      </c>
      <c r="H31" s="24">
        <f t="shared" si="22"/>
        <v>1864232683.4387863</v>
      </c>
      <c r="I31" s="24">
        <f t="shared" si="22"/>
        <v>1957444317.6107256</v>
      </c>
      <c r="J31" s="24">
        <f t="shared" si="22"/>
        <v>2055316533.491262</v>
      </c>
      <c r="K31" s="24">
        <f t="shared" si="22"/>
        <v>2158082360.1658254</v>
      </c>
      <c r="L31" s="24">
        <f t="shared" si="22"/>
        <v>2265986478.1741166</v>
      </c>
    </row>
    <row r="32" spans="1:12" s="13" customFormat="1" x14ac:dyDescent="0.2">
      <c r="A32" s="28" t="s">
        <v>56</v>
      </c>
      <c r="B32" s="10" t="s">
        <v>39</v>
      </c>
      <c r="C32" s="11">
        <v>144020655.77000001</v>
      </c>
      <c r="D32" s="21">
        <f>+C32*1.03</f>
        <v>148341275.44310001</v>
      </c>
      <c r="E32" s="21">
        <f t="shared" ref="E32:L32" si="23">+D32*1.03</f>
        <v>152791513.706393</v>
      </c>
      <c r="F32" s="21">
        <f t="shared" si="23"/>
        <v>157375259.11758479</v>
      </c>
      <c r="G32" s="21">
        <f t="shared" si="23"/>
        <v>162096516.89111236</v>
      </c>
      <c r="H32" s="21">
        <f t="shared" si="23"/>
        <v>166959412.39784575</v>
      </c>
      <c r="I32" s="21">
        <f t="shared" si="23"/>
        <v>171968194.76978111</v>
      </c>
      <c r="J32" s="21">
        <f t="shared" si="23"/>
        <v>177127240.61287454</v>
      </c>
      <c r="K32" s="21">
        <f t="shared" si="23"/>
        <v>182441057.83126077</v>
      </c>
      <c r="L32" s="21">
        <f t="shared" si="23"/>
        <v>187914289.56619859</v>
      </c>
    </row>
    <row r="33" spans="1:12" x14ac:dyDescent="0.2">
      <c r="A33" s="27" t="s">
        <v>57</v>
      </c>
      <c r="B33" s="15" t="s">
        <v>58</v>
      </c>
      <c r="C33" s="16">
        <f>+C34+C35</f>
        <v>4763798666.71</v>
      </c>
      <c r="D33" s="17">
        <f t="shared" ref="D33:L33" si="24">+D34+D35</f>
        <v>4996639448.1223001</v>
      </c>
      <c r="E33" s="17">
        <f t="shared" si="24"/>
        <v>5240961794.0475197</v>
      </c>
      <c r="F33" s="17">
        <f t="shared" si="24"/>
        <v>5497334968.4745731</v>
      </c>
      <c r="G33" s="17">
        <f t="shared" si="24"/>
        <v>5766356554.1647186</v>
      </c>
      <c r="H33" s="17">
        <f t="shared" si="24"/>
        <v>6048653864.2573652</v>
      </c>
      <c r="I33" s="17">
        <f t="shared" si="24"/>
        <v>6344885424.3261757</v>
      </c>
      <c r="J33" s="17">
        <f t="shared" si="24"/>
        <v>6655742528.4041052</v>
      </c>
      <c r="K33" s="17">
        <f t="shared" si="24"/>
        <v>6981950872.6717796</v>
      </c>
      <c r="L33" s="17">
        <f t="shared" si="24"/>
        <v>7324272270.688262</v>
      </c>
    </row>
    <row r="34" spans="1:12" s="13" customFormat="1" x14ac:dyDescent="0.2">
      <c r="A34" s="28" t="s">
        <v>59</v>
      </c>
      <c r="B34" s="10" t="s">
        <v>55</v>
      </c>
      <c r="C34" s="11">
        <v>4496341070.5500002</v>
      </c>
      <c r="D34" s="21">
        <f>+C34*1.05</f>
        <v>4721158124.0775003</v>
      </c>
      <c r="E34" s="21">
        <f t="shared" ref="E34:L34" si="25">+D34*1.05</f>
        <v>4957216030.2813759</v>
      </c>
      <c r="F34" s="21">
        <f t="shared" si="25"/>
        <v>5205076831.7954445</v>
      </c>
      <c r="G34" s="21">
        <f t="shared" si="25"/>
        <v>5465330673.3852167</v>
      </c>
      <c r="H34" s="21">
        <f t="shared" si="25"/>
        <v>5738597207.0544777</v>
      </c>
      <c r="I34" s="21">
        <f t="shared" si="25"/>
        <v>6025527067.4072018</v>
      </c>
      <c r="J34" s="21">
        <f t="shared" si="25"/>
        <v>6326803420.7775621</v>
      </c>
      <c r="K34" s="21">
        <f t="shared" si="25"/>
        <v>6643143591.8164406</v>
      </c>
      <c r="L34" s="21">
        <f t="shared" si="25"/>
        <v>6975300771.4072628</v>
      </c>
    </row>
    <row r="35" spans="1:12" x14ac:dyDescent="0.2">
      <c r="A35" s="27" t="s">
        <v>60</v>
      </c>
      <c r="B35" s="15" t="s">
        <v>39</v>
      </c>
      <c r="C35" s="16">
        <v>267457596.16</v>
      </c>
      <c r="D35" s="24">
        <f>+C35*1.03</f>
        <v>275481324.04479998</v>
      </c>
      <c r="E35" s="24">
        <f t="shared" ref="E35:L35" si="26">+D35*1.03</f>
        <v>283745763.76614398</v>
      </c>
      <c r="F35" s="24">
        <f t="shared" si="26"/>
        <v>292258136.67912829</v>
      </c>
      <c r="G35" s="24">
        <f t="shared" si="26"/>
        <v>301025880.77950215</v>
      </c>
      <c r="H35" s="24">
        <f t="shared" si="26"/>
        <v>310056657.20288724</v>
      </c>
      <c r="I35" s="24">
        <f t="shared" si="26"/>
        <v>319358356.91897386</v>
      </c>
      <c r="J35" s="24">
        <f t="shared" si="26"/>
        <v>328939107.6265431</v>
      </c>
      <c r="K35" s="24">
        <f t="shared" si="26"/>
        <v>338807280.85533941</v>
      </c>
      <c r="L35" s="24">
        <f t="shared" si="26"/>
        <v>348971499.2809996</v>
      </c>
    </row>
    <row r="36" spans="1:12" s="13" customFormat="1" x14ac:dyDescent="0.2">
      <c r="A36" s="28" t="s">
        <v>61</v>
      </c>
      <c r="B36" s="10" t="s">
        <v>62</v>
      </c>
      <c r="C36" s="11">
        <f>+C37+C38</f>
        <v>5163476577</v>
      </c>
      <c r="D36" s="12">
        <f t="shared" ref="D36:L36" si="27">+D37+D38</f>
        <v>5318380874.3100004</v>
      </c>
      <c r="E36" s="12">
        <f t="shared" si="27"/>
        <v>5477932300.5393009</v>
      </c>
      <c r="F36" s="12">
        <f t="shared" si="27"/>
        <v>5642270269.55548</v>
      </c>
      <c r="G36" s="12">
        <f t="shared" si="27"/>
        <v>5811538377.6421442</v>
      </c>
      <c r="H36" s="12">
        <f t="shared" si="27"/>
        <v>5985884528.9714079</v>
      </c>
      <c r="I36" s="12">
        <f t="shared" si="27"/>
        <v>6165461064.8405504</v>
      </c>
      <c r="J36" s="12">
        <f t="shared" si="27"/>
        <v>6350424896.7857676</v>
      </c>
      <c r="K36" s="12">
        <f t="shared" si="27"/>
        <v>6540937643.6893406</v>
      </c>
      <c r="L36" s="12">
        <f t="shared" si="27"/>
        <v>6737165773.000021</v>
      </c>
    </row>
    <row r="37" spans="1:12" x14ac:dyDescent="0.2">
      <c r="A37" s="27" t="s">
        <v>63</v>
      </c>
      <c r="B37" s="15" t="s">
        <v>55</v>
      </c>
      <c r="C37" s="16">
        <v>4663476577</v>
      </c>
      <c r="D37" s="24">
        <f>+C37*1.03</f>
        <v>4803380874.3100004</v>
      </c>
      <c r="E37" s="24">
        <f t="shared" ref="E37:L38" si="28">+D37*1.03</f>
        <v>4947482300.5393009</v>
      </c>
      <c r="F37" s="24">
        <f t="shared" si="28"/>
        <v>5095906769.55548</v>
      </c>
      <c r="G37" s="24">
        <f t="shared" si="28"/>
        <v>5248783972.6421442</v>
      </c>
      <c r="H37" s="24">
        <f t="shared" si="28"/>
        <v>5406247491.8214083</v>
      </c>
      <c r="I37" s="24">
        <f t="shared" si="28"/>
        <v>5568434916.5760508</v>
      </c>
      <c r="J37" s="24">
        <f t="shared" si="28"/>
        <v>5735487964.0733328</v>
      </c>
      <c r="K37" s="24">
        <f t="shared" si="28"/>
        <v>5907552602.995533</v>
      </c>
      <c r="L37" s="24">
        <f t="shared" si="28"/>
        <v>6084779181.0853987</v>
      </c>
    </row>
    <row r="38" spans="1:12" s="13" customFormat="1" x14ac:dyDescent="0.2">
      <c r="A38" s="28" t="s">
        <v>64</v>
      </c>
      <c r="B38" s="10" t="s">
        <v>39</v>
      </c>
      <c r="C38" s="11">
        <v>500000000</v>
      </c>
      <c r="D38" s="21">
        <f>+C38*1.03</f>
        <v>515000000</v>
      </c>
      <c r="E38" s="21">
        <f t="shared" si="28"/>
        <v>530450000</v>
      </c>
      <c r="F38" s="21">
        <f t="shared" si="28"/>
        <v>546363500</v>
      </c>
      <c r="G38" s="21">
        <f t="shared" si="28"/>
        <v>562754405</v>
      </c>
      <c r="H38" s="21">
        <f t="shared" si="28"/>
        <v>579637037.14999998</v>
      </c>
      <c r="I38" s="21">
        <f t="shared" si="28"/>
        <v>597026148.26450002</v>
      </c>
      <c r="J38" s="21">
        <f t="shared" si="28"/>
        <v>614936932.71243501</v>
      </c>
      <c r="K38" s="21">
        <f t="shared" si="28"/>
        <v>633385040.69380808</v>
      </c>
      <c r="L38" s="21">
        <f t="shared" si="28"/>
        <v>652386591.91462231</v>
      </c>
    </row>
    <row r="39" spans="1:12" x14ac:dyDescent="0.2">
      <c r="A39" s="27" t="s">
        <v>65</v>
      </c>
      <c r="B39" s="15" t="s">
        <v>66</v>
      </c>
      <c r="C39" s="16">
        <f>+C40+C41</f>
        <v>7065443769</v>
      </c>
      <c r="D39" s="17">
        <f t="shared" ref="D39:L39" si="29">+D40+D41</f>
        <v>7276007984.2900009</v>
      </c>
      <c r="E39" s="17">
        <f t="shared" si="29"/>
        <v>7492875135.0609007</v>
      </c>
      <c r="F39" s="17">
        <f t="shared" si="29"/>
        <v>7716234169.46735</v>
      </c>
      <c r="G39" s="17">
        <f t="shared" si="29"/>
        <v>7946279702.7095385</v>
      </c>
      <c r="H39" s="17">
        <f t="shared" si="29"/>
        <v>8183212187.0305748</v>
      </c>
      <c r="I39" s="17">
        <f t="shared" si="29"/>
        <v>8427238086.8136406</v>
      </c>
      <c r="J39" s="17">
        <f t="shared" si="29"/>
        <v>8678570058.9319191</v>
      </c>
      <c r="K39" s="17">
        <f t="shared" si="29"/>
        <v>8937427138.5088844</v>
      </c>
      <c r="L39" s="17">
        <f t="shared" si="29"/>
        <v>9204034930.2512493</v>
      </c>
    </row>
    <row r="40" spans="1:12" s="13" customFormat="1" x14ac:dyDescent="0.2">
      <c r="A40" s="28" t="s">
        <v>67</v>
      </c>
      <c r="B40" s="10" t="s">
        <v>55</v>
      </c>
      <c r="C40" s="11">
        <v>6995488880</v>
      </c>
      <c r="D40" s="21">
        <f>+C40*1.03</f>
        <v>7205353546.4000006</v>
      </c>
      <c r="E40" s="21">
        <f t="shared" ref="E40:L40" si="30">+D40*1.03</f>
        <v>7421514152.7920008</v>
      </c>
      <c r="F40" s="21">
        <f t="shared" si="30"/>
        <v>7644159577.375761</v>
      </c>
      <c r="G40" s="21">
        <f t="shared" si="30"/>
        <v>7873484364.6970339</v>
      </c>
      <c r="H40" s="21">
        <f t="shared" si="30"/>
        <v>8109688895.6379452</v>
      </c>
      <c r="I40" s="21">
        <f t="shared" si="30"/>
        <v>8352979562.5070839</v>
      </c>
      <c r="J40" s="21">
        <f t="shared" si="30"/>
        <v>8603568949.3822975</v>
      </c>
      <c r="K40" s="21">
        <f t="shared" si="30"/>
        <v>8861676017.8637657</v>
      </c>
      <c r="L40" s="21">
        <f t="shared" si="30"/>
        <v>9127526298.3996792</v>
      </c>
    </row>
    <row r="41" spans="1:12" x14ac:dyDescent="0.2">
      <c r="A41" s="26" t="s">
        <v>68</v>
      </c>
      <c r="B41" s="15" t="s">
        <v>39</v>
      </c>
      <c r="C41" s="16">
        <v>69954889</v>
      </c>
      <c r="D41" s="24">
        <f>+C41*1.01</f>
        <v>70654437.890000001</v>
      </c>
      <c r="E41" s="24">
        <f t="shared" ref="E41:L41" si="31">+D41*1.01</f>
        <v>71360982.268900007</v>
      </c>
      <c r="F41" s="24">
        <f t="shared" si="31"/>
        <v>72074592.091589004</v>
      </c>
      <c r="G41" s="24">
        <f t="shared" si="31"/>
        <v>72795338.012504891</v>
      </c>
      <c r="H41" s="24">
        <f t="shared" si="31"/>
        <v>73523291.392629936</v>
      </c>
      <c r="I41" s="24">
        <f t="shared" si="31"/>
        <v>74258524.30655624</v>
      </c>
      <c r="J41" s="24">
        <f t="shared" si="31"/>
        <v>75001109.549621806</v>
      </c>
      <c r="K41" s="24">
        <f t="shared" si="31"/>
        <v>75751120.645118028</v>
      </c>
      <c r="L41" s="24">
        <f t="shared" si="31"/>
        <v>76508631.851569206</v>
      </c>
    </row>
    <row r="42" spans="1:12" s="13" customFormat="1" x14ac:dyDescent="0.2">
      <c r="A42" s="28" t="s">
        <v>69</v>
      </c>
      <c r="B42" s="10" t="s">
        <v>70</v>
      </c>
      <c r="C42" s="11">
        <f>+C43+C44</f>
        <v>233570325.62</v>
      </c>
      <c r="D42" s="12">
        <f t="shared" ref="D42:L42" si="32">+D43+D44</f>
        <v>239629415.81160003</v>
      </c>
      <c r="E42" s="12">
        <f t="shared" si="32"/>
        <v>245860798.51317802</v>
      </c>
      <c r="F42" s="12">
        <f t="shared" si="32"/>
        <v>252269547.69807565</v>
      </c>
      <c r="G42" s="12">
        <f t="shared" si="32"/>
        <v>258860888.61081529</v>
      </c>
      <c r="H42" s="12">
        <f t="shared" si="32"/>
        <v>265640202.29575503</v>
      </c>
      <c r="I42" s="12">
        <f t="shared" si="32"/>
        <v>272613030.26150912</v>
      </c>
      <c r="J42" s="12">
        <f t="shared" si="32"/>
        <v>279785079.28520465</v>
      </c>
      <c r="K42" s="12">
        <f t="shared" si="32"/>
        <v>287162226.36076957</v>
      </c>
      <c r="L42" s="12">
        <f t="shared" si="32"/>
        <v>294750523.79557151</v>
      </c>
    </row>
    <row r="43" spans="1:12" x14ac:dyDescent="0.2">
      <c r="A43" s="27" t="s">
        <v>71</v>
      </c>
      <c r="B43" s="15" t="s">
        <v>13</v>
      </c>
      <c r="C43" s="16">
        <v>186169346.77000001</v>
      </c>
      <c r="D43" s="24">
        <f>+C43*1.03</f>
        <v>191754427.17310002</v>
      </c>
      <c r="E43" s="24">
        <f t="shared" ref="E43:L43" si="33">+D43*1.03</f>
        <v>197507059.98829302</v>
      </c>
      <c r="F43" s="24">
        <f t="shared" si="33"/>
        <v>203432271.78794181</v>
      </c>
      <c r="G43" s="24">
        <f t="shared" si="33"/>
        <v>209535239.94158009</v>
      </c>
      <c r="H43" s="24">
        <f t="shared" si="33"/>
        <v>215821297.13982749</v>
      </c>
      <c r="I43" s="24">
        <f t="shared" si="33"/>
        <v>222295936.05402231</v>
      </c>
      <c r="J43" s="24">
        <f t="shared" si="33"/>
        <v>228964814.13564298</v>
      </c>
      <c r="K43" s="24">
        <f t="shared" si="33"/>
        <v>235833758.55971226</v>
      </c>
      <c r="L43" s="24">
        <f t="shared" si="33"/>
        <v>242908771.31650364</v>
      </c>
    </row>
    <row r="44" spans="1:12" s="13" customFormat="1" x14ac:dyDescent="0.2">
      <c r="A44" s="28" t="s">
        <v>72</v>
      </c>
      <c r="B44" s="10" t="s">
        <v>15</v>
      </c>
      <c r="C44" s="11">
        <v>47400978.850000001</v>
      </c>
      <c r="D44" s="21">
        <f>+C44*1.01</f>
        <v>47874988.638500005</v>
      </c>
      <c r="E44" s="21">
        <f t="shared" ref="E44:L44" si="34">+D44*1.01</f>
        <v>48353738.524885006</v>
      </c>
      <c r="F44" s="21">
        <f t="shared" si="34"/>
        <v>48837275.910133854</v>
      </c>
      <c r="G44" s="21">
        <f t="shared" si="34"/>
        <v>49325648.669235192</v>
      </c>
      <c r="H44" s="21">
        <f t="shared" si="34"/>
        <v>49818905.155927546</v>
      </c>
      <c r="I44" s="21">
        <f t="shared" si="34"/>
        <v>50317094.207486823</v>
      </c>
      <c r="J44" s="21">
        <f t="shared" si="34"/>
        <v>50820265.149561688</v>
      </c>
      <c r="K44" s="21">
        <f t="shared" si="34"/>
        <v>51328467.801057309</v>
      </c>
      <c r="L44" s="21">
        <f t="shared" si="34"/>
        <v>51841752.479067884</v>
      </c>
    </row>
    <row r="45" spans="1:12" x14ac:dyDescent="0.2">
      <c r="A45" s="27" t="s">
        <v>73</v>
      </c>
      <c r="B45" s="15" t="s">
        <v>74</v>
      </c>
      <c r="C45" s="16">
        <f>+C46</f>
        <v>66754958.840000004</v>
      </c>
      <c r="D45" s="17">
        <f t="shared" ref="D45:L46" si="35">+D46</f>
        <v>68397072.183200002</v>
      </c>
      <c r="E45" s="17">
        <f t="shared" si="35"/>
        <v>70084843.572476</v>
      </c>
      <c r="F45" s="17">
        <f t="shared" si="35"/>
        <v>71819606.695668086</v>
      </c>
      <c r="G45" s="17">
        <f t="shared" si="35"/>
        <v>73602734.890716106</v>
      </c>
      <c r="H45" s="17">
        <f t="shared" si="35"/>
        <v>75435642.331557363</v>
      </c>
      <c r="I45" s="17">
        <f t="shared" si="35"/>
        <v>77319785.249565035</v>
      </c>
      <c r="J45" s="17">
        <f t="shared" si="35"/>
        <v>79256663.191593558</v>
      </c>
      <c r="K45" s="17">
        <f t="shared" si="35"/>
        <v>81247820.315728337</v>
      </c>
      <c r="L45" s="17">
        <f t="shared" si="35"/>
        <v>83294846.725871041</v>
      </c>
    </row>
    <row r="46" spans="1:12" s="13" customFormat="1" x14ac:dyDescent="0.2">
      <c r="A46" s="28" t="s">
        <v>75</v>
      </c>
      <c r="B46" s="10" t="s">
        <v>76</v>
      </c>
      <c r="C46" s="11">
        <f>+C47</f>
        <v>66754958.840000004</v>
      </c>
      <c r="D46" s="12">
        <f t="shared" si="35"/>
        <v>68397072.183200002</v>
      </c>
      <c r="E46" s="12">
        <f t="shared" si="35"/>
        <v>70084843.572476</v>
      </c>
      <c r="F46" s="12">
        <f t="shared" si="35"/>
        <v>71819606.695668086</v>
      </c>
      <c r="G46" s="12">
        <f t="shared" si="35"/>
        <v>73602734.890716106</v>
      </c>
      <c r="H46" s="12">
        <f t="shared" si="35"/>
        <v>75435642.331557363</v>
      </c>
      <c r="I46" s="12">
        <f t="shared" si="35"/>
        <v>77319785.249565035</v>
      </c>
      <c r="J46" s="12">
        <f t="shared" si="35"/>
        <v>79256663.191593558</v>
      </c>
      <c r="K46" s="12">
        <f t="shared" si="35"/>
        <v>81247820.315728337</v>
      </c>
      <c r="L46" s="12">
        <f t="shared" si="35"/>
        <v>83294846.725871041</v>
      </c>
    </row>
    <row r="47" spans="1:12" x14ac:dyDescent="0.2">
      <c r="A47" s="27" t="s">
        <v>77</v>
      </c>
      <c r="B47" s="15" t="s">
        <v>78</v>
      </c>
      <c r="C47" s="16">
        <f>+C48+C49</f>
        <v>66754958.840000004</v>
      </c>
      <c r="D47" s="17">
        <f t="shared" ref="D47:L47" si="36">+D48+D49</f>
        <v>68397072.183200002</v>
      </c>
      <c r="E47" s="17">
        <f t="shared" si="36"/>
        <v>70084843.572476</v>
      </c>
      <c r="F47" s="17">
        <f t="shared" si="36"/>
        <v>71819606.695668086</v>
      </c>
      <c r="G47" s="17">
        <f t="shared" si="36"/>
        <v>73602734.890716106</v>
      </c>
      <c r="H47" s="17">
        <f t="shared" si="36"/>
        <v>75435642.331557363</v>
      </c>
      <c r="I47" s="17">
        <f t="shared" si="36"/>
        <v>77319785.249565035</v>
      </c>
      <c r="J47" s="17">
        <f t="shared" si="36"/>
        <v>79256663.191593558</v>
      </c>
      <c r="K47" s="17">
        <f t="shared" si="36"/>
        <v>81247820.315728337</v>
      </c>
      <c r="L47" s="17">
        <f t="shared" si="36"/>
        <v>83294846.725871041</v>
      </c>
    </row>
    <row r="48" spans="1:12" s="13" customFormat="1" x14ac:dyDescent="0.2">
      <c r="A48" s="28" t="s">
        <v>79</v>
      </c>
      <c r="B48" s="10" t="s">
        <v>30</v>
      </c>
      <c r="C48" s="11">
        <v>48728187.740000002</v>
      </c>
      <c r="D48" s="21">
        <f>+C48*1.03</f>
        <v>50190033.372200005</v>
      </c>
      <c r="E48" s="21">
        <f t="shared" ref="E48:L48" si="37">+D48*1.03</f>
        <v>51695734.373366006</v>
      </c>
      <c r="F48" s="21">
        <f t="shared" si="37"/>
        <v>53246606.404566988</v>
      </c>
      <c r="G48" s="21">
        <f t="shared" si="37"/>
        <v>54844004.596703999</v>
      </c>
      <c r="H48" s="21">
        <f t="shared" si="37"/>
        <v>56489324.734605119</v>
      </c>
      <c r="I48" s="21">
        <f t="shared" si="37"/>
        <v>58184004.476643272</v>
      </c>
      <c r="J48" s="21">
        <f t="shared" si="37"/>
        <v>59929524.610942572</v>
      </c>
      <c r="K48" s="21">
        <f t="shared" si="37"/>
        <v>61727410.34927085</v>
      </c>
      <c r="L48" s="21">
        <f t="shared" si="37"/>
        <v>63579232.659748979</v>
      </c>
    </row>
    <row r="49" spans="1:12" ht="13.5" customHeight="1" x14ac:dyDescent="0.2">
      <c r="A49" s="27" t="s">
        <v>80</v>
      </c>
      <c r="B49" s="15" t="s">
        <v>32</v>
      </c>
      <c r="C49" s="16">
        <v>18026771.100000001</v>
      </c>
      <c r="D49" s="24">
        <f>+C49*1.01</f>
        <v>18207038.811000001</v>
      </c>
      <c r="E49" s="24">
        <f t="shared" ref="E49:L49" si="38">+D49*1.01</f>
        <v>18389109.199110001</v>
      </c>
      <c r="F49" s="24">
        <f t="shared" si="38"/>
        <v>18573000.291101102</v>
      </c>
      <c r="G49" s="24">
        <f t="shared" si="38"/>
        <v>18758730.294012114</v>
      </c>
      <c r="H49" s="24">
        <f t="shared" si="38"/>
        <v>18946317.596952237</v>
      </c>
      <c r="I49" s="24">
        <f t="shared" si="38"/>
        <v>19135780.77292176</v>
      </c>
      <c r="J49" s="24">
        <f t="shared" si="38"/>
        <v>19327138.580650978</v>
      </c>
      <c r="K49" s="24">
        <f t="shared" si="38"/>
        <v>19520409.966457486</v>
      </c>
      <c r="L49" s="24">
        <f t="shared" si="38"/>
        <v>19715614.066122063</v>
      </c>
    </row>
    <row r="50" spans="1:12" s="13" customFormat="1" ht="13.5" customHeight="1" x14ac:dyDescent="0.2">
      <c r="A50" s="28"/>
      <c r="B50" s="10" t="s">
        <v>81</v>
      </c>
      <c r="C50" s="11">
        <f>+C51</f>
        <v>84363422205</v>
      </c>
      <c r="D50" s="12">
        <f t="shared" ref="D50:L52" si="39">+D51</f>
        <v>81924761697.25</v>
      </c>
      <c r="E50" s="12">
        <f t="shared" si="39"/>
        <v>95545250000</v>
      </c>
      <c r="F50" s="12">
        <f t="shared" si="39"/>
        <v>110574500000</v>
      </c>
      <c r="G50" s="12">
        <f t="shared" si="39"/>
        <v>121964500000</v>
      </c>
      <c r="H50" s="12">
        <f t="shared" si="39"/>
        <v>131069250000</v>
      </c>
      <c r="I50" s="12">
        <f t="shared" si="39"/>
        <v>140050750000</v>
      </c>
      <c r="J50" s="12">
        <f t="shared" si="39"/>
        <v>149381500000</v>
      </c>
      <c r="K50" s="12">
        <f t="shared" si="39"/>
        <v>159276250000</v>
      </c>
      <c r="L50" s="12">
        <f t="shared" si="39"/>
        <v>170049500000</v>
      </c>
    </row>
    <row r="51" spans="1:12" ht="13.5" customHeight="1" x14ac:dyDescent="0.2">
      <c r="A51" s="27"/>
      <c r="B51" s="15" t="s">
        <v>82</v>
      </c>
      <c r="C51" s="16">
        <f>+C52</f>
        <v>84363422205</v>
      </c>
      <c r="D51" s="17">
        <f t="shared" si="39"/>
        <v>81924761697.25</v>
      </c>
      <c r="E51" s="17">
        <f t="shared" si="39"/>
        <v>95545250000</v>
      </c>
      <c r="F51" s="17">
        <f t="shared" si="39"/>
        <v>110574500000</v>
      </c>
      <c r="G51" s="17">
        <f t="shared" si="39"/>
        <v>121964500000</v>
      </c>
      <c r="H51" s="17">
        <f t="shared" si="39"/>
        <v>131069250000</v>
      </c>
      <c r="I51" s="17">
        <f t="shared" si="39"/>
        <v>140050750000</v>
      </c>
      <c r="J51" s="17">
        <f t="shared" si="39"/>
        <v>149381500000</v>
      </c>
      <c r="K51" s="17">
        <f t="shared" si="39"/>
        <v>159276250000</v>
      </c>
      <c r="L51" s="17">
        <f t="shared" si="39"/>
        <v>170049500000</v>
      </c>
    </row>
    <row r="52" spans="1:12" s="13" customFormat="1" ht="13.5" customHeight="1" x14ac:dyDescent="0.2">
      <c r="A52" s="28"/>
      <c r="B52" s="10" t="s">
        <v>83</v>
      </c>
      <c r="C52" s="11">
        <f>+C53</f>
        <v>84363422205</v>
      </c>
      <c r="D52" s="12">
        <f t="shared" si="39"/>
        <v>81924761697.25</v>
      </c>
      <c r="E52" s="12">
        <f t="shared" si="39"/>
        <v>95545250000</v>
      </c>
      <c r="F52" s="12">
        <f t="shared" si="39"/>
        <v>110574500000</v>
      </c>
      <c r="G52" s="12">
        <f t="shared" si="39"/>
        <v>121964500000</v>
      </c>
      <c r="H52" s="12">
        <f t="shared" si="39"/>
        <v>131069250000</v>
      </c>
      <c r="I52" s="12">
        <f t="shared" si="39"/>
        <v>140050750000</v>
      </c>
      <c r="J52" s="12">
        <f t="shared" si="39"/>
        <v>149381500000</v>
      </c>
      <c r="K52" s="12">
        <f t="shared" si="39"/>
        <v>159276250000</v>
      </c>
      <c r="L52" s="12">
        <f t="shared" si="39"/>
        <v>170049500000</v>
      </c>
    </row>
    <row r="53" spans="1:12" ht="13.5" customHeight="1" x14ac:dyDescent="0.2">
      <c r="A53" s="27"/>
      <c r="B53" s="15" t="s">
        <v>84</v>
      </c>
      <c r="C53" s="16">
        <f>+C54+C55</f>
        <v>84363422205</v>
      </c>
      <c r="D53" s="17">
        <f t="shared" ref="D53:L53" si="40">+D54+D55</f>
        <v>81924761697.25</v>
      </c>
      <c r="E53" s="17">
        <f t="shared" si="40"/>
        <v>95545250000</v>
      </c>
      <c r="F53" s="17">
        <f t="shared" si="40"/>
        <v>110574500000</v>
      </c>
      <c r="G53" s="17">
        <f t="shared" si="40"/>
        <v>121964500000</v>
      </c>
      <c r="H53" s="17">
        <f t="shared" si="40"/>
        <v>131069250000</v>
      </c>
      <c r="I53" s="17">
        <f t="shared" si="40"/>
        <v>140050750000</v>
      </c>
      <c r="J53" s="17">
        <f t="shared" si="40"/>
        <v>149381500000</v>
      </c>
      <c r="K53" s="17">
        <f t="shared" si="40"/>
        <v>159276250000</v>
      </c>
      <c r="L53" s="17">
        <f t="shared" si="40"/>
        <v>170049500000</v>
      </c>
    </row>
    <row r="54" spans="1:12" s="13" customFormat="1" ht="13.5" customHeight="1" x14ac:dyDescent="0.2">
      <c r="A54" s="28"/>
      <c r="B54" s="10" t="s">
        <v>30</v>
      </c>
      <c r="C54" s="11">
        <v>72228046789</v>
      </c>
      <c r="D54" s="21">
        <f>85157000000*0.75</f>
        <v>63867750000</v>
      </c>
      <c r="E54" s="21">
        <f>99008000000*0.75</f>
        <v>74256000000</v>
      </c>
      <c r="F54" s="21">
        <f>114430000000*0.75</f>
        <v>85822500000</v>
      </c>
      <c r="G54" s="21">
        <f>124476000000*0.75</f>
        <v>93357000000</v>
      </c>
      <c r="H54" s="21">
        <f>133267000000*0.75</f>
        <v>99950250000</v>
      </c>
      <c r="I54" s="21">
        <f>142312000000*0.75</f>
        <v>106734000000</v>
      </c>
      <c r="J54" s="21">
        <f>151738000000*0.75</f>
        <v>113803500000</v>
      </c>
      <c r="K54" s="21">
        <f>161909000000*0.75</f>
        <v>121431750000</v>
      </c>
      <c r="L54" s="21">
        <f>172763000000*0.75</f>
        <v>129572250000</v>
      </c>
    </row>
    <row r="55" spans="1:12" ht="13.5" customHeight="1" x14ac:dyDescent="0.2">
      <c r="A55" s="27"/>
      <c r="B55" s="15" t="s">
        <v>32</v>
      </c>
      <c r="C55" s="16">
        <v>12135375416</v>
      </c>
      <c r="D55" s="24">
        <f>72228046789*0.25</f>
        <v>18057011697.25</v>
      </c>
      <c r="E55" s="24">
        <f>85157000000*0.25</f>
        <v>21289250000</v>
      </c>
      <c r="F55" s="24">
        <f>99008000000*0.25</f>
        <v>24752000000</v>
      </c>
      <c r="G55" s="24">
        <f>114430000000*0.25</f>
        <v>28607500000</v>
      </c>
      <c r="H55" s="24">
        <f>124476000000*0.25</f>
        <v>31119000000</v>
      </c>
      <c r="I55" s="24">
        <f>133267000000*0.25</f>
        <v>33316750000</v>
      </c>
      <c r="J55" s="24">
        <f>142312000000*0.25</f>
        <v>35578000000</v>
      </c>
      <c r="K55" s="24">
        <f>151378000000*0.25</f>
        <v>37844500000</v>
      </c>
      <c r="L55" s="24">
        <f>161909000000*0.25</f>
        <v>40477250000</v>
      </c>
    </row>
    <row r="56" spans="1:12" s="13" customFormat="1" x14ac:dyDescent="0.2">
      <c r="A56" s="28" t="s">
        <v>85</v>
      </c>
      <c r="B56" s="10" t="s">
        <v>86</v>
      </c>
      <c r="C56" s="11">
        <f>+C57+C59</f>
        <v>9612575651.4599991</v>
      </c>
      <c r="D56" s="12">
        <f t="shared" ref="D56:L56" si="41">+D57+D59</f>
        <v>334554740.63459998</v>
      </c>
      <c r="E56" s="12">
        <f t="shared" si="41"/>
        <v>337900288.04094601</v>
      </c>
      <c r="F56" s="12">
        <f t="shared" si="41"/>
        <v>341279290.92135549</v>
      </c>
      <c r="G56" s="12">
        <f t="shared" si="41"/>
        <v>344692083.83056903</v>
      </c>
      <c r="H56" s="12">
        <f t="shared" si="41"/>
        <v>348139004.66887474</v>
      </c>
      <c r="I56" s="12">
        <f t="shared" si="41"/>
        <v>351620394.71556348</v>
      </c>
      <c r="J56" s="12">
        <f t="shared" si="41"/>
        <v>355136598.66271913</v>
      </c>
      <c r="K56" s="12">
        <f t="shared" si="41"/>
        <v>358687964.64934635</v>
      </c>
      <c r="L56" s="12">
        <f t="shared" si="41"/>
        <v>362274844.29583985</v>
      </c>
    </row>
    <row r="57" spans="1:12" x14ac:dyDescent="0.2">
      <c r="A57" s="27" t="s">
        <v>87</v>
      </c>
      <c r="B57" s="15" t="s">
        <v>88</v>
      </c>
      <c r="C57" s="16">
        <f>+C58</f>
        <v>331242317.45999998</v>
      </c>
      <c r="D57" s="17">
        <f t="shared" ref="D57:L57" si="42">+D58</f>
        <v>334554740.63459998</v>
      </c>
      <c r="E57" s="17">
        <f t="shared" si="42"/>
        <v>337900288.04094601</v>
      </c>
      <c r="F57" s="17">
        <f t="shared" si="42"/>
        <v>341279290.92135549</v>
      </c>
      <c r="G57" s="17">
        <f t="shared" si="42"/>
        <v>344692083.83056903</v>
      </c>
      <c r="H57" s="17">
        <f t="shared" si="42"/>
        <v>348139004.66887474</v>
      </c>
      <c r="I57" s="17">
        <f t="shared" si="42"/>
        <v>351620394.71556348</v>
      </c>
      <c r="J57" s="17">
        <f t="shared" si="42"/>
        <v>355136598.66271913</v>
      </c>
      <c r="K57" s="17">
        <f t="shared" si="42"/>
        <v>358687964.64934635</v>
      </c>
      <c r="L57" s="17">
        <f t="shared" si="42"/>
        <v>362274844.29583985</v>
      </c>
    </row>
    <row r="58" spans="1:12" s="13" customFormat="1" x14ac:dyDescent="0.2">
      <c r="A58" s="10" t="s">
        <v>89</v>
      </c>
      <c r="B58" s="10" t="s">
        <v>90</v>
      </c>
      <c r="C58" s="11">
        <v>331242317.45999998</v>
      </c>
      <c r="D58" s="21">
        <f>+C58*1.01</f>
        <v>334554740.63459998</v>
      </c>
      <c r="E58" s="21">
        <f t="shared" ref="E58:L58" si="43">+D58*1.01</f>
        <v>337900288.04094601</v>
      </c>
      <c r="F58" s="21">
        <f t="shared" si="43"/>
        <v>341279290.92135549</v>
      </c>
      <c r="G58" s="21">
        <f t="shared" si="43"/>
        <v>344692083.83056903</v>
      </c>
      <c r="H58" s="21">
        <f t="shared" si="43"/>
        <v>348139004.66887474</v>
      </c>
      <c r="I58" s="21">
        <f t="shared" si="43"/>
        <v>351620394.71556348</v>
      </c>
      <c r="J58" s="21">
        <f t="shared" si="43"/>
        <v>355136598.66271913</v>
      </c>
      <c r="K58" s="21">
        <f t="shared" si="43"/>
        <v>358687964.64934635</v>
      </c>
      <c r="L58" s="21">
        <f t="shared" si="43"/>
        <v>362274844.29583985</v>
      </c>
    </row>
    <row r="59" spans="1:12" x14ac:dyDescent="0.2">
      <c r="A59" s="27" t="s">
        <v>91</v>
      </c>
      <c r="B59" s="15" t="s">
        <v>92</v>
      </c>
      <c r="C59" s="16">
        <f>+C61</f>
        <v>9281333334</v>
      </c>
      <c r="D59" s="17">
        <f t="shared" ref="D59:L59" si="44">+D61</f>
        <v>0</v>
      </c>
      <c r="E59" s="17">
        <f t="shared" si="44"/>
        <v>0</v>
      </c>
      <c r="F59" s="17">
        <f t="shared" si="44"/>
        <v>0</v>
      </c>
      <c r="G59" s="17">
        <f t="shared" si="44"/>
        <v>0</v>
      </c>
      <c r="H59" s="17">
        <f t="shared" si="44"/>
        <v>0</v>
      </c>
      <c r="I59" s="17">
        <f t="shared" si="44"/>
        <v>0</v>
      </c>
      <c r="J59" s="17">
        <f t="shared" si="44"/>
        <v>0</v>
      </c>
      <c r="K59" s="17">
        <f t="shared" si="44"/>
        <v>0</v>
      </c>
      <c r="L59" s="17">
        <f t="shared" si="44"/>
        <v>0</v>
      </c>
    </row>
    <row r="60" spans="1:12" x14ac:dyDescent="0.2">
      <c r="A60" s="27" t="s">
        <v>93</v>
      </c>
      <c r="B60" s="15" t="s">
        <v>94</v>
      </c>
      <c r="C60" s="30"/>
      <c r="D60" s="17"/>
      <c r="E60" s="17"/>
      <c r="F60" s="17"/>
      <c r="G60" s="17"/>
      <c r="H60" s="17"/>
      <c r="I60" s="17"/>
      <c r="J60" s="17"/>
      <c r="K60" s="17"/>
      <c r="L60" s="17"/>
    </row>
    <row r="61" spans="1:12" s="13" customFormat="1" x14ac:dyDescent="0.2">
      <c r="A61" s="10" t="s">
        <v>95</v>
      </c>
      <c r="B61" s="10" t="s">
        <v>96</v>
      </c>
      <c r="C61" s="11">
        <f>+C62</f>
        <v>9281333334</v>
      </c>
      <c r="D61" s="12">
        <f t="shared" ref="D61:L62" si="45">+D62</f>
        <v>0</v>
      </c>
      <c r="E61" s="12">
        <f t="shared" si="45"/>
        <v>0</v>
      </c>
      <c r="F61" s="12">
        <f t="shared" si="45"/>
        <v>0</v>
      </c>
      <c r="G61" s="12">
        <f t="shared" si="45"/>
        <v>0</v>
      </c>
      <c r="H61" s="12">
        <f t="shared" si="45"/>
        <v>0</v>
      </c>
      <c r="I61" s="12">
        <f t="shared" si="45"/>
        <v>0</v>
      </c>
      <c r="J61" s="12">
        <f t="shared" si="45"/>
        <v>0</v>
      </c>
      <c r="K61" s="12">
        <f t="shared" si="45"/>
        <v>0</v>
      </c>
      <c r="L61" s="12">
        <f t="shared" si="45"/>
        <v>0</v>
      </c>
    </row>
    <row r="62" spans="1:12" x14ac:dyDescent="0.2">
      <c r="A62" s="27" t="s">
        <v>97</v>
      </c>
      <c r="B62" s="15" t="s">
        <v>98</v>
      </c>
      <c r="C62" s="16">
        <f>+C63</f>
        <v>9281333334</v>
      </c>
      <c r="D62" s="17">
        <f t="shared" si="45"/>
        <v>0</v>
      </c>
      <c r="E62" s="17">
        <f t="shared" si="45"/>
        <v>0</v>
      </c>
      <c r="F62" s="17">
        <f t="shared" si="45"/>
        <v>0</v>
      </c>
      <c r="G62" s="17">
        <f t="shared" si="45"/>
        <v>0</v>
      </c>
      <c r="H62" s="17">
        <f t="shared" si="45"/>
        <v>0</v>
      </c>
      <c r="I62" s="17">
        <f t="shared" si="45"/>
        <v>0</v>
      </c>
      <c r="J62" s="17">
        <f t="shared" si="45"/>
        <v>0</v>
      </c>
      <c r="K62" s="17">
        <f t="shared" si="45"/>
        <v>0</v>
      </c>
      <c r="L62" s="17">
        <f t="shared" si="45"/>
        <v>0</v>
      </c>
    </row>
    <row r="63" spans="1:12" s="13" customFormat="1" x14ac:dyDescent="0.2">
      <c r="A63" s="28" t="s">
        <v>99</v>
      </c>
      <c r="B63" s="10" t="s">
        <v>39</v>
      </c>
      <c r="C63" s="11">
        <v>9281333334</v>
      </c>
      <c r="D63" s="21"/>
      <c r="E63" s="21"/>
      <c r="F63" s="21"/>
      <c r="G63" s="21"/>
      <c r="H63" s="21"/>
      <c r="I63" s="21"/>
      <c r="J63" s="21"/>
      <c r="K63" s="21"/>
      <c r="L63" s="21"/>
    </row>
    <row r="64" spans="1:12" x14ac:dyDescent="0.2">
      <c r="A64" s="27" t="s">
        <v>100</v>
      </c>
      <c r="B64" s="15" t="s">
        <v>101</v>
      </c>
      <c r="C64" s="17">
        <f>+C65+C66</f>
        <v>2061100000</v>
      </c>
      <c r="D64" s="17">
        <f t="shared" ref="D64:L64" si="46">+D65+D66</f>
        <v>2122933000</v>
      </c>
      <c r="E64" s="17">
        <f t="shared" si="46"/>
        <v>2186620990</v>
      </c>
      <c r="F64" s="17">
        <f t="shared" si="46"/>
        <v>2252219619.7000003</v>
      </c>
      <c r="G64" s="17">
        <f t="shared" si="46"/>
        <v>2319786208.2910004</v>
      </c>
      <c r="H64" s="17">
        <f t="shared" si="46"/>
        <v>2389379794.5397305</v>
      </c>
      <c r="I64" s="17">
        <f t="shared" si="46"/>
        <v>2461061188.3759227</v>
      </c>
      <c r="J64" s="17">
        <f t="shared" si="46"/>
        <v>2534893024.0272002</v>
      </c>
      <c r="K64" s="17">
        <f t="shared" si="46"/>
        <v>2610939814.7480164</v>
      </c>
      <c r="L64" s="17">
        <f t="shared" si="46"/>
        <v>2689268009.1904569</v>
      </c>
    </row>
    <row r="65" spans="1:12" s="13" customFormat="1" x14ac:dyDescent="0.2">
      <c r="A65" s="28" t="s">
        <v>102</v>
      </c>
      <c r="B65" s="10" t="s">
        <v>103</v>
      </c>
      <c r="C65" s="12">
        <v>2061100000</v>
      </c>
      <c r="D65" s="21">
        <f>+C65*1.03</f>
        <v>2122933000</v>
      </c>
      <c r="E65" s="21">
        <f t="shared" ref="E65:L65" si="47">+D65*1.03</f>
        <v>2186620990</v>
      </c>
      <c r="F65" s="21">
        <f t="shared" si="47"/>
        <v>2252219619.7000003</v>
      </c>
      <c r="G65" s="21">
        <f t="shared" si="47"/>
        <v>2319786208.2910004</v>
      </c>
      <c r="H65" s="21">
        <f t="shared" si="47"/>
        <v>2389379794.5397305</v>
      </c>
      <c r="I65" s="21">
        <f t="shared" si="47"/>
        <v>2461061188.3759227</v>
      </c>
      <c r="J65" s="21">
        <f t="shared" si="47"/>
        <v>2534893024.0272002</v>
      </c>
      <c r="K65" s="21">
        <f t="shared" si="47"/>
        <v>2610939814.7480164</v>
      </c>
      <c r="L65" s="21">
        <f t="shared" si="47"/>
        <v>2689268009.1904569</v>
      </c>
    </row>
    <row r="66" spans="1:12" x14ac:dyDescent="0.2">
      <c r="A66" s="27" t="s">
        <v>104</v>
      </c>
      <c r="B66" s="15" t="s">
        <v>105</v>
      </c>
      <c r="C66" s="17"/>
      <c r="D66" s="24"/>
      <c r="E66" s="24"/>
      <c r="F66" s="24"/>
      <c r="G66" s="24"/>
      <c r="H66" s="24"/>
      <c r="I66" s="24"/>
      <c r="J66" s="24"/>
      <c r="K66" s="24"/>
      <c r="L66" s="24"/>
    </row>
    <row r="67" spans="1:12" s="35" customFormat="1" x14ac:dyDescent="0.2">
      <c r="A67" s="31"/>
      <c r="B67" s="32" t="s">
        <v>106</v>
      </c>
      <c r="C67" s="33">
        <f t="shared" ref="C67:L67" si="48">+C2+C64</f>
        <v>144214877488.20001</v>
      </c>
      <c r="D67" s="34">
        <f t="shared" si="48"/>
        <v>134321678756.54039</v>
      </c>
      <c r="E67" s="34">
        <f t="shared" si="48"/>
        <v>149839646240.54422</v>
      </c>
      <c r="F67" s="34">
        <f t="shared" si="48"/>
        <v>166839977982.44217</v>
      </c>
      <c r="G67" s="34">
        <f t="shared" si="48"/>
        <v>180277708267.08118</v>
      </c>
      <c r="H67" s="34">
        <f t="shared" si="48"/>
        <v>191510016391.2453</v>
      </c>
      <c r="I67" s="34">
        <f t="shared" si="48"/>
        <v>202702221063.00677</v>
      </c>
      <c r="J67" s="34">
        <f t="shared" si="48"/>
        <v>214330286786.08786</v>
      </c>
      <c r="K67" s="34">
        <f t="shared" si="48"/>
        <v>226612580545.85806</v>
      </c>
      <c r="L67" s="34">
        <f t="shared" si="48"/>
        <v>239867378811.52231</v>
      </c>
    </row>
    <row r="69" spans="1:12" s="36" customFormat="1" x14ac:dyDescent="0.2">
      <c r="B69" s="37" t="s">
        <v>107</v>
      </c>
      <c r="C69" s="38">
        <f t="shared" ref="C69:L69" si="49">(+C10*0.1)+(C28*0.9)+(C30*0.9)+(C33*0.9)+(C45*0.9)+C65</f>
        <v>9409974452.5810013</v>
      </c>
      <c r="D69" s="38">
        <f t="shared" si="49"/>
        <v>9799119631.8429108</v>
      </c>
      <c r="E69" s="38">
        <f t="shared" si="49"/>
        <v>10205296677.573578</v>
      </c>
      <c r="F69" s="38">
        <f t="shared" si="49"/>
        <v>10629284573.459679</v>
      </c>
      <c r="G69" s="38">
        <f t="shared" si="49"/>
        <v>11071899075.604494</v>
      </c>
      <c r="H69" s="38">
        <f t="shared" si="49"/>
        <v>11533994485.860941</v>
      </c>
      <c r="I69" s="38">
        <f t="shared" si="49"/>
        <v>12016465511.87273</v>
      </c>
      <c r="J69" s="38">
        <f t="shared" si="49"/>
        <v>12520249218.100388</v>
      </c>
      <c r="K69" s="38">
        <f t="shared" si="49"/>
        <v>13046327072.320799</v>
      </c>
      <c r="L69" s="38">
        <f t="shared" si="49"/>
        <v>13595727092.311674</v>
      </c>
    </row>
    <row r="70" spans="1:12" x14ac:dyDescent="0.2">
      <c r="B70" s="39" t="s">
        <v>108</v>
      </c>
      <c r="C70" s="40">
        <f t="shared" ref="C70:L70" si="50">(+C10*0.2)+(C28*0.1)+(C30*0.1)+(C33*0.1)+(C36*0.1)+(C39*0.1)+(C42*0.1)+(C45*0.1)</f>
        <v>4977116430.8200006</v>
      </c>
      <c r="D70" s="40">
        <f t="shared" si="50"/>
        <v>5137961464.2093191</v>
      </c>
      <c r="E70" s="40">
        <f t="shared" si="50"/>
        <v>5304223725.2976398</v>
      </c>
      <c r="F70" s="40">
        <f t="shared" si="50"/>
        <v>5476095477.7475367</v>
      </c>
      <c r="G70" s="40">
        <f t="shared" si="50"/>
        <v>5653776242.0030107</v>
      </c>
      <c r="H70" s="40">
        <f t="shared" si="50"/>
        <v>5837473087.4518089</v>
      </c>
      <c r="I70" s="40">
        <f t="shared" si="50"/>
        <v>6027400937.0757122</v>
      </c>
      <c r="J70" s="40">
        <f t="shared" si="50"/>
        <v>6223782885.1495752</v>
      </c>
      <c r="K70" s="40">
        <f t="shared" si="50"/>
        <v>6426850528.5760717</v>
      </c>
      <c r="L70" s="40">
        <f t="shared" si="50"/>
        <v>6636844312.4704247</v>
      </c>
    </row>
    <row r="71" spans="1:12" s="36" customFormat="1" x14ac:dyDescent="0.2">
      <c r="B71" s="37" t="s">
        <v>109</v>
      </c>
      <c r="C71" s="41">
        <f t="shared" ref="C71:L71" si="51">(+C6)+(C10*0.7)+(C36*0.9)+(C39*0.9)+(C42*0.9)+C51+C58+C59</f>
        <v>129827786604.799</v>
      </c>
      <c r="D71" s="41">
        <f t="shared" si="51"/>
        <v>119384597660.48817</v>
      </c>
      <c r="E71" s="41">
        <f t="shared" si="51"/>
        <v>134330125837.67299</v>
      </c>
      <c r="F71" s="41">
        <f t="shared" si="51"/>
        <v>150734597931.23492</v>
      </c>
      <c r="G71" s="41">
        <f t="shared" si="51"/>
        <v>163552032949.47369</v>
      </c>
      <c r="H71" s="41">
        <f t="shared" si="51"/>
        <v>174138548817.93256</v>
      </c>
      <c r="I71" s="41">
        <f t="shared" si="51"/>
        <v>184658354614.05835</v>
      </c>
      <c r="J71" s="41">
        <f t="shared" si="51"/>
        <v>195586254682.83789</v>
      </c>
      <c r="K71" s="41">
        <f t="shared" si="51"/>
        <v>207139402944.96118</v>
      </c>
      <c r="L71" s="41">
        <f t="shared" si="51"/>
        <v>219634807406.7402</v>
      </c>
    </row>
    <row r="72" spans="1:12" x14ac:dyDescent="0.2">
      <c r="B72" s="39" t="s">
        <v>110</v>
      </c>
      <c r="C72" s="40">
        <f>+(C71-C59)*0.1</f>
        <v>12054645327.079901</v>
      </c>
      <c r="D72" s="40">
        <f t="shared" ref="D72:L72" si="52">+(D71-D59)*0.1</f>
        <v>11938459766.048819</v>
      </c>
      <c r="E72" s="40">
        <f t="shared" si="52"/>
        <v>13433012583.7673</v>
      </c>
      <c r="F72" s="40">
        <f t="shared" si="52"/>
        <v>15073459793.123493</v>
      </c>
      <c r="G72" s="40">
        <f t="shared" si="52"/>
        <v>16355203294.947371</v>
      </c>
      <c r="H72" s="40">
        <f t="shared" si="52"/>
        <v>17413854881.793255</v>
      </c>
      <c r="I72" s="40">
        <f t="shared" si="52"/>
        <v>18465835461.405834</v>
      </c>
      <c r="J72" s="40">
        <f t="shared" si="52"/>
        <v>19558625468.283791</v>
      </c>
      <c r="K72" s="40">
        <f t="shared" si="52"/>
        <v>20713940294.49612</v>
      </c>
      <c r="L72" s="40">
        <f t="shared" si="52"/>
        <v>21963480740.674023</v>
      </c>
    </row>
    <row r="73" spans="1:12" s="36" customFormat="1" x14ac:dyDescent="0.2">
      <c r="B73" s="37" t="s">
        <v>111</v>
      </c>
      <c r="C73" s="38">
        <f>+C71*0.9</f>
        <v>116845007944.31909</v>
      </c>
      <c r="D73" s="38">
        <f t="shared" ref="D73:L73" si="53">+D71*0.9</f>
        <v>107446137894.43936</v>
      </c>
      <c r="E73" s="38">
        <f t="shared" si="53"/>
        <v>120897113253.90569</v>
      </c>
      <c r="F73" s="38">
        <f t="shared" si="53"/>
        <v>135661138138.11143</v>
      </c>
      <c r="G73" s="38">
        <f t="shared" si="53"/>
        <v>147196829654.52634</v>
      </c>
      <c r="H73" s="38">
        <f t="shared" si="53"/>
        <v>156724693936.13931</v>
      </c>
      <c r="I73" s="38">
        <f t="shared" si="53"/>
        <v>166192519152.65253</v>
      </c>
      <c r="J73" s="38">
        <f t="shared" si="53"/>
        <v>176027629214.55411</v>
      </c>
      <c r="K73" s="38">
        <f t="shared" si="53"/>
        <v>186425462650.46506</v>
      </c>
      <c r="L73" s="38">
        <f t="shared" si="53"/>
        <v>197671326666.06619</v>
      </c>
    </row>
    <row r="75" spans="1:12" s="42" customFormat="1" x14ac:dyDescent="0.2">
      <c r="B75" s="43" t="s">
        <v>112</v>
      </c>
      <c r="C75" s="44">
        <f>+[1]TOTALES!$B$19*'[1]DETALLE CLASIFICACION '!$C$14</f>
        <v>6329223604.2825985</v>
      </c>
      <c r="D75" s="44">
        <f>+[1]TOTALES!$C$19*'[1]DETALLE CLASIFICACION '!$C$14</f>
        <v>6645684784.4967299</v>
      </c>
      <c r="E75" s="44">
        <f>+[1]TOTALES!$D$19*'[1]DETALLE CLASIFICACION '!$C$14</f>
        <v>6977969023.7215662</v>
      </c>
      <c r="F75" s="44">
        <f>+[1]TOTALES!$E$19*'[1]DETALLE CLASIFICACION '!$C$14</f>
        <v>7326867474.9076452</v>
      </c>
      <c r="G75" s="44">
        <f>+[1]TOTALES!$F$19*'[1]DETALLE CLASIFICACION '!$C$14</f>
        <v>7693210848.6530275</v>
      </c>
      <c r="H75" s="44">
        <f>+[1]TOTALES!$G$19*'[1]DETALLE CLASIFICACION '!$C$14</f>
        <v>8077871391.0856771</v>
      </c>
      <c r="I75" s="44">
        <f>+[1]TOTALES!$H$19*'[1]DETALLE CLASIFICACION '!$C$14</f>
        <v>8481764960.6399612</v>
      </c>
      <c r="J75" s="44">
        <f>+[1]TOTALES!$I$19*'[1]DETALLE CLASIFICACION '!$C$14</f>
        <v>8905853208.6719608</v>
      </c>
      <c r="K75" s="44">
        <f>+[1]TOTALES!$J$19*'[1]DETALLE CLASIFICACION '!$C$14</f>
        <v>9351145869.1055603</v>
      </c>
      <c r="L75" s="44">
        <f>+[1]TOTALES!$K$19*'[1]DETALLE CLASIFICACION '!$C$14</f>
        <v>9818703162.5608387</v>
      </c>
    </row>
    <row r="76" spans="1:12" s="45" customFormat="1" x14ac:dyDescent="0.2">
      <c r="B76" s="46" t="s">
        <v>113</v>
      </c>
      <c r="C76" s="47">
        <f>+[1]TOTALES!$B$19*'[1]DETALLE CLASIFICACION '!$C$15</f>
        <v>4252273773.6110787</v>
      </c>
      <c r="D76" s="47">
        <f>+[1]TOTALES!$C$19*'[1]DETALLE CLASIFICACION '!$C$15</f>
        <v>4464887462.2916336</v>
      </c>
      <c r="E76" s="47">
        <f>+[1]TOTALES!$D$19*'[1]DETALLE CLASIFICACION '!$C$15</f>
        <v>4688131835.4062157</v>
      </c>
      <c r="F76" s="47">
        <f>+[1]TOTALES!$E$19*'[1]DETALLE CLASIFICACION '!$C$15</f>
        <v>4922538427.176527</v>
      </c>
      <c r="G76" s="47">
        <f>+[1]TOTALES!$F$19*'[1]DETALLE CLASIFICACION '!$C$15</f>
        <v>5168665348.5353527</v>
      </c>
      <c r="H76" s="47">
        <f>+[1]TOTALES!$G$19*'[1]DETALLE CLASIFICACION '!$C$15</f>
        <v>5427098615.9621191</v>
      </c>
      <c r="I76" s="47">
        <f>+[1]TOTALES!$H$19*'[1]DETALLE CLASIFICACION '!$C$15</f>
        <v>5698453546.7602253</v>
      </c>
      <c r="J76" s="47">
        <f>+[1]TOTALES!$I$19*'[1]DETALLE CLASIFICACION '!$C$15</f>
        <v>5983376224.098238</v>
      </c>
      <c r="K76" s="47">
        <f>+[1]TOTALES!$J$19*'[1]DETALLE CLASIFICACION '!$C$15</f>
        <v>6282545035.3031502</v>
      </c>
      <c r="L76" s="47">
        <f>+[1]TOTALES!$K$19*'[1]DETALLE CLASIFICACION '!$C$15</f>
        <v>6596672287.0683079</v>
      </c>
    </row>
    <row r="77" spans="1:12" x14ac:dyDescent="0.2">
      <c r="B77" s="48" t="s">
        <v>114</v>
      </c>
      <c r="C77" s="49">
        <f>+C75+C76</f>
        <v>10581497377.893677</v>
      </c>
      <c r="D77" s="49">
        <f t="shared" ref="D77:L77" si="54">+D75+D76</f>
        <v>11110572246.788364</v>
      </c>
      <c r="E77" s="49">
        <f t="shared" si="54"/>
        <v>11666100859.127781</v>
      </c>
      <c r="F77" s="49">
        <f t="shared" si="54"/>
        <v>12249405902.084171</v>
      </c>
      <c r="G77" s="49">
        <f t="shared" si="54"/>
        <v>12861876197.188381</v>
      </c>
      <c r="H77" s="49">
        <f t="shared" si="54"/>
        <v>13504970007.047796</v>
      </c>
      <c r="I77" s="49">
        <f t="shared" si="54"/>
        <v>14180218507.400187</v>
      </c>
      <c r="J77" s="49">
        <f t="shared" si="54"/>
        <v>14889229432.770199</v>
      </c>
      <c r="K77" s="49">
        <f t="shared" si="54"/>
        <v>15633690904.40871</v>
      </c>
      <c r="L77" s="49">
        <f t="shared" si="54"/>
        <v>16415375449.629147</v>
      </c>
    </row>
    <row r="79" spans="1:12" s="52" customFormat="1" x14ac:dyDescent="0.2">
      <c r="B79" s="50" t="s">
        <v>115</v>
      </c>
      <c r="C79" s="51">
        <f>+C75/C69</f>
        <v>0.67260794768115406</v>
      </c>
      <c r="D79" s="51">
        <f t="shared" ref="D79:L79" si="55">+D75/D69</f>
        <v>0.67819202481222107</v>
      </c>
      <c r="E79" s="51">
        <f t="shared" si="55"/>
        <v>0.68375954606550993</v>
      </c>
      <c r="F79" s="51">
        <f t="shared" si="55"/>
        <v>0.68930956023156464</v>
      </c>
      <c r="G79" s="51">
        <f t="shared" si="55"/>
        <v>0.69484112852907309</v>
      </c>
      <c r="H79" s="51">
        <f t="shared" si="55"/>
        <v>0.70035332520645943</v>
      </c>
      <c r="I79" s="51">
        <f t="shared" si="55"/>
        <v>0.70584523812427635</v>
      </c>
      <c r="J79" s="51">
        <f t="shared" si="55"/>
        <v>0.71131596931767671</v>
      </c>
      <c r="K79" s="51">
        <f t="shared" si="55"/>
        <v>0.7167646355383066</v>
      </c>
      <c r="L79" s="51">
        <f t="shared" si="55"/>
        <v>0.72219036877500087</v>
      </c>
    </row>
    <row r="80" spans="1:12" s="54" customFormat="1" x14ac:dyDescent="0.2">
      <c r="B80" s="5" t="s">
        <v>116</v>
      </c>
      <c r="C80" s="53">
        <f>+C76/C72</f>
        <v>0.35274980376723725</v>
      </c>
      <c r="D80" s="53">
        <f t="shared" ref="D80:L80" si="56">+D76/D72</f>
        <v>0.37399191770022971</v>
      </c>
      <c r="E80" s="53">
        <f t="shared" si="56"/>
        <v>0.34900077746308678</v>
      </c>
      <c r="F80" s="53">
        <f t="shared" si="56"/>
        <v>0.32656991127028362</v>
      </c>
      <c r="G80" s="53">
        <f t="shared" si="56"/>
        <v>0.31602574760609142</v>
      </c>
      <c r="H80" s="53">
        <f t="shared" si="56"/>
        <v>0.31165406240041227</v>
      </c>
      <c r="I80" s="53">
        <f t="shared" si="56"/>
        <v>0.30859440715098807</v>
      </c>
      <c r="J80" s="53">
        <f t="shared" si="56"/>
        <v>0.30592007775806451</v>
      </c>
      <c r="K80" s="53">
        <f t="shared" si="56"/>
        <v>0.30330033523233041</v>
      </c>
      <c r="L80" s="53">
        <f t="shared" si="56"/>
        <v>0.30034730673867982</v>
      </c>
    </row>
    <row r="82" spans="2:12" x14ac:dyDescent="0.2">
      <c r="C82" s="3">
        <v>2022</v>
      </c>
      <c r="D82" s="1">
        <v>2023</v>
      </c>
      <c r="E82" s="1">
        <v>2024</v>
      </c>
      <c r="F82" s="3">
        <v>2025</v>
      </c>
      <c r="G82" s="1">
        <v>2026</v>
      </c>
      <c r="H82" s="1">
        <v>2027</v>
      </c>
      <c r="I82" s="3">
        <v>2028</v>
      </c>
      <c r="J82" s="1">
        <v>2029</v>
      </c>
      <c r="K82" s="1">
        <v>2030</v>
      </c>
      <c r="L82" s="3">
        <v>2031</v>
      </c>
    </row>
    <row r="83" spans="2:12" x14ac:dyDescent="0.2">
      <c r="B83" s="56" t="s">
        <v>117</v>
      </c>
      <c r="C83" s="57">
        <f>+C67</f>
        <v>144214877488.20001</v>
      </c>
      <c r="D83" s="57">
        <f t="shared" ref="D83:L83" si="57">+D67</f>
        <v>134321678756.54039</v>
      </c>
      <c r="E83" s="57">
        <f t="shared" si="57"/>
        <v>149839646240.54422</v>
      </c>
      <c r="F83" s="57">
        <f t="shared" si="57"/>
        <v>166839977982.44217</v>
      </c>
      <c r="G83" s="57">
        <f t="shared" si="57"/>
        <v>180277708267.08118</v>
      </c>
      <c r="H83" s="57">
        <f t="shared" si="57"/>
        <v>191510016391.2453</v>
      </c>
      <c r="I83" s="57">
        <f t="shared" si="57"/>
        <v>202702221063.00677</v>
      </c>
      <c r="J83" s="57">
        <f t="shared" si="57"/>
        <v>214330286786.08786</v>
      </c>
      <c r="K83" s="57">
        <f t="shared" si="57"/>
        <v>226612580545.85806</v>
      </c>
      <c r="L83" s="57">
        <f t="shared" si="57"/>
        <v>239867378811.52231</v>
      </c>
    </row>
    <row r="84" spans="2:12" x14ac:dyDescent="0.2">
      <c r="B84" s="37" t="s">
        <v>118</v>
      </c>
      <c r="C84" s="58">
        <f>+C77</f>
        <v>10581497377.893677</v>
      </c>
      <c r="D84" s="58">
        <f t="shared" ref="D84:L84" si="58">+D77</f>
        <v>11110572246.788364</v>
      </c>
      <c r="E84" s="58">
        <f t="shared" si="58"/>
        <v>11666100859.127781</v>
      </c>
      <c r="F84" s="58">
        <f t="shared" si="58"/>
        <v>12249405902.084171</v>
      </c>
      <c r="G84" s="58">
        <f t="shared" si="58"/>
        <v>12861876197.188381</v>
      </c>
      <c r="H84" s="58">
        <f t="shared" si="58"/>
        <v>13504970007.047796</v>
      </c>
      <c r="I84" s="58">
        <f t="shared" si="58"/>
        <v>14180218507.400187</v>
      </c>
      <c r="J84" s="58">
        <f t="shared" si="58"/>
        <v>14889229432.770199</v>
      </c>
      <c r="K84" s="58">
        <f t="shared" si="58"/>
        <v>15633690904.40871</v>
      </c>
      <c r="L84" s="58">
        <f t="shared" si="58"/>
        <v>16415375449.629147</v>
      </c>
    </row>
    <row r="85" spans="2:12" x14ac:dyDescent="0.2">
      <c r="B85" s="39" t="s">
        <v>119</v>
      </c>
      <c r="C85" s="59">
        <f>+C84/C83</f>
        <v>7.3373132940181426E-2</v>
      </c>
      <c r="D85" s="59">
        <f t="shared" ref="D85:L85" si="59">+D84/D83</f>
        <v>8.2716150882289119E-2</v>
      </c>
      <c r="E85" s="59">
        <f t="shared" si="59"/>
        <v>7.7857237065280263E-2</v>
      </c>
      <c r="F85" s="59">
        <f t="shared" si="59"/>
        <v>7.3420088219942517E-2</v>
      </c>
      <c r="G85" s="59">
        <f t="shared" si="59"/>
        <v>7.1344795320636811E-2</v>
      </c>
      <c r="H85" s="59">
        <f t="shared" si="59"/>
        <v>7.0518348134114422E-2</v>
      </c>
      <c r="I85" s="59">
        <f t="shared" si="59"/>
        <v>6.9955910857989509E-2</v>
      </c>
      <c r="J85" s="59">
        <f t="shared" si="59"/>
        <v>6.9468620865656652E-2</v>
      </c>
      <c r="K85" s="59">
        <f t="shared" si="59"/>
        <v>6.8988627492572174E-2</v>
      </c>
      <c r="L85" s="59">
        <f t="shared" si="59"/>
        <v>6.8435214204461109E-2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D04FB-2D1A-472D-A630-2F42F8B35EBC}">
  <dimension ref="A1:Q109"/>
  <sheetViews>
    <sheetView showGridLines="0" topLeftCell="A31" workbookViewId="0">
      <selection activeCell="O72" sqref="O72"/>
    </sheetView>
  </sheetViews>
  <sheetFormatPr baseColWidth="10" defaultColWidth="25.6640625" defaultRowHeight="10.199999999999999" x14ac:dyDescent="0.2"/>
  <cols>
    <col min="1" max="1" width="38.6640625" style="100" customWidth="1"/>
    <col min="2" max="2" width="15" style="109" bestFit="1" customWidth="1"/>
    <col min="3" max="5" width="15" style="109" customWidth="1"/>
    <col min="6" max="6" width="4.5546875" style="122" customWidth="1"/>
    <col min="7" max="7" width="18.6640625" style="100" customWidth="1"/>
    <col min="8" max="8" width="16" style="100" hidden="1" customWidth="1"/>
    <col min="9" max="9" width="14.109375" style="100" bestFit="1" customWidth="1"/>
    <col min="10" max="10" width="13.109375" style="100" hidden="1" customWidth="1"/>
    <col min="11" max="11" width="14.5546875" style="100" customWidth="1"/>
    <col min="12" max="12" width="17.6640625" style="100" hidden="1" customWidth="1"/>
    <col min="13" max="13" width="11.6640625" style="100" hidden="1" customWidth="1"/>
    <col min="14" max="14" width="13.44140625" style="121" customWidth="1"/>
    <col min="15" max="15" width="14.6640625" style="121" customWidth="1"/>
    <col min="16" max="16" width="14.109375" style="121" customWidth="1"/>
    <col min="17" max="17" width="17.33203125" style="100" customWidth="1"/>
    <col min="18" max="259" width="25.6640625" style="100"/>
    <col min="260" max="260" width="14.109375" style="100" customWidth="1"/>
    <col min="261" max="261" width="10.88671875" style="100" customWidth="1"/>
    <col min="262" max="263" width="9.33203125" style="100" customWidth="1"/>
    <col min="264" max="264" width="10.44140625" style="100" customWidth="1"/>
    <col min="265" max="265" width="10.6640625" style="100" customWidth="1"/>
    <col min="266" max="266" width="9.6640625" style="100" customWidth="1"/>
    <col min="267" max="267" width="10.5546875" style="100" customWidth="1"/>
    <col min="268" max="268" width="10.6640625" style="100" customWidth="1"/>
    <col min="269" max="269" width="11.33203125" style="100" customWidth="1"/>
    <col min="270" max="270" width="10.6640625" style="100" customWidth="1"/>
    <col min="271" max="271" width="10.44140625" style="100" customWidth="1"/>
    <col min="272" max="272" width="5.109375" style="100" customWidth="1"/>
    <col min="273" max="515" width="25.6640625" style="100"/>
    <col min="516" max="516" width="14.109375" style="100" customWidth="1"/>
    <col min="517" max="517" width="10.88671875" style="100" customWidth="1"/>
    <col min="518" max="519" width="9.33203125" style="100" customWidth="1"/>
    <col min="520" max="520" width="10.44140625" style="100" customWidth="1"/>
    <col min="521" max="521" width="10.6640625" style="100" customWidth="1"/>
    <col min="522" max="522" width="9.6640625" style="100" customWidth="1"/>
    <col min="523" max="523" width="10.5546875" style="100" customWidth="1"/>
    <col min="524" max="524" width="10.6640625" style="100" customWidth="1"/>
    <col min="525" max="525" width="11.33203125" style="100" customWidth="1"/>
    <col min="526" max="526" width="10.6640625" style="100" customWidth="1"/>
    <col min="527" max="527" width="10.44140625" style="100" customWidth="1"/>
    <col min="528" max="528" width="5.109375" style="100" customWidth="1"/>
    <col min="529" max="771" width="25.6640625" style="100"/>
    <col min="772" max="772" width="14.109375" style="100" customWidth="1"/>
    <col min="773" max="773" width="10.88671875" style="100" customWidth="1"/>
    <col min="774" max="775" width="9.33203125" style="100" customWidth="1"/>
    <col min="776" max="776" width="10.44140625" style="100" customWidth="1"/>
    <col min="777" max="777" width="10.6640625" style="100" customWidth="1"/>
    <col min="778" max="778" width="9.6640625" style="100" customWidth="1"/>
    <col min="779" max="779" width="10.5546875" style="100" customWidth="1"/>
    <col min="780" max="780" width="10.6640625" style="100" customWidth="1"/>
    <col min="781" max="781" width="11.33203125" style="100" customWidth="1"/>
    <col min="782" max="782" width="10.6640625" style="100" customWidth="1"/>
    <col min="783" max="783" width="10.44140625" style="100" customWidth="1"/>
    <col min="784" max="784" width="5.109375" style="100" customWidth="1"/>
    <col min="785" max="1027" width="25.6640625" style="100"/>
    <col min="1028" max="1028" width="14.109375" style="100" customWidth="1"/>
    <col min="1029" max="1029" width="10.88671875" style="100" customWidth="1"/>
    <col min="1030" max="1031" width="9.33203125" style="100" customWidth="1"/>
    <col min="1032" max="1032" width="10.44140625" style="100" customWidth="1"/>
    <col min="1033" max="1033" width="10.6640625" style="100" customWidth="1"/>
    <col min="1034" max="1034" width="9.6640625" style="100" customWidth="1"/>
    <col min="1035" max="1035" width="10.5546875" style="100" customWidth="1"/>
    <col min="1036" max="1036" width="10.6640625" style="100" customWidth="1"/>
    <col min="1037" max="1037" width="11.33203125" style="100" customWidth="1"/>
    <col min="1038" max="1038" width="10.6640625" style="100" customWidth="1"/>
    <col min="1039" max="1039" width="10.44140625" style="100" customWidth="1"/>
    <col min="1040" max="1040" width="5.109375" style="100" customWidth="1"/>
    <col min="1041" max="1283" width="25.6640625" style="100"/>
    <col min="1284" max="1284" width="14.109375" style="100" customWidth="1"/>
    <col min="1285" max="1285" width="10.88671875" style="100" customWidth="1"/>
    <col min="1286" max="1287" width="9.33203125" style="100" customWidth="1"/>
    <col min="1288" max="1288" width="10.44140625" style="100" customWidth="1"/>
    <col min="1289" max="1289" width="10.6640625" style="100" customWidth="1"/>
    <col min="1290" max="1290" width="9.6640625" style="100" customWidth="1"/>
    <col min="1291" max="1291" width="10.5546875" style="100" customWidth="1"/>
    <col min="1292" max="1292" width="10.6640625" style="100" customWidth="1"/>
    <col min="1293" max="1293" width="11.33203125" style="100" customWidth="1"/>
    <col min="1294" max="1294" width="10.6640625" style="100" customWidth="1"/>
    <col min="1295" max="1295" width="10.44140625" style="100" customWidth="1"/>
    <col min="1296" max="1296" width="5.109375" style="100" customWidth="1"/>
    <col min="1297" max="1539" width="25.6640625" style="100"/>
    <col min="1540" max="1540" width="14.109375" style="100" customWidth="1"/>
    <col min="1541" max="1541" width="10.88671875" style="100" customWidth="1"/>
    <col min="1542" max="1543" width="9.33203125" style="100" customWidth="1"/>
    <col min="1544" max="1544" width="10.44140625" style="100" customWidth="1"/>
    <col min="1545" max="1545" width="10.6640625" style="100" customWidth="1"/>
    <col min="1546" max="1546" width="9.6640625" style="100" customWidth="1"/>
    <col min="1547" max="1547" width="10.5546875" style="100" customWidth="1"/>
    <col min="1548" max="1548" width="10.6640625" style="100" customWidth="1"/>
    <col min="1549" max="1549" width="11.33203125" style="100" customWidth="1"/>
    <col min="1550" max="1550" width="10.6640625" style="100" customWidth="1"/>
    <col min="1551" max="1551" width="10.44140625" style="100" customWidth="1"/>
    <col min="1552" max="1552" width="5.109375" style="100" customWidth="1"/>
    <col min="1553" max="1795" width="25.6640625" style="100"/>
    <col min="1796" max="1796" width="14.109375" style="100" customWidth="1"/>
    <col min="1797" max="1797" width="10.88671875" style="100" customWidth="1"/>
    <col min="1798" max="1799" width="9.33203125" style="100" customWidth="1"/>
    <col min="1800" max="1800" width="10.44140625" style="100" customWidth="1"/>
    <col min="1801" max="1801" width="10.6640625" style="100" customWidth="1"/>
    <col min="1802" max="1802" width="9.6640625" style="100" customWidth="1"/>
    <col min="1803" max="1803" width="10.5546875" style="100" customWidth="1"/>
    <col min="1804" max="1804" width="10.6640625" style="100" customWidth="1"/>
    <col min="1805" max="1805" width="11.33203125" style="100" customWidth="1"/>
    <col min="1806" max="1806" width="10.6640625" style="100" customWidth="1"/>
    <col min="1807" max="1807" width="10.44140625" style="100" customWidth="1"/>
    <col min="1808" max="1808" width="5.109375" style="100" customWidth="1"/>
    <col min="1809" max="2051" width="25.6640625" style="100"/>
    <col min="2052" max="2052" width="14.109375" style="100" customWidth="1"/>
    <col min="2053" max="2053" width="10.88671875" style="100" customWidth="1"/>
    <col min="2054" max="2055" width="9.33203125" style="100" customWidth="1"/>
    <col min="2056" max="2056" width="10.44140625" style="100" customWidth="1"/>
    <col min="2057" max="2057" width="10.6640625" style="100" customWidth="1"/>
    <col min="2058" max="2058" width="9.6640625" style="100" customWidth="1"/>
    <col min="2059" max="2059" width="10.5546875" style="100" customWidth="1"/>
    <col min="2060" max="2060" width="10.6640625" style="100" customWidth="1"/>
    <col min="2061" max="2061" width="11.33203125" style="100" customWidth="1"/>
    <col min="2062" max="2062" width="10.6640625" style="100" customWidth="1"/>
    <col min="2063" max="2063" width="10.44140625" style="100" customWidth="1"/>
    <col min="2064" max="2064" width="5.109375" style="100" customWidth="1"/>
    <col min="2065" max="2307" width="25.6640625" style="100"/>
    <col min="2308" max="2308" width="14.109375" style="100" customWidth="1"/>
    <col min="2309" max="2309" width="10.88671875" style="100" customWidth="1"/>
    <col min="2310" max="2311" width="9.33203125" style="100" customWidth="1"/>
    <col min="2312" max="2312" width="10.44140625" style="100" customWidth="1"/>
    <col min="2313" max="2313" width="10.6640625" style="100" customWidth="1"/>
    <col min="2314" max="2314" width="9.6640625" style="100" customWidth="1"/>
    <col min="2315" max="2315" width="10.5546875" style="100" customWidth="1"/>
    <col min="2316" max="2316" width="10.6640625" style="100" customWidth="1"/>
    <col min="2317" max="2317" width="11.33203125" style="100" customWidth="1"/>
    <col min="2318" max="2318" width="10.6640625" style="100" customWidth="1"/>
    <col min="2319" max="2319" width="10.44140625" style="100" customWidth="1"/>
    <col min="2320" max="2320" width="5.109375" style="100" customWidth="1"/>
    <col min="2321" max="2563" width="25.6640625" style="100"/>
    <col min="2564" max="2564" width="14.109375" style="100" customWidth="1"/>
    <col min="2565" max="2565" width="10.88671875" style="100" customWidth="1"/>
    <col min="2566" max="2567" width="9.33203125" style="100" customWidth="1"/>
    <col min="2568" max="2568" width="10.44140625" style="100" customWidth="1"/>
    <col min="2569" max="2569" width="10.6640625" style="100" customWidth="1"/>
    <col min="2570" max="2570" width="9.6640625" style="100" customWidth="1"/>
    <col min="2571" max="2571" width="10.5546875" style="100" customWidth="1"/>
    <col min="2572" max="2572" width="10.6640625" style="100" customWidth="1"/>
    <col min="2573" max="2573" width="11.33203125" style="100" customWidth="1"/>
    <col min="2574" max="2574" width="10.6640625" style="100" customWidth="1"/>
    <col min="2575" max="2575" width="10.44140625" style="100" customWidth="1"/>
    <col min="2576" max="2576" width="5.109375" style="100" customWidth="1"/>
    <col min="2577" max="2819" width="25.6640625" style="100"/>
    <col min="2820" max="2820" width="14.109375" style="100" customWidth="1"/>
    <col min="2821" max="2821" width="10.88671875" style="100" customWidth="1"/>
    <col min="2822" max="2823" width="9.33203125" style="100" customWidth="1"/>
    <col min="2824" max="2824" width="10.44140625" style="100" customWidth="1"/>
    <col min="2825" max="2825" width="10.6640625" style="100" customWidth="1"/>
    <col min="2826" max="2826" width="9.6640625" style="100" customWidth="1"/>
    <col min="2827" max="2827" width="10.5546875" style="100" customWidth="1"/>
    <col min="2828" max="2828" width="10.6640625" style="100" customWidth="1"/>
    <col min="2829" max="2829" width="11.33203125" style="100" customWidth="1"/>
    <col min="2830" max="2830" width="10.6640625" style="100" customWidth="1"/>
    <col min="2831" max="2831" width="10.44140625" style="100" customWidth="1"/>
    <col min="2832" max="2832" width="5.109375" style="100" customWidth="1"/>
    <col min="2833" max="3075" width="25.6640625" style="100"/>
    <col min="3076" max="3076" width="14.109375" style="100" customWidth="1"/>
    <col min="3077" max="3077" width="10.88671875" style="100" customWidth="1"/>
    <col min="3078" max="3079" width="9.33203125" style="100" customWidth="1"/>
    <col min="3080" max="3080" width="10.44140625" style="100" customWidth="1"/>
    <col min="3081" max="3081" width="10.6640625" style="100" customWidth="1"/>
    <col min="3082" max="3082" width="9.6640625" style="100" customWidth="1"/>
    <col min="3083" max="3083" width="10.5546875" style="100" customWidth="1"/>
    <col min="3084" max="3084" width="10.6640625" style="100" customWidth="1"/>
    <col min="3085" max="3085" width="11.33203125" style="100" customWidth="1"/>
    <col min="3086" max="3086" width="10.6640625" style="100" customWidth="1"/>
    <col min="3087" max="3087" width="10.44140625" style="100" customWidth="1"/>
    <col min="3088" max="3088" width="5.109375" style="100" customWidth="1"/>
    <col min="3089" max="3331" width="25.6640625" style="100"/>
    <col min="3332" max="3332" width="14.109375" style="100" customWidth="1"/>
    <col min="3333" max="3333" width="10.88671875" style="100" customWidth="1"/>
    <col min="3334" max="3335" width="9.33203125" style="100" customWidth="1"/>
    <col min="3336" max="3336" width="10.44140625" style="100" customWidth="1"/>
    <col min="3337" max="3337" width="10.6640625" style="100" customWidth="1"/>
    <col min="3338" max="3338" width="9.6640625" style="100" customWidth="1"/>
    <col min="3339" max="3339" width="10.5546875" style="100" customWidth="1"/>
    <col min="3340" max="3340" width="10.6640625" style="100" customWidth="1"/>
    <col min="3341" max="3341" width="11.33203125" style="100" customWidth="1"/>
    <col min="3342" max="3342" width="10.6640625" style="100" customWidth="1"/>
    <col min="3343" max="3343" width="10.44140625" style="100" customWidth="1"/>
    <col min="3344" max="3344" width="5.109375" style="100" customWidth="1"/>
    <col min="3345" max="3587" width="25.6640625" style="100"/>
    <col min="3588" max="3588" width="14.109375" style="100" customWidth="1"/>
    <col min="3589" max="3589" width="10.88671875" style="100" customWidth="1"/>
    <col min="3590" max="3591" width="9.33203125" style="100" customWidth="1"/>
    <col min="3592" max="3592" width="10.44140625" style="100" customWidth="1"/>
    <col min="3593" max="3593" width="10.6640625" style="100" customWidth="1"/>
    <col min="3594" max="3594" width="9.6640625" style="100" customWidth="1"/>
    <col min="3595" max="3595" width="10.5546875" style="100" customWidth="1"/>
    <col min="3596" max="3596" width="10.6640625" style="100" customWidth="1"/>
    <col min="3597" max="3597" width="11.33203125" style="100" customWidth="1"/>
    <col min="3598" max="3598" width="10.6640625" style="100" customWidth="1"/>
    <col min="3599" max="3599" width="10.44140625" style="100" customWidth="1"/>
    <col min="3600" max="3600" width="5.109375" style="100" customWidth="1"/>
    <col min="3601" max="3843" width="25.6640625" style="100"/>
    <col min="3844" max="3844" width="14.109375" style="100" customWidth="1"/>
    <col min="3845" max="3845" width="10.88671875" style="100" customWidth="1"/>
    <col min="3846" max="3847" width="9.33203125" style="100" customWidth="1"/>
    <col min="3848" max="3848" width="10.44140625" style="100" customWidth="1"/>
    <col min="3849" max="3849" width="10.6640625" style="100" customWidth="1"/>
    <col min="3850" max="3850" width="9.6640625" style="100" customWidth="1"/>
    <col min="3851" max="3851" width="10.5546875" style="100" customWidth="1"/>
    <col min="3852" max="3852" width="10.6640625" style="100" customWidth="1"/>
    <col min="3853" max="3853" width="11.33203125" style="100" customWidth="1"/>
    <col min="3854" max="3854" width="10.6640625" style="100" customWidth="1"/>
    <col min="3855" max="3855" width="10.44140625" style="100" customWidth="1"/>
    <col min="3856" max="3856" width="5.109375" style="100" customWidth="1"/>
    <col min="3857" max="4099" width="25.6640625" style="100"/>
    <col min="4100" max="4100" width="14.109375" style="100" customWidth="1"/>
    <col min="4101" max="4101" width="10.88671875" style="100" customWidth="1"/>
    <col min="4102" max="4103" width="9.33203125" style="100" customWidth="1"/>
    <col min="4104" max="4104" width="10.44140625" style="100" customWidth="1"/>
    <col min="4105" max="4105" width="10.6640625" style="100" customWidth="1"/>
    <col min="4106" max="4106" width="9.6640625" style="100" customWidth="1"/>
    <col min="4107" max="4107" width="10.5546875" style="100" customWidth="1"/>
    <col min="4108" max="4108" width="10.6640625" style="100" customWidth="1"/>
    <col min="4109" max="4109" width="11.33203125" style="100" customWidth="1"/>
    <col min="4110" max="4110" width="10.6640625" style="100" customWidth="1"/>
    <col min="4111" max="4111" width="10.44140625" style="100" customWidth="1"/>
    <col min="4112" max="4112" width="5.109375" style="100" customWidth="1"/>
    <col min="4113" max="4355" width="25.6640625" style="100"/>
    <col min="4356" max="4356" width="14.109375" style="100" customWidth="1"/>
    <col min="4357" max="4357" width="10.88671875" style="100" customWidth="1"/>
    <col min="4358" max="4359" width="9.33203125" style="100" customWidth="1"/>
    <col min="4360" max="4360" width="10.44140625" style="100" customWidth="1"/>
    <col min="4361" max="4361" width="10.6640625" style="100" customWidth="1"/>
    <col min="4362" max="4362" width="9.6640625" style="100" customWidth="1"/>
    <col min="4363" max="4363" width="10.5546875" style="100" customWidth="1"/>
    <col min="4364" max="4364" width="10.6640625" style="100" customWidth="1"/>
    <col min="4365" max="4365" width="11.33203125" style="100" customWidth="1"/>
    <col min="4366" max="4366" width="10.6640625" style="100" customWidth="1"/>
    <col min="4367" max="4367" width="10.44140625" style="100" customWidth="1"/>
    <col min="4368" max="4368" width="5.109375" style="100" customWidth="1"/>
    <col min="4369" max="4611" width="25.6640625" style="100"/>
    <col min="4612" max="4612" width="14.109375" style="100" customWidth="1"/>
    <col min="4613" max="4613" width="10.88671875" style="100" customWidth="1"/>
    <col min="4614" max="4615" width="9.33203125" style="100" customWidth="1"/>
    <col min="4616" max="4616" width="10.44140625" style="100" customWidth="1"/>
    <col min="4617" max="4617" width="10.6640625" style="100" customWidth="1"/>
    <col min="4618" max="4618" width="9.6640625" style="100" customWidth="1"/>
    <col min="4619" max="4619" width="10.5546875" style="100" customWidth="1"/>
    <col min="4620" max="4620" width="10.6640625" style="100" customWidth="1"/>
    <col min="4621" max="4621" width="11.33203125" style="100" customWidth="1"/>
    <col min="4622" max="4622" width="10.6640625" style="100" customWidth="1"/>
    <col min="4623" max="4623" width="10.44140625" style="100" customWidth="1"/>
    <col min="4624" max="4624" width="5.109375" style="100" customWidth="1"/>
    <col min="4625" max="4867" width="25.6640625" style="100"/>
    <col min="4868" max="4868" width="14.109375" style="100" customWidth="1"/>
    <col min="4869" max="4869" width="10.88671875" style="100" customWidth="1"/>
    <col min="4870" max="4871" width="9.33203125" style="100" customWidth="1"/>
    <col min="4872" max="4872" width="10.44140625" style="100" customWidth="1"/>
    <col min="4873" max="4873" width="10.6640625" style="100" customWidth="1"/>
    <col min="4874" max="4874" width="9.6640625" style="100" customWidth="1"/>
    <col min="4875" max="4875" width="10.5546875" style="100" customWidth="1"/>
    <col min="4876" max="4876" width="10.6640625" style="100" customWidth="1"/>
    <col min="4877" max="4877" width="11.33203125" style="100" customWidth="1"/>
    <col min="4878" max="4878" width="10.6640625" style="100" customWidth="1"/>
    <col min="4879" max="4879" width="10.44140625" style="100" customWidth="1"/>
    <col min="4880" max="4880" width="5.109375" style="100" customWidth="1"/>
    <col min="4881" max="5123" width="25.6640625" style="100"/>
    <col min="5124" max="5124" width="14.109375" style="100" customWidth="1"/>
    <col min="5125" max="5125" width="10.88671875" style="100" customWidth="1"/>
    <col min="5126" max="5127" width="9.33203125" style="100" customWidth="1"/>
    <col min="5128" max="5128" width="10.44140625" style="100" customWidth="1"/>
    <col min="5129" max="5129" width="10.6640625" style="100" customWidth="1"/>
    <col min="5130" max="5130" width="9.6640625" style="100" customWidth="1"/>
    <col min="5131" max="5131" width="10.5546875" style="100" customWidth="1"/>
    <col min="5132" max="5132" width="10.6640625" style="100" customWidth="1"/>
    <col min="5133" max="5133" width="11.33203125" style="100" customWidth="1"/>
    <col min="5134" max="5134" width="10.6640625" style="100" customWidth="1"/>
    <col min="5135" max="5135" width="10.44140625" style="100" customWidth="1"/>
    <col min="5136" max="5136" width="5.109375" style="100" customWidth="1"/>
    <col min="5137" max="5379" width="25.6640625" style="100"/>
    <col min="5380" max="5380" width="14.109375" style="100" customWidth="1"/>
    <col min="5381" max="5381" width="10.88671875" style="100" customWidth="1"/>
    <col min="5382" max="5383" width="9.33203125" style="100" customWidth="1"/>
    <col min="5384" max="5384" width="10.44140625" style="100" customWidth="1"/>
    <col min="5385" max="5385" width="10.6640625" style="100" customWidth="1"/>
    <col min="5386" max="5386" width="9.6640625" style="100" customWidth="1"/>
    <col min="5387" max="5387" width="10.5546875" style="100" customWidth="1"/>
    <col min="5388" max="5388" width="10.6640625" style="100" customWidth="1"/>
    <col min="5389" max="5389" width="11.33203125" style="100" customWidth="1"/>
    <col min="5390" max="5390" width="10.6640625" style="100" customWidth="1"/>
    <col min="5391" max="5391" width="10.44140625" style="100" customWidth="1"/>
    <col min="5392" max="5392" width="5.109375" style="100" customWidth="1"/>
    <col min="5393" max="5635" width="25.6640625" style="100"/>
    <col min="5636" max="5636" width="14.109375" style="100" customWidth="1"/>
    <col min="5637" max="5637" width="10.88671875" style="100" customWidth="1"/>
    <col min="5638" max="5639" width="9.33203125" style="100" customWidth="1"/>
    <col min="5640" max="5640" width="10.44140625" style="100" customWidth="1"/>
    <col min="5641" max="5641" width="10.6640625" style="100" customWidth="1"/>
    <col min="5642" max="5642" width="9.6640625" style="100" customWidth="1"/>
    <col min="5643" max="5643" width="10.5546875" style="100" customWidth="1"/>
    <col min="5644" max="5644" width="10.6640625" style="100" customWidth="1"/>
    <col min="5645" max="5645" width="11.33203125" style="100" customWidth="1"/>
    <col min="5646" max="5646" width="10.6640625" style="100" customWidth="1"/>
    <col min="5647" max="5647" width="10.44140625" style="100" customWidth="1"/>
    <col min="5648" max="5648" width="5.109375" style="100" customWidth="1"/>
    <col min="5649" max="5891" width="25.6640625" style="100"/>
    <col min="5892" max="5892" width="14.109375" style="100" customWidth="1"/>
    <col min="5893" max="5893" width="10.88671875" style="100" customWidth="1"/>
    <col min="5894" max="5895" width="9.33203125" style="100" customWidth="1"/>
    <col min="5896" max="5896" width="10.44140625" style="100" customWidth="1"/>
    <col min="5897" max="5897" width="10.6640625" style="100" customWidth="1"/>
    <col min="5898" max="5898" width="9.6640625" style="100" customWidth="1"/>
    <col min="5899" max="5899" width="10.5546875" style="100" customWidth="1"/>
    <col min="5900" max="5900" width="10.6640625" style="100" customWidth="1"/>
    <col min="5901" max="5901" width="11.33203125" style="100" customWidth="1"/>
    <col min="5902" max="5902" width="10.6640625" style="100" customWidth="1"/>
    <col min="5903" max="5903" width="10.44140625" style="100" customWidth="1"/>
    <col min="5904" max="5904" width="5.109375" style="100" customWidth="1"/>
    <col min="5905" max="6147" width="25.6640625" style="100"/>
    <col min="6148" max="6148" width="14.109375" style="100" customWidth="1"/>
    <col min="6149" max="6149" width="10.88671875" style="100" customWidth="1"/>
    <col min="6150" max="6151" width="9.33203125" style="100" customWidth="1"/>
    <col min="6152" max="6152" width="10.44140625" style="100" customWidth="1"/>
    <col min="6153" max="6153" width="10.6640625" style="100" customWidth="1"/>
    <col min="6154" max="6154" width="9.6640625" style="100" customWidth="1"/>
    <col min="6155" max="6155" width="10.5546875" style="100" customWidth="1"/>
    <col min="6156" max="6156" width="10.6640625" style="100" customWidth="1"/>
    <col min="6157" max="6157" width="11.33203125" style="100" customWidth="1"/>
    <col min="6158" max="6158" width="10.6640625" style="100" customWidth="1"/>
    <col min="6159" max="6159" width="10.44140625" style="100" customWidth="1"/>
    <col min="6160" max="6160" width="5.109375" style="100" customWidth="1"/>
    <col min="6161" max="6403" width="25.6640625" style="100"/>
    <col min="6404" max="6404" width="14.109375" style="100" customWidth="1"/>
    <col min="6405" max="6405" width="10.88671875" style="100" customWidth="1"/>
    <col min="6406" max="6407" width="9.33203125" style="100" customWidth="1"/>
    <col min="6408" max="6408" width="10.44140625" style="100" customWidth="1"/>
    <col min="6409" max="6409" width="10.6640625" style="100" customWidth="1"/>
    <col min="6410" max="6410" width="9.6640625" style="100" customWidth="1"/>
    <col min="6411" max="6411" width="10.5546875" style="100" customWidth="1"/>
    <col min="6412" max="6412" width="10.6640625" style="100" customWidth="1"/>
    <col min="6413" max="6413" width="11.33203125" style="100" customWidth="1"/>
    <col min="6414" max="6414" width="10.6640625" style="100" customWidth="1"/>
    <col min="6415" max="6415" width="10.44140625" style="100" customWidth="1"/>
    <col min="6416" max="6416" width="5.109375" style="100" customWidth="1"/>
    <col min="6417" max="6659" width="25.6640625" style="100"/>
    <col min="6660" max="6660" width="14.109375" style="100" customWidth="1"/>
    <col min="6661" max="6661" width="10.88671875" style="100" customWidth="1"/>
    <col min="6662" max="6663" width="9.33203125" style="100" customWidth="1"/>
    <col min="6664" max="6664" width="10.44140625" style="100" customWidth="1"/>
    <col min="6665" max="6665" width="10.6640625" style="100" customWidth="1"/>
    <col min="6666" max="6666" width="9.6640625" style="100" customWidth="1"/>
    <col min="6667" max="6667" width="10.5546875" style="100" customWidth="1"/>
    <col min="6668" max="6668" width="10.6640625" style="100" customWidth="1"/>
    <col min="6669" max="6669" width="11.33203125" style="100" customWidth="1"/>
    <col min="6670" max="6670" width="10.6640625" style="100" customWidth="1"/>
    <col min="6671" max="6671" width="10.44140625" style="100" customWidth="1"/>
    <col min="6672" max="6672" width="5.109375" style="100" customWidth="1"/>
    <col min="6673" max="6915" width="25.6640625" style="100"/>
    <col min="6916" max="6916" width="14.109375" style="100" customWidth="1"/>
    <col min="6917" max="6917" width="10.88671875" style="100" customWidth="1"/>
    <col min="6918" max="6919" width="9.33203125" style="100" customWidth="1"/>
    <col min="6920" max="6920" width="10.44140625" style="100" customWidth="1"/>
    <col min="6921" max="6921" width="10.6640625" style="100" customWidth="1"/>
    <col min="6922" max="6922" width="9.6640625" style="100" customWidth="1"/>
    <col min="6923" max="6923" width="10.5546875" style="100" customWidth="1"/>
    <col min="6924" max="6924" width="10.6640625" style="100" customWidth="1"/>
    <col min="6925" max="6925" width="11.33203125" style="100" customWidth="1"/>
    <col min="6926" max="6926" width="10.6640625" style="100" customWidth="1"/>
    <col min="6927" max="6927" width="10.44140625" style="100" customWidth="1"/>
    <col min="6928" max="6928" width="5.109375" style="100" customWidth="1"/>
    <col min="6929" max="7171" width="25.6640625" style="100"/>
    <col min="7172" max="7172" width="14.109375" style="100" customWidth="1"/>
    <col min="7173" max="7173" width="10.88671875" style="100" customWidth="1"/>
    <col min="7174" max="7175" width="9.33203125" style="100" customWidth="1"/>
    <col min="7176" max="7176" width="10.44140625" style="100" customWidth="1"/>
    <col min="7177" max="7177" width="10.6640625" style="100" customWidth="1"/>
    <col min="7178" max="7178" width="9.6640625" style="100" customWidth="1"/>
    <col min="7179" max="7179" width="10.5546875" style="100" customWidth="1"/>
    <col min="7180" max="7180" width="10.6640625" style="100" customWidth="1"/>
    <col min="7181" max="7181" width="11.33203125" style="100" customWidth="1"/>
    <col min="7182" max="7182" width="10.6640625" style="100" customWidth="1"/>
    <col min="7183" max="7183" width="10.44140625" style="100" customWidth="1"/>
    <col min="7184" max="7184" width="5.109375" style="100" customWidth="1"/>
    <col min="7185" max="7427" width="25.6640625" style="100"/>
    <col min="7428" max="7428" width="14.109375" style="100" customWidth="1"/>
    <col min="7429" max="7429" width="10.88671875" style="100" customWidth="1"/>
    <col min="7430" max="7431" width="9.33203125" style="100" customWidth="1"/>
    <col min="7432" max="7432" width="10.44140625" style="100" customWidth="1"/>
    <col min="7433" max="7433" width="10.6640625" style="100" customWidth="1"/>
    <col min="7434" max="7434" width="9.6640625" style="100" customWidth="1"/>
    <col min="7435" max="7435" width="10.5546875" style="100" customWidth="1"/>
    <col min="7436" max="7436" width="10.6640625" style="100" customWidth="1"/>
    <col min="7437" max="7437" width="11.33203125" style="100" customWidth="1"/>
    <col min="7438" max="7438" width="10.6640625" style="100" customWidth="1"/>
    <col min="7439" max="7439" width="10.44140625" style="100" customWidth="1"/>
    <col min="7440" max="7440" width="5.109375" style="100" customWidth="1"/>
    <col min="7441" max="7683" width="25.6640625" style="100"/>
    <col min="7684" max="7684" width="14.109375" style="100" customWidth="1"/>
    <col min="7685" max="7685" width="10.88671875" style="100" customWidth="1"/>
    <col min="7686" max="7687" width="9.33203125" style="100" customWidth="1"/>
    <col min="7688" max="7688" width="10.44140625" style="100" customWidth="1"/>
    <col min="7689" max="7689" width="10.6640625" style="100" customWidth="1"/>
    <col min="7690" max="7690" width="9.6640625" style="100" customWidth="1"/>
    <col min="7691" max="7691" width="10.5546875" style="100" customWidth="1"/>
    <col min="7692" max="7692" width="10.6640625" style="100" customWidth="1"/>
    <col min="7693" max="7693" width="11.33203125" style="100" customWidth="1"/>
    <col min="7694" max="7694" width="10.6640625" style="100" customWidth="1"/>
    <col min="7695" max="7695" width="10.44140625" style="100" customWidth="1"/>
    <col min="7696" max="7696" width="5.109375" style="100" customWidth="1"/>
    <col min="7697" max="7939" width="25.6640625" style="100"/>
    <col min="7940" max="7940" width="14.109375" style="100" customWidth="1"/>
    <col min="7941" max="7941" width="10.88671875" style="100" customWidth="1"/>
    <col min="7942" max="7943" width="9.33203125" style="100" customWidth="1"/>
    <col min="7944" max="7944" width="10.44140625" style="100" customWidth="1"/>
    <col min="7945" max="7945" width="10.6640625" style="100" customWidth="1"/>
    <col min="7946" max="7946" width="9.6640625" style="100" customWidth="1"/>
    <col min="7947" max="7947" width="10.5546875" style="100" customWidth="1"/>
    <col min="7948" max="7948" width="10.6640625" style="100" customWidth="1"/>
    <col min="7949" max="7949" width="11.33203125" style="100" customWidth="1"/>
    <col min="7950" max="7950" width="10.6640625" style="100" customWidth="1"/>
    <col min="7951" max="7951" width="10.44140625" style="100" customWidth="1"/>
    <col min="7952" max="7952" width="5.109375" style="100" customWidth="1"/>
    <col min="7953" max="8195" width="25.6640625" style="100"/>
    <col min="8196" max="8196" width="14.109375" style="100" customWidth="1"/>
    <col min="8197" max="8197" width="10.88671875" style="100" customWidth="1"/>
    <col min="8198" max="8199" width="9.33203125" style="100" customWidth="1"/>
    <col min="8200" max="8200" width="10.44140625" style="100" customWidth="1"/>
    <col min="8201" max="8201" width="10.6640625" style="100" customWidth="1"/>
    <col min="8202" max="8202" width="9.6640625" style="100" customWidth="1"/>
    <col min="8203" max="8203" width="10.5546875" style="100" customWidth="1"/>
    <col min="8204" max="8204" width="10.6640625" style="100" customWidth="1"/>
    <col min="8205" max="8205" width="11.33203125" style="100" customWidth="1"/>
    <col min="8206" max="8206" width="10.6640625" style="100" customWidth="1"/>
    <col min="8207" max="8207" width="10.44140625" style="100" customWidth="1"/>
    <col min="8208" max="8208" width="5.109375" style="100" customWidth="1"/>
    <col min="8209" max="8451" width="25.6640625" style="100"/>
    <col min="8452" max="8452" width="14.109375" style="100" customWidth="1"/>
    <col min="8453" max="8453" width="10.88671875" style="100" customWidth="1"/>
    <col min="8454" max="8455" width="9.33203125" style="100" customWidth="1"/>
    <col min="8456" max="8456" width="10.44140625" style="100" customWidth="1"/>
    <col min="8457" max="8457" width="10.6640625" style="100" customWidth="1"/>
    <col min="8458" max="8458" width="9.6640625" style="100" customWidth="1"/>
    <col min="8459" max="8459" width="10.5546875" style="100" customWidth="1"/>
    <col min="8460" max="8460" width="10.6640625" style="100" customWidth="1"/>
    <col min="8461" max="8461" width="11.33203125" style="100" customWidth="1"/>
    <col min="8462" max="8462" width="10.6640625" style="100" customWidth="1"/>
    <col min="8463" max="8463" width="10.44140625" style="100" customWidth="1"/>
    <col min="8464" max="8464" width="5.109375" style="100" customWidth="1"/>
    <col min="8465" max="8707" width="25.6640625" style="100"/>
    <col min="8708" max="8708" width="14.109375" style="100" customWidth="1"/>
    <col min="8709" max="8709" width="10.88671875" style="100" customWidth="1"/>
    <col min="8710" max="8711" width="9.33203125" style="100" customWidth="1"/>
    <col min="8712" max="8712" width="10.44140625" style="100" customWidth="1"/>
    <col min="8713" max="8713" width="10.6640625" style="100" customWidth="1"/>
    <col min="8714" max="8714" width="9.6640625" style="100" customWidth="1"/>
    <col min="8715" max="8715" width="10.5546875" style="100" customWidth="1"/>
    <col min="8716" max="8716" width="10.6640625" style="100" customWidth="1"/>
    <col min="8717" max="8717" width="11.33203125" style="100" customWidth="1"/>
    <col min="8718" max="8718" width="10.6640625" style="100" customWidth="1"/>
    <col min="8719" max="8719" width="10.44140625" style="100" customWidth="1"/>
    <col min="8720" max="8720" width="5.109375" style="100" customWidth="1"/>
    <col min="8721" max="8963" width="25.6640625" style="100"/>
    <col min="8964" max="8964" width="14.109375" style="100" customWidth="1"/>
    <col min="8965" max="8965" width="10.88671875" style="100" customWidth="1"/>
    <col min="8966" max="8967" width="9.33203125" style="100" customWidth="1"/>
    <col min="8968" max="8968" width="10.44140625" style="100" customWidth="1"/>
    <col min="8969" max="8969" width="10.6640625" style="100" customWidth="1"/>
    <col min="8970" max="8970" width="9.6640625" style="100" customWidth="1"/>
    <col min="8971" max="8971" width="10.5546875" style="100" customWidth="1"/>
    <col min="8972" max="8972" width="10.6640625" style="100" customWidth="1"/>
    <col min="8973" max="8973" width="11.33203125" style="100" customWidth="1"/>
    <col min="8974" max="8974" width="10.6640625" style="100" customWidth="1"/>
    <col min="8975" max="8975" width="10.44140625" style="100" customWidth="1"/>
    <col min="8976" max="8976" width="5.109375" style="100" customWidth="1"/>
    <col min="8977" max="9219" width="25.6640625" style="100"/>
    <col min="9220" max="9220" width="14.109375" style="100" customWidth="1"/>
    <col min="9221" max="9221" width="10.88671875" style="100" customWidth="1"/>
    <col min="9222" max="9223" width="9.33203125" style="100" customWidth="1"/>
    <col min="9224" max="9224" width="10.44140625" style="100" customWidth="1"/>
    <col min="9225" max="9225" width="10.6640625" style="100" customWidth="1"/>
    <col min="9226" max="9226" width="9.6640625" style="100" customWidth="1"/>
    <col min="9227" max="9227" width="10.5546875" style="100" customWidth="1"/>
    <col min="9228" max="9228" width="10.6640625" style="100" customWidth="1"/>
    <col min="9229" max="9229" width="11.33203125" style="100" customWidth="1"/>
    <col min="9230" max="9230" width="10.6640625" style="100" customWidth="1"/>
    <col min="9231" max="9231" width="10.44140625" style="100" customWidth="1"/>
    <col min="9232" max="9232" width="5.109375" style="100" customWidth="1"/>
    <col min="9233" max="9475" width="25.6640625" style="100"/>
    <col min="9476" max="9476" width="14.109375" style="100" customWidth="1"/>
    <col min="9477" max="9477" width="10.88671875" style="100" customWidth="1"/>
    <col min="9478" max="9479" width="9.33203125" style="100" customWidth="1"/>
    <col min="9480" max="9480" width="10.44140625" style="100" customWidth="1"/>
    <col min="9481" max="9481" width="10.6640625" style="100" customWidth="1"/>
    <col min="9482" max="9482" width="9.6640625" style="100" customWidth="1"/>
    <col min="9483" max="9483" width="10.5546875" style="100" customWidth="1"/>
    <col min="9484" max="9484" width="10.6640625" style="100" customWidth="1"/>
    <col min="9485" max="9485" width="11.33203125" style="100" customWidth="1"/>
    <col min="9486" max="9486" width="10.6640625" style="100" customWidth="1"/>
    <col min="9487" max="9487" width="10.44140625" style="100" customWidth="1"/>
    <col min="9488" max="9488" width="5.109375" style="100" customWidth="1"/>
    <col min="9489" max="9731" width="25.6640625" style="100"/>
    <col min="9732" max="9732" width="14.109375" style="100" customWidth="1"/>
    <col min="9733" max="9733" width="10.88671875" style="100" customWidth="1"/>
    <col min="9734" max="9735" width="9.33203125" style="100" customWidth="1"/>
    <col min="9736" max="9736" width="10.44140625" style="100" customWidth="1"/>
    <col min="9737" max="9737" width="10.6640625" style="100" customWidth="1"/>
    <col min="9738" max="9738" width="9.6640625" style="100" customWidth="1"/>
    <col min="9739" max="9739" width="10.5546875" style="100" customWidth="1"/>
    <col min="9740" max="9740" width="10.6640625" style="100" customWidth="1"/>
    <col min="9741" max="9741" width="11.33203125" style="100" customWidth="1"/>
    <col min="9742" max="9742" width="10.6640625" style="100" customWidth="1"/>
    <col min="9743" max="9743" width="10.44140625" style="100" customWidth="1"/>
    <col min="9744" max="9744" width="5.109375" style="100" customWidth="1"/>
    <col min="9745" max="9987" width="25.6640625" style="100"/>
    <col min="9988" max="9988" width="14.109375" style="100" customWidth="1"/>
    <col min="9989" max="9989" width="10.88671875" style="100" customWidth="1"/>
    <col min="9990" max="9991" width="9.33203125" style="100" customWidth="1"/>
    <col min="9992" max="9992" width="10.44140625" style="100" customWidth="1"/>
    <col min="9993" max="9993" width="10.6640625" style="100" customWidth="1"/>
    <col min="9994" max="9994" width="9.6640625" style="100" customWidth="1"/>
    <col min="9995" max="9995" width="10.5546875" style="100" customWidth="1"/>
    <col min="9996" max="9996" width="10.6640625" style="100" customWidth="1"/>
    <col min="9997" max="9997" width="11.33203125" style="100" customWidth="1"/>
    <col min="9998" max="9998" width="10.6640625" style="100" customWidth="1"/>
    <col min="9999" max="9999" width="10.44140625" style="100" customWidth="1"/>
    <col min="10000" max="10000" width="5.109375" style="100" customWidth="1"/>
    <col min="10001" max="10243" width="25.6640625" style="100"/>
    <col min="10244" max="10244" width="14.109375" style="100" customWidth="1"/>
    <col min="10245" max="10245" width="10.88671875" style="100" customWidth="1"/>
    <col min="10246" max="10247" width="9.33203125" style="100" customWidth="1"/>
    <col min="10248" max="10248" width="10.44140625" style="100" customWidth="1"/>
    <col min="10249" max="10249" width="10.6640625" style="100" customWidth="1"/>
    <col min="10250" max="10250" width="9.6640625" style="100" customWidth="1"/>
    <col min="10251" max="10251" width="10.5546875" style="100" customWidth="1"/>
    <col min="10252" max="10252" width="10.6640625" style="100" customWidth="1"/>
    <col min="10253" max="10253" width="11.33203125" style="100" customWidth="1"/>
    <col min="10254" max="10254" width="10.6640625" style="100" customWidth="1"/>
    <col min="10255" max="10255" width="10.44140625" style="100" customWidth="1"/>
    <col min="10256" max="10256" width="5.109375" style="100" customWidth="1"/>
    <col min="10257" max="10499" width="25.6640625" style="100"/>
    <col min="10500" max="10500" width="14.109375" style="100" customWidth="1"/>
    <col min="10501" max="10501" width="10.88671875" style="100" customWidth="1"/>
    <col min="10502" max="10503" width="9.33203125" style="100" customWidth="1"/>
    <col min="10504" max="10504" width="10.44140625" style="100" customWidth="1"/>
    <col min="10505" max="10505" width="10.6640625" style="100" customWidth="1"/>
    <col min="10506" max="10506" width="9.6640625" style="100" customWidth="1"/>
    <col min="10507" max="10507" width="10.5546875" style="100" customWidth="1"/>
    <col min="10508" max="10508" width="10.6640625" style="100" customWidth="1"/>
    <col min="10509" max="10509" width="11.33203125" style="100" customWidth="1"/>
    <col min="10510" max="10510" width="10.6640625" style="100" customWidth="1"/>
    <col min="10511" max="10511" width="10.44140625" style="100" customWidth="1"/>
    <col min="10512" max="10512" width="5.109375" style="100" customWidth="1"/>
    <col min="10513" max="10755" width="25.6640625" style="100"/>
    <col min="10756" max="10756" width="14.109375" style="100" customWidth="1"/>
    <col min="10757" max="10757" width="10.88671875" style="100" customWidth="1"/>
    <col min="10758" max="10759" width="9.33203125" style="100" customWidth="1"/>
    <col min="10760" max="10760" width="10.44140625" style="100" customWidth="1"/>
    <col min="10761" max="10761" width="10.6640625" style="100" customWidth="1"/>
    <col min="10762" max="10762" width="9.6640625" style="100" customWidth="1"/>
    <col min="10763" max="10763" width="10.5546875" style="100" customWidth="1"/>
    <col min="10764" max="10764" width="10.6640625" style="100" customWidth="1"/>
    <col min="10765" max="10765" width="11.33203125" style="100" customWidth="1"/>
    <col min="10766" max="10766" width="10.6640625" style="100" customWidth="1"/>
    <col min="10767" max="10767" width="10.44140625" style="100" customWidth="1"/>
    <col min="10768" max="10768" width="5.109375" style="100" customWidth="1"/>
    <col min="10769" max="11011" width="25.6640625" style="100"/>
    <col min="11012" max="11012" width="14.109375" style="100" customWidth="1"/>
    <col min="11013" max="11013" width="10.88671875" style="100" customWidth="1"/>
    <col min="11014" max="11015" width="9.33203125" style="100" customWidth="1"/>
    <col min="11016" max="11016" width="10.44140625" style="100" customWidth="1"/>
    <col min="11017" max="11017" width="10.6640625" style="100" customWidth="1"/>
    <col min="11018" max="11018" width="9.6640625" style="100" customWidth="1"/>
    <col min="11019" max="11019" width="10.5546875" style="100" customWidth="1"/>
    <col min="11020" max="11020" width="10.6640625" style="100" customWidth="1"/>
    <col min="11021" max="11021" width="11.33203125" style="100" customWidth="1"/>
    <col min="11022" max="11022" width="10.6640625" style="100" customWidth="1"/>
    <col min="11023" max="11023" width="10.44140625" style="100" customWidth="1"/>
    <col min="11024" max="11024" width="5.109375" style="100" customWidth="1"/>
    <col min="11025" max="11267" width="25.6640625" style="100"/>
    <col min="11268" max="11268" width="14.109375" style="100" customWidth="1"/>
    <col min="11269" max="11269" width="10.88671875" style="100" customWidth="1"/>
    <col min="11270" max="11271" width="9.33203125" style="100" customWidth="1"/>
    <col min="11272" max="11272" width="10.44140625" style="100" customWidth="1"/>
    <col min="11273" max="11273" width="10.6640625" style="100" customWidth="1"/>
    <col min="11274" max="11274" width="9.6640625" style="100" customWidth="1"/>
    <col min="11275" max="11275" width="10.5546875" style="100" customWidth="1"/>
    <col min="11276" max="11276" width="10.6640625" style="100" customWidth="1"/>
    <col min="11277" max="11277" width="11.33203125" style="100" customWidth="1"/>
    <col min="11278" max="11278" width="10.6640625" style="100" customWidth="1"/>
    <col min="11279" max="11279" width="10.44140625" style="100" customWidth="1"/>
    <col min="11280" max="11280" width="5.109375" style="100" customWidth="1"/>
    <col min="11281" max="11523" width="25.6640625" style="100"/>
    <col min="11524" max="11524" width="14.109375" style="100" customWidth="1"/>
    <col min="11525" max="11525" width="10.88671875" style="100" customWidth="1"/>
    <col min="11526" max="11527" width="9.33203125" style="100" customWidth="1"/>
    <col min="11528" max="11528" width="10.44140625" style="100" customWidth="1"/>
    <col min="11529" max="11529" width="10.6640625" style="100" customWidth="1"/>
    <col min="11530" max="11530" width="9.6640625" style="100" customWidth="1"/>
    <col min="11531" max="11531" width="10.5546875" style="100" customWidth="1"/>
    <col min="11532" max="11532" width="10.6640625" style="100" customWidth="1"/>
    <col min="11533" max="11533" width="11.33203125" style="100" customWidth="1"/>
    <col min="11534" max="11534" width="10.6640625" style="100" customWidth="1"/>
    <col min="11535" max="11535" width="10.44140625" style="100" customWidth="1"/>
    <col min="11536" max="11536" width="5.109375" style="100" customWidth="1"/>
    <col min="11537" max="11779" width="25.6640625" style="100"/>
    <col min="11780" max="11780" width="14.109375" style="100" customWidth="1"/>
    <col min="11781" max="11781" width="10.88671875" style="100" customWidth="1"/>
    <col min="11782" max="11783" width="9.33203125" style="100" customWidth="1"/>
    <col min="11784" max="11784" width="10.44140625" style="100" customWidth="1"/>
    <col min="11785" max="11785" width="10.6640625" style="100" customWidth="1"/>
    <col min="11786" max="11786" width="9.6640625" style="100" customWidth="1"/>
    <col min="11787" max="11787" width="10.5546875" style="100" customWidth="1"/>
    <col min="11788" max="11788" width="10.6640625" style="100" customWidth="1"/>
    <col min="11789" max="11789" width="11.33203125" style="100" customWidth="1"/>
    <col min="11790" max="11790" width="10.6640625" style="100" customWidth="1"/>
    <col min="11791" max="11791" width="10.44140625" style="100" customWidth="1"/>
    <col min="11792" max="11792" width="5.109375" style="100" customWidth="1"/>
    <col min="11793" max="12035" width="25.6640625" style="100"/>
    <col min="12036" max="12036" width="14.109375" style="100" customWidth="1"/>
    <col min="12037" max="12037" width="10.88671875" style="100" customWidth="1"/>
    <col min="12038" max="12039" width="9.33203125" style="100" customWidth="1"/>
    <col min="12040" max="12040" width="10.44140625" style="100" customWidth="1"/>
    <col min="12041" max="12041" width="10.6640625" style="100" customWidth="1"/>
    <col min="12042" max="12042" width="9.6640625" style="100" customWidth="1"/>
    <col min="12043" max="12043" width="10.5546875" style="100" customWidth="1"/>
    <col min="12044" max="12044" width="10.6640625" style="100" customWidth="1"/>
    <col min="12045" max="12045" width="11.33203125" style="100" customWidth="1"/>
    <col min="12046" max="12046" width="10.6640625" style="100" customWidth="1"/>
    <col min="12047" max="12047" width="10.44140625" style="100" customWidth="1"/>
    <col min="12048" max="12048" width="5.109375" style="100" customWidth="1"/>
    <col min="12049" max="12291" width="25.6640625" style="100"/>
    <col min="12292" max="12292" width="14.109375" style="100" customWidth="1"/>
    <col min="12293" max="12293" width="10.88671875" style="100" customWidth="1"/>
    <col min="12294" max="12295" width="9.33203125" style="100" customWidth="1"/>
    <col min="12296" max="12296" width="10.44140625" style="100" customWidth="1"/>
    <col min="12297" max="12297" width="10.6640625" style="100" customWidth="1"/>
    <col min="12298" max="12298" width="9.6640625" style="100" customWidth="1"/>
    <col min="12299" max="12299" width="10.5546875" style="100" customWidth="1"/>
    <col min="12300" max="12300" width="10.6640625" style="100" customWidth="1"/>
    <col min="12301" max="12301" width="11.33203125" style="100" customWidth="1"/>
    <col min="12302" max="12302" width="10.6640625" style="100" customWidth="1"/>
    <col min="12303" max="12303" width="10.44140625" style="100" customWidth="1"/>
    <col min="12304" max="12304" width="5.109375" style="100" customWidth="1"/>
    <col min="12305" max="12547" width="25.6640625" style="100"/>
    <col min="12548" max="12548" width="14.109375" style="100" customWidth="1"/>
    <col min="12549" max="12549" width="10.88671875" style="100" customWidth="1"/>
    <col min="12550" max="12551" width="9.33203125" style="100" customWidth="1"/>
    <col min="12552" max="12552" width="10.44140625" style="100" customWidth="1"/>
    <col min="12553" max="12553" width="10.6640625" style="100" customWidth="1"/>
    <col min="12554" max="12554" width="9.6640625" style="100" customWidth="1"/>
    <col min="12555" max="12555" width="10.5546875" style="100" customWidth="1"/>
    <col min="12556" max="12556" width="10.6640625" style="100" customWidth="1"/>
    <col min="12557" max="12557" width="11.33203125" style="100" customWidth="1"/>
    <col min="12558" max="12558" width="10.6640625" style="100" customWidth="1"/>
    <col min="12559" max="12559" width="10.44140625" style="100" customWidth="1"/>
    <col min="12560" max="12560" width="5.109375" style="100" customWidth="1"/>
    <col min="12561" max="12803" width="25.6640625" style="100"/>
    <col min="12804" max="12804" width="14.109375" style="100" customWidth="1"/>
    <col min="12805" max="12805" width="10.88671875" style="100" customWidth="1"/>
    <col min="12806" max="12807" width="9.33203125" style="100" customWidth="1"/>
    <col min="12808" max="12808" width="10.44140625" style="100" customWidth="1"/>
    <col min="12809" max="12809" width="10.6640625" style="100" customWidth="1"/>
    <col min="12810" max="12810" width="9.6640625" style="100" customWidth="1"/>
    <col min="12811" max="12811" width="10.5546875" style="100" customWidth="1"/>
    <col min="12812" max="12812" width="10.6640625" style="100" customWidth="1"/>
    <col min="12813" max="12813" width="11.33203125" style="100" customWidth="1"/>
    <col min="12814" max="12814" width="10.6640625" style="100" customWidth="1"/>
    <col min="12815" max="12815" width="10.44140625" style="100" customWidth="1"/>
    <col min="12816" max="12816" width="5.109375" style="100" customWidth="1"/>
    <col min="12817" max="13059" width="25.6640625" style="100"/>
    <col min="13060" max="13060" width="14.109375" style="100" customWidth="1"/>
    <col min="13061" max="13061" width="10.88671875" style="100" customWidth="1"/>
    <col min="13062" max="13063" width="9.33203125" style="100" customWidth="1"/>
    <col min="13064" max="13064" width="10.44140625" style="100" customWidth="1"/>
    <col min="13065" max="13065" width="10.6640625" style="100" customWidth="1"/>
    <col min="13066" max="13066" width="9.6640625" style="100" customWidth="1"/>
    <col min="13067" max="13067" width="10.5546875" style="100" customWidth="1"/>
    <col min="13068" max="13068" width="10.6640625" style="100" customWidth="1"/>
    <col min="13069" max="13069" width="11.33203125" style="100" customWidth="1"/>
    <col min="13070" max="13070" width="10.6640625" style="100" customWidth="1"/>
    <col min="13071" max="13071" width="10.44140625" style="100" customWidth="1"/>
    <col min="13072" max="13072" width="5.109375" style="100" customWidth="1"/>
    <col min="13073" max="13315" width="25.6640625" style="100"/>
    <col min="13316" max="13316" width="14.109375" style="100" customWidth="1"/>
    <col min="13317" max="13317" width="10.88671875" style="100" customWidth="1"/>
    <col min="13318" max="13319" width="9.33203125" style="100" customWidth="1"/>
    <col min="13320" max="13320" width="10.44140625" style="100" customWidth="1"/>
    <col min="13321" max="13321" width="10.6640625" style="100" customWidth="1"/>
    <col min="13322" max="13322" width="9.6640625" style="100" customWidth="1"/>
    <col min="13323" max="13323" width="10.5546875" style="100" customWidth="1"/>
    <col min="13324" max="13324" width="10.6640625" style="100" customWidth="1"/>
    <col min="13325" max="13325" width="11.33203125" style="100" customWidth="1"/>
    <col min="13326" max="13326" width="10.6640625" style="100" customWidth="1"/>
    <col min="13327" max="13327" width="10.44140625" style="100" customWidth="1"/>
    <col min="13328" max="13328" width="5.109375" style="100" customWidth="1"/>
    <col min="13329" max="13571" width="25.6640625" style="100"/>
    <col min="13572" max="13572" width="14.109375" style="100" customWidth="1"/>
    <col min="13573" max="13573" width="10.88671875" style="100" customWidth="1"/>
    <col min="13574" max="13575" width="9.33203125" style="100" customWidth="1"/>
    <col min="13576" max="13576" width="10.44140625" style="100" customWidth="1"/>
    <col min="13577" max="13577" width="10.6640625" style="100" customWidth="1"/>
    <col min="13578" max="13578" width="9.6640625" style="100" customWidth="1"/>
    <col min="13579" max="13579" width="10.5546875" style="100" customWidth="1"/>
    <col min="13580" max="13580" width="10.6640625" style="100" customWidth="1"/>
    <col min="13581" max="13581" width="11.33203125" style="100" customWidth="1"/>
    <col min="13582" max="13582" width="10.6640625" style="100" customWidth="1"/>
    <col min="13583" max="13583" width="10.44140625" style="100" customWidth="1"/>
    <col min="13584" max="13584" width="5.109375" style="100" customWidth="1"/>
    <col min="13585" max="13827" width="25.6640625" style="100"/>
    <col min="13828" max="13828" width="14.109375" style="100" customWidth="1"/>
    <col min="13829" max="13829" width="10.88671875" style="100" customWidth="1"/>
    <col min="13830" max="13831" width="9.33203125" style="100" customWidth="1"/>
    <col min="13832" max="13832" width="10.44140625" style="100" customWidth="1"/>
    <col min="13833" max="13833" width="10.6640625" style="100" customWidth="1"/>
    <col min="13834" max="13834" width="9.6640625" style="100" customWidth="1"/>
    <col min="13835" max="13835" width="10.5546875" style="100" customWidth="1"/>
    <col min="13836" max="13836" width="10.6640625" style="100" customWidth="1"/>
    <col min="13837" max="13837" width="11.33203125" style="100" customWidth="1"/>
    <col min="13838" max="13838" width="10.6640625" style="100" customWidth="1"/>
    <col min="13839" max="13839" width="10.44140625" style="100" customWidth="1"/>
    <col min="13840" max="13840" width="5.109375" style="100" customWidth="1"/>
    <col min="13841" max="14083" width="25.6640625" style="100"/>
    <col min="14084" max="14084" width="14.109375" style="100" customWidth="1"/>
    <col min="14085" max="14085" width="10.88671875" style="100" customWidth="1"/>
    <col min="14086" max="14087" width="9.33203125" style="100" customWidth="1"/>
    <col min="14088" max="14088" width="10.44140625" style="100" customWidth="1"/>
    <col min="14089" max="14089" width="10.6640625" style="100" customWidth="1"/>
    <col min="14090" max="14090" width="9.6640625" style="100" customWidth="1"/>
    <col min="14091" max="14091" width="10.5546875" style="100" customWidth="1"/>
    <col min="14092" max="14092" width="10.6640625" style="100" customWidth="1"/>
    <col min="14093" max="14093" width="11.33203125" style="100" customWidth="1"/>
    <col min="14094" max="14094" width="10.6640625" style="100" customWidth="1"/>
    <col min="14095" max="14095" width="10.44140625" style="100" customWidth="1"/>
    <col min="14096" max="14096" width="5.109375" style="100" customWidth="1"/>
    <col min="14097" max="14339" width="25.6640625" style="100"/>
    <col min="14340" max="14340" width="14.109375" style="100" customWidth="1"/>
    <col min="14341" max="14341" width="10.88671875" style="100" customWidth="1"/>
    <col min="14342" max="14343" width="9.33203125" style="100" customWidth="1"/>
    <col min="14344" max="14344" width="10.44140625" style="100" customWidth="1"/>
    <col min="14345" max="14345" width="10.6640625" style="100" customWidth="1"/>
    <col min="14346" max="14346" width="9.6640625" style="100" customWidth="1"/>
    <col min="14347" max="14347" width="10.5546875" style="100" customWidth="1"/>
    <col min="14348" max="14348" width="10.6640625" style="100" customWidth="1"/>
    <col min="14349" max="14349" width="11.33203125" style="100" customWidth="1"/>
    <col min="14350" max="14350" width="10.6640625" style="100" customWidth="1"/>
    <col min="14351" max="14351" width="10.44140625" style="100" customWidth="1"/>
    <col min="14352" max="14352" width="5.109375" style="100" customWidth="1"/>
    <col min="14353" max="14595" width="25.6640625" style="100"/>
    <col min="14596" max="14596" width="14.109375" style="100" customWidth="1"/>
    <col min="14597" max="14597" width="10.88671875" style="100" customWidth="1"/>
    <col min="14598" max="14599" width="9.33203125" style="100" customWidth="1"/>
    <col min="14600" max="14600" width="10.44140625" style="100" customWidth="1"/>
    <col min="14601" max="14601" width="10.6640625" style="100" customWidth="1"/>
    <col min="14602" max="14602" width="9.6640625" style="100" customWidth="1"/>
    <col min="14603" max="14603" width="10.5546875" style="100" customWidth="1"/>
    <col min="14604" max="14604" width="10.6640625" style="100" customWidth="1"/>
    <col min="14605" max="14605" width="11.33203125" style="100" customWidth="1"/>
    <col min="14606" max="14606" width="10.6640625" style="100" customWidth="1"/>
    <col min="14607" max="14607" width="10.44140625" style="100" customWidth="1"/>
    <col min="14608" max="14608" width="5.109375" style="100" customWidth="1"/>
    <col min="14609" max="14851" width="25.6640625" style="100"/>
    <col min="14852" max="14852" width="14.109375" style="100" customWidth="1"/>
    <col min="14853" max="14853" width="10.88671875" style="100" customWidth="1"/>
    <col min="14854" max="14855" width="9.33203125" style="100" customWidth="1"/>
    <col min="14856" max="14856" width="10.44140625" style="100" customWidth="1"/>
    <col min="14857" max="14857" width="10.6640625" style="100" customWidth="1"/>
    <col min="14858" max="14858" width="9.6640625" style="100" customWidth="1"/>
    <col min="14859" max="14859" width="10.5546875" style="100" customWidth="1"/>
    <col min="14860" max="14860" width="10.6640625" style="100" customWidth="1"/>
    <col min="14861" max="14861" width="11.33203125" style="100" customWidth="1"/>
    <col min="14862" max="14862" width="10.6640625" style="100" customWidth="1"/>
    <col min="14863" max="14863" width="10.44140625" style="100" customWidth="1"/>
    <col min="14864" max="14864" width="5.109375" style="100" customWidth="1"/>
    <col min="14865" max="15107" width="25.6640625" style="100"/>
    <col min="15108" max="15108" width="14.109375" style="100" customWidth="1"/>
    <col min="15109" max="15109" width="10.88671875" style="100" customWidth="1"/>
    <col min="15110" max="15111" width="9.33203125" style="100" customWidth="1"/>
    <col min="15112" max="15112" width="10.44140625" style="100" customWidth="1"/>
    <col min="15113" max="15113" width="10.6640625" style="100" customWidth="1"/>
    <col min="15114" max="15114" width="9.6640625" style="100" customWidth="1"/>
    <col min="15115" max="15115" width="10.5546875" style="100" customWidth="1"/>
    <col min="15116" max="15116" width="10.6640625" style="100" customWidth="1"/>
    <col min="15117" max="15117" width="11.33203125" style="100" customWidth="1"/>
    <col min="15118" max="15118" width="10.6640625" style="100" customWidth="1"/>
    <col min="15119" max="15119" width="10.44140625" style="100" customWidth="1"/>
    <col min="15120" max="15120" width="5.109375" style="100" customWidth="1"/>
    <col min="15121" max="15363" width="25.6640625" style="100"/>
    <col min="15364" max="15364" width="14.109375" style="100" customWidth="1"/>
    <col min="15365" max="15365" width="10.88671875" style="100" customWidth="1"/>
    <col min="15366" max="15367" width="9.33203125" style="100" customWidth="1"/>
    <col min="15368" max="15368" width="10.44140625" style="100" customWidth="1"/>
    <col min="15369" max="15369" width="10.6640625" style="100" customWidth="1"/>
    <col min="15370" max="15370" width="9.6640625" style="100" customWidth="1"/>
    <col min="15371" max="15371" width="10.5546875" style="100" customWidth="1"/>
    <col min="15372" max="15372" width="10.6640625" style="100" customWidth="1"/>
    <col min="15373" max="15373" width="11.33203125" style="100" customWidth="1"/>
    <col min="15374" max="15374" width="10.6640625" style="100" customWidth="1"/>
    <col min="15375" max="15375" width="10.44140625" style="100" customWidth="1"/>
    <col min="15376" max="15376" width="5.109375" style="100" customWidth="1"/>
    <col min="15377" max="15619" width="25.6640625" style="100"/>
    <col min="15620" max="15620" width="14.109375" style="100" customWidth="1"/>
    <col min="15621" max="15621" width="10.88671875" style="100" customWidth="1"/>
    <col min="15622" max="15623" width="9.33203125" style="100" customWidth="1"/>
    <col min="15624" max="15624" width="10.44140625" style="100" customWidth="1"/>
    <col min="15625" max="15625" width="10.6640625" style="100" customWidth="1"/>
    <col min="15626" max="15626" width="9.6640625" style="100" customWidth="1"/>
    <col min="15627" max="15627" width="10.5546875" style="100" customWidth="1"/>
    <col min="15628" max="15628" width="10.6640625" style="100" customWidth="1"/>
    <col min="15629" max="15629" width="11.33203125" style="100" customWidth="1"/>
    <col min="15630" max="15630" width="10.6640625" style="100" customWidth="1"/>
    <col min="15631" max="15631" width="10.44140625" style="100" customWidth="1"/>
    <col min="15632" max="15632" width="5.109375" style="100" customWidth="1"/>
    <col min="15633" max="15875" width="25.6640625" style="100"/>
    <col min="15876" max="15876" width="14.109375" style="100" customWidth="1"/>
    <col min="15877" max="15877" width="10.88671875" style="100" customWidth="1"/>
    <col min="15878" max="15879" width="9.33203125" style="100" customWidth="1"/>
    <col min="15880" max="15880" width="10.44140625" style="100" customWidth="1"/>
    <col min="15881" max="15881" width="10.6640625" style="100" customWidth="1"/>
    <col min="15882" max="15882" width="9.6640625" style="100" customWidth="1"/>
    <col min="15883" max="15883" width="10.5546875" style="100" customWidth="1"/>
    <col min="15884" max="15884" width="10.6640625" style="100" customWidth="1"/>
    <col min="15885" max="15885" width="11.33203125" style="100" customWidth="1"/>
    <col min="15886" max="15886" width="10.6640625" style="100" customWidth="1"/>
    <col min="15887" max="15887" width="10.44140625" style="100" customWidth="1"/>
    <col min="15888" max="15888" width="5.109375" style="100" customWidth="1"/>
    <col min="15889" max="16131" width="25.6640625" style="100"/>
    <col min="16132" max="16132" width="14.109375" style="100" customWidth="1"/>
    <col min="16133" max="16133" width="10.88671875" style="100" customWidth="1"/>
    <col min="16134" max="16135" width="9.33203125" style="100" customWidth="1"/>
    <col min="16136" max="16136" width="10.44140625" style="100" customWidth="1"/>
    <col min="16137" max="16137" width="10.6640625" style="100" customWidth="1"/>
    <col min="16138" max="16138" width="9.6640625" style="100" customWidth="1"/>
    <col min="16139" max="16139" width="10.5546875" style="100" customWidth="1"/>
    <col min="16140" max="16140" width="10.6640625" style="100" customWidth="1"/>
    <col min="16141" max="16141" width="11.33203125" style="100" customWidth="1"/>
    <col min="16142" max="16142" width="10.6640625" style="100" customWidth="1"/>
    <col min="16143" max="16143" width="10.44140625" style="100" customWidth="1"/>
    <col min="16144" max="16144" width="5.109375" style="100" customWidth="1"/>
    <col min="16145" max="16384" width="25.6640625" style="100"/>
  </cols>
  <sheetData>
    <row r="1" spans="1:17" ht="13.5" customHeight="1" x14ac:dyDescent="0.2">
      <c r="A1" s="545" t="s">
        <v>1</v>
      </c>
      <c r="B1" s="551" t="s">
        <v>582</v>
      </c>
      <c r="C1" s="377"/>
      <c r="D1" s="377"/>
      <c r="E1" s="377"/>
      <c r="F1" s="377"/>
      <c r="G1" s="553" t="s">
        <v>132</v>
      </c>
      <c r="H1" s="553"/>
      <c r="I1" s="553"/>
      <c r="J1" s="553"/>
      <c r="K1" s="553"/>
      <c r="L1" s="378"/>
      <c r="M1" s="378"/>
      <c r="N1" s="554" t="s">
        <v>549</v>
      </c>
      <c r="O1" s="545" t="s">
        <v>550</v>
      </c>
      <c r="P1" s="545" t="s">
        <v>551</v>
      </c>
      <c r="Q1" s="545" t="s">
        <v>134</v>
      </c>
    </row>
    <row r="2" spans="1:17" ht="42.75" customHeight="1" x14ac:dyDescent="0.2">
      <c r="A2" s="556"/>
      <c r="B2" s="557"/>
      <c r="C2" s="418" t="s">
        <v>579</v>
      </c>
      <c r="D2" s="418" t="s">
        <v>580</v>
      </c>
      <c r="E2" s="418" t="s">
        <v>581</v>
      </c>
      <c r="F2" s="418" t="s">
        <v>122</v>
      </c>
      <c r="G2" s="417" t="s">
        <v>615</v>
      </c>
      <c r="H2" s="419" t="s">
        <v>137</v>
      </c>
      <c r="I2" s="419" t="s">
        <v>616</v>
      </c>
      <c r="J2" s="419" t="s">
        <v>525</v>
      </c>
      <c r="K2" s="417" t="s">
        <v>136</v>
      </c>
      <c r="L2" s="417"/>
      <c r="M2" s="417"/>
      <c r="N2" s="558"/>
      <c r="O2" s="556"/>
      <c r="P2" s="556"/>
      <c r="Q2" s="556"/>
    </row>
    <row r="3" spans="1:17" x14ac:dyDescent="0.2">
      <c r="A3" s="385" t="s">
        <v>143</v>
      </c>
      <c r="B3" s="386">
        <f>+B4+B51</f>
        <v>153521606218.76141</v>
      </c>
      <c r="C3" s="386">
        <f>+C4+C51</f>
        <v>12103031613.969692</v>
      </c>
      <c r="D3" s="386">
        <f>+D4+D51</f>
        <v>5738794876.5540819</v>
      </c>
      <c r="E3" s="386">
        <f>+E4+E51</f>
        <v>12433149408.533649</v>
      </c>
      <c r="F3" s="424"/>
      <c r="G3" s="386">
        <f>G4+G56</f>
        <v>37107595468</v>
      </c>
      <c r="H3" s="386"/>
      <c r="I3" s="386">
        <f>I4+I56</f>
        <v>8181964705</v>
      </c>
      <c r="J3" s="386"/>
      <c r="K3" s="386">
        <f>+K4+K51</f>
        <v>14229650000</v>
      </c>
      <c r="L3" s="386"/>
      <c r="M3" s="386"/>
      <c r="N3" s="386">
        <f>+N4+N51</f>
        <v>0</v>
      </c>
      <c r="O3" s="386">
        <f>+O4+O51</f>
        <v>9064581974.6236343</v>
      </c>
      <c r="P3" s="386">
        <f>P4+P56+P52</f>
        <v>1868012588.8249989</v>
      </c>
      <c r="Q3" s="371">
        <f>+B3-C3-D3-E3-G3-I3-K3-N3-O3-P3</f>
        <v>52794825583.255363</v>
      </c>
    </row>
    <row r="4" spans="1:17" x14ac:dyDescent="0.2">
      <c r="A4" s="385" t="s">
        <v>5</v>
      </c>
      <c r="B4" s="386">
        <f>+B5+B9</f>
        <v>152992012132.94116</v>
      </c>
      <c r="C4" s="386">
        <f>+C5+C9</f>
        <v>12103031613.969692</v>
      </c>
      <c r="D4" s="386">
        <f>+D5+D9</f>
        <v>5738794876.5540819</v>
      </c>
      <c r="E4" s="386">
        <f>+E5+E9</f>
        <v>12380189999.951626</v>
      </c>
      <c r="F4" s="408"/>
      <c r="G4" s="386">
        <f>+G5+G9</f>
        <v>37107595468</v>
      </c>
      <c r="H4" s="386">
        <f>H5+H21</f>
        <v>0</v>
      </c>
      <c r="I4" s="386">
        <f>+I5+I9</f>
        <v>8181964705</v>
      </c>
      <c r="J4" s="386"/>
      <c r="K4" s="386">
        <f>+K5+K9</f>
        <v>14229650000</v>
      </c>
      <c r="L4" s="386"/>
      <c r="M4" s="386"/>
      <c r="N4" s="386">
        <f>+N5+N9</f>
        <v>0</v>
      </c>
      <c r="O4" s="386">
        <f>+O5+O9</f>
        <v>9064581974.6236343</v>
      </c>
      <c r="P4" s="386">
        <f>+P5+P9</f>
        <v>1868012588.8249989</v>
      </c>
      <c r="Q4" s="371">
        <f t="shared" ref="Q4:Q60" si="0">+B4-C4-D4-E4-G4-I4-K4-N4-O4-P4</f>
        <v>52318190906.017128</v>
      </c>
    </row>
    <row r="5" spans="1:17" x14ac:dyDescent="0.2">
      <c r="A5" s="385" t="s">
        <v>144</v>
      </c>
      <c r="B5" s="386">
        <f>+B6</f>
        <v>23643400000.041252</v>
      </c>
      <c r="C5" s="386"/>
      <c r="D5" s="386"/>
      <c r="E5" s="386">
        <f>+E6</f>
        <v>2364340000.0041251</v>
      </c>
      <c r="F5" s="408"/>
      <c r="G5" s="386">
        <f t="shared" ref="G5:H5" si="1">G6</f>
        <v>0</v>
      </c>
      <c r="H5" s="386">
        <f t="shared" si="1"/>
        <v>0</v>
      </c>
      <c r="I5" s="386"/>
      <c r="J5" s="386"/>
      <c r="K5" s="386">
        <f>+K6</f>
        <v>0</v>
      </c>
      <c r="L5" s="386"/>
      <c r="M5" s="386"/>
      <c r="N5" s="386">
        <f>+N6</f>
        <v>0</v>
      </c>
      <c r="O5" s="386"/>
      <c r="P5" s="386"/>
      <c r="Q5" s="371">
        <f t="shared" si="0"/>
        <v>21279060000.037128</v>
      </c>
    </row>
    <row r="6" spans="1:17" x14ac:dyDescent="0.2">
      <c r="A6" s="388" t="s">
        <v>145</v>
      </c>
      <c r="B6" s="389">
        <f>+B7+B8</f>
        <v>23643400000.041252</v>
      </c>
      <c r="C6" s="389"/>
      <c r="D6" s="389"/>
      <c r="E6" s="389">
        <f>+B6*10%</f>
        <v>2364340000.0041251</v>
      </c>
      <c r="F6" s="409">
        <v>0.1</v>
      </c>
      <c r="G6" s="389"/>
      <c r="H6" s="389"/>
      <c r="I6" s="389"/>
      <c r="J6" s="389"/>
      <c r="K6" s="389"/>
      <c r="L6" s="389">
        <f>+B6-G6-H6-K6</f>
        <v>23643400000.041252</v>
      </c>
      <c r="M6" s="391">
        <f>+L6/$L$61</f>
        <v>0.25154721837433835</v>
      </c>
      <c r="N6" s="389">
        <v>0</v>
      </c>
      <c r="O6" s="389"/>
      <c r="P6" s="389"/>
      <c r="Q6" s="421">
        <f t="shared" si="0"/>
        <v>21279060000.037128</v>
      </c>
    </row>
    <row r="7" spans="1:17" x14ac:dyDescent="0.2">
      <c r="A7" s="385" t="s">
        <v>575</v>
      </c>
      <c r="B7" s="386">
        <f>+'Proyeccion Ingresos 2024-2027'!C8</f>
        <v>18966531729.200001</v>
      </c>
      <c r="C7" s="386"/>
      <c r="D7" s="386"/>
      <c r="E7" s="386"/>
      <c r="F7" s="408"/>
      <c r="G7" s="386"/>
      <c r="H7" s="386"/>
      <c r="I7" s="386"/>
      <c r="J7" s="386"/>
      <c r="K7" s="386"/>
      <c r="L7" s="386"/>
      <c r="M7" s="392"/>
      <c r="N7" s="386"/>
      <c r="O7" s="386"/>
      <c r="P7" s="386"/>
      <c r="Q7" s="371">
        <f t="shared" si="0"/>
        <v>18966531729.200001</v>
      </c>
    </row>
    <row r="8" spans="1:17" x14ac:dyDescent="0.2">
      <c r="A8" s="385" t="s">
        <v>576</v>
      </c>
      <c r="B8" s="386">
        <f>+'Proyeccion Ingresos 2024-2027'!C9</f>
        <v>4676868270.8412514</v>
      </c>
      <c r="C8" s="386"/>
      <c r="D8" s="386"/>
      <c r="E8" s="386"/>
      <c r="F8" s="408"/>
      <c r="G8" s="386"/>
      <c r="H8" s="386"/>
      <c r="I8" s="386"/>
      <c r="J8" s="386"/>
      <c r="K8" s="386"/>
      <c r="L8" s="386"/>
      <c r="M8" s="392"/>
      <c r="N8" s="386"/>
      <c r="O8" s="386"/>
      <c r="P8" s="386"/>
      <c r="Q8" s="371">
        <f t="shared" si="0"/>
        <v>4676868270.8412514</v>
      </c>
    </row>
    <row r="9" spans="1:17" x14ac:dyDescent="0.2">
      <c r="A9" s="388" t="s">
        <v>17</v>
      </c>
      <c r="B9" s="389">
        <f>+B10+B21+B42+B46</f>
        <v>129348612132.8999</v>
      </c>
      <c r="C9" s="389">
        <f>+C10+C21+C42+C46</f>
        <v>12103031613.969692</v>
      </c>
      <c r="D9" s="389">
        <f>+D10+D21+D42+D46</f>
        <v>5738794876.5540819</v>
      </c>
      <c r="E9" s="389">
        <f>+E10+E21+E42+E46</f>
        <v>10015849999.9475</v>
      </c>
      <c r="F9" s="408"/>
      <c r="G9" s="389">
        <f>+G10+G21+G42+G46</f>
        <v>37107595468</v>
      </c>
      <c r="H9" s="389"/>
      <c r="I9" s="389">
        <f>+I10+I21+I42+I46</f>
        <v>8181964705</v>
      </c>
      <c r="J9" s="389"/>
      <c r="K9" s="389">
        <f>+K10+K21+K42+K46</f>
        <v>14229650000</v>
      </c>
      <c r="L9" s="389"/>
      <c r="M9" s="393"/>
      <c r="N9" s="389">
        <f>+N10+N21+N42+N46</f>
        <v>0</v>
      </c>
      <c r="O9" s="389">
        <f>+O10+O21+O42+O46</f>
        <v>9064581974.6236343</v>
      </c>
      <c r="P9" s="389">
        <f>+P10+P21+P42+P46</f>
        <v>1868012588.8249989</v>
      </c>
      <c r="Q9" s="421">
        <f>+B9-C9-D9-E9-G9-I9-K9-N9-O9-P9</f>
        <v>31039130905.980003</v>
      </c>
    </row>
    <row r="10" spans="1:17" x14ac:dyDescent="0.2">
      <c r="A10" s="385" t="s">
        <v>19</v>
      </c>
      <c r="B10" s="386">
        <f>+B11</f>
        <v>17622336632.640907</v>
      </c>
      <c r="C10" s="386">
        <f>+C11</f>
        <v>1762233663.264091</v>
      </c>
      <c r="D10" s="386">
        <f>+D11</f>
        <v>3524467326.528182</v>
      </c>
      <c r="E10" s="386">
        <f>+E11</f>
        <v>0</v>
      </c>
      <c r="F10" s="408"/>
      <c r="G10" s="386"/>
      <c r="H10" s="386"/>
      <c r="I10" s="386">
        <f>+I11</f>
        <v>8181964705</v>
      </c>
      <c r="J10" s="386"/>
      <c r="K10" s="386">
        <f>+K11</f>
        <v>0</v>
      </c>
      <c r="L10" s="386"/>
      <c r="M10" s="394"/>
      <c r="N10" s="386">
        <f>+N11</f>
        <v>0</v>
      </c>
      <c r="O10" s="386">
        <f>+O11</f>
        <v>2285658349.0236363</v>
      </c>
      <c r="P10" s="386">
        <f>+P11</f>
        <v>1868012588.8249989</v>
      </c>
      <c r="Q10" s="371">
        <v>0</v>
      </c>
    </row>
    <row r="11" spans="1:17" x14ac:dyDescent="0.2">
      <c r="A11" s="385" t="s">
        <v>146</v>
      </c>
      <c r="B11" s="386">
        <f>+B12+B15+B18</f>
        <v>17622336632.640907</v>
      </c>
      <c r="C11" s="386">
        <f>+C12+C15+C18</f>
        <v>1762233663.264091</v>
      </c>
      <c r="D11" s="386">
        <f>+D12+D15+D18</f>
        <v>3524467326.528182</v>
      </c>
      <c r="E11" s="386">
        <f>+E12+E15+E18</f>
        <v>0</v>
      </c>
      <c r="F11" s="408"/>
      <c r="G11" s="386"/>
      <c r="H11" s="386"/>
      <c r="I11" s="386">
        <f>+I12</f>
        <v>8181964705</v>
      </c>
      <c r="J11" s="386"/>
      <c r="K11" s="386"/>
      <c r="L11" s="386"/>
      <c r="M11" s="394"/>
      <c r="N11" s="386">
        <f>+N12+N15+N18</f>
        <v>0</v>
      </c>
      <c r="O11" s="386">
        <f>+O12+O15+O18</f>
        <v>2285658349.0236363</v>
      </c>
      <c r="P11" s="386">
        <f>+P12+P15+P18</f>
        <v>1868012588.8249989</v>
      </c>
      <c r="Q11" s="371">
        <v>0</v>
      </c>
    </row>
    <row r="12" spans="1:17" x14ac:dyDescent="0.2">
      <c r="A12" s="388" t="s">
        <v>163</v>
      </c>
      <c r="B12" s="389">
        <f>+B13+B14</f>
        <v>14357110419.75</v>
      </c>
      <c r="C12" s="389">
        <f>+B12*10%</f>
        <v>1435711041.9750001</v>
      </c>
      <c r="D12" s="389">
        <f>+B12*20%</f>
        <v>2871422083.9500003</v>
      </c>
      <c r="E12" s="389">
        <f>+B12*0%</f>
        <v>0</v>
      </c>
      <c r="F12" s="409">
        <v>0</v>
      </c>
      <c r="G12" s="389"/>
      <c r="H12" s="389"/>
      <c r="I12" s="389">
        <v>8181964705</v>
      </c>
      <c r="J12" s="389"/>
      <c r="K12" s="389"/>
      <c r="L12" s="389">
        <f>+B12-I12</f>
        <v>6175145714.75</v>
      </c>
      <c r="M12" s="395">
        <f>+L12/L61</f>
        <v>6.5698703553586535E-2</v>
      </c>
      <c r="N12" s="396">
        <v>0</v>
      </c>
      <c r="O12" s="396"/>
      <c r="P12" s="396">
        <f>+B12-C12-D12-E12-I12-N12</f>
        <v>1868012588.8249989</v>
      </c>
      <c r="Q12" s="422">
        <v>0</v>
      </c>
    </row>
    <row r="13" spans="1:17" x14ac:dyDescent="0.2">
      <c r="A13" s="385" t="s">
        <v>575</v>
      </c>
      <c r="B13" s="386">
        <f>+'Proyeccion Ingresos 2024-2027'!C16</f>
        <v>12687800637.75</v>
      </c>
      <c r="C13" s="386"/>
      <c r="D13" s="386"/>
      <c r="E13" s="386"/>
      <c r="F13" s="408"/>
      <c r="G13" s="386"/>
      <c r="H13" s="386"/>
      <c r="I13" s="386"/>
      <c r="J13" s="386"/>
      <c r="K13" s="386"/>
      <c r="L13" s="386"/>
      <c r="M13" s="397"/>
      <c r="N13" s="398"/>
      <c r="O13" s="398"/>
      <c r="P13" s="398"/>
      <c r="Q13" s="423">
        <v>0</v>
      </c>
    </row>
    <row r="14" spans="1:17" x14ac:dyDescent="0.2">
      <c r="A14" s="385" t="s">
        <v>576</v>
      </c>
      <c r="B14" s="386">
        <f>+'Proyeccion Ingresos 2024-2027'!C17</f>
        <v>1669309782</v>
      </c>
      <c r="C14" s="386"/>
      <c r="D14" s="386"/>
      <c r="E14" s="386"/>
      <c r="F14" s="408"/>
      <c r="G14" s="386"/>
      <c r="H14" s="386"/>
      <c r="I14" s="386"/>
      <c r="J14" s="386"/>
      <c r="K14" s="386"/>
      <c r="L14" s="386"/>
      <c r="M14" s="397"/>
      <c r="N14" s="398"/>
      <c r="O14" s="398"/>
      <c r="P14" s="398"/>
      <c r="Q14" s="423">
        <v>0</v>
      </c>
    </row>
    <row r="15" spans="1:17" x14ac:dyDescent="0.2">
      <c r="A15" s="388" t="s">
        <v>164</v>
      </c>
      <c r="B15" s="389">
        <f>+B16+B17</f>
        <v>3122226212.8909092</v>
      </c>
      <c r="C15" s="389">
        <f>+B15*10%</f>
        <v>312222621.28909093</v>
      </c>
      <c r="D15" s="389">
        <f>+B15*20%</f>
        <v>624445242.57818186</v>
      </c>
      <c r="E15" s="389">
        <f>+B15*0%</f>
        <v>0</v>
      </c>
      <c r="F15" s="409">
        <v>0</v>
      </c>
      <c r="G15" s="389"/>
      <c r="H15" s="389"/>
      <c r="I15" s="389"/>
      <c r="J15" s="389"/>
      <c r="K15" s="389"/>
      <c r="L15" s="389">
        <f>+B15</f>
        <v>3122226212.8909092</v>
      </c>
      <c r="M15" s="395">
        <f>+L15/$L$61</f>
        <v>3.3218036280178935E-2</v>
      </c>
      <c r="N15" s="396">
        <v>0</v>
      </c>
      <c r="O15" s="396">
        <f>+B15-C15-D15-E15-N15</f>
        <v>2185558349.0236363</v>
      </c>
      <c r="P15" s="396"/>
      <c r="Q15" s="422">
        <v>0</v>
      </c>
    </row>
    <row r="16" spans="1:17" x14ac:dyDescent="0.2">
      <c r="A16" s="385" t="s">
        <v>575</v>
      </c>
      <c r="B16" s="386">
        <f>+'Proyeccion Ingresos 2024-2027'!C19</f>
        <v>2862040695.1500001</v>
      </c>
      <c r="C16" s="386"/>
      <c r="D16" s="386"/>
      <c r="E16" s="386"/>
      <c r="F16" s="408"/>
      <c r="G16" s="386"/>
      <c r="H16" s="386"/>
      <c r="I16" s="386"/>
      <c r="J16" s="386"/>
      <c r="K16" s="386"/>
      <c r="L16" s="386"/>
      <c r="M16" s="397"/>
      <c r="N16" s="398"/>
      <c r="O16" s="398"/>
      <c r="P16" s="398"/>
      <c r="Q16" s="423">
        <f t="shared" si="0"/>
        <v>2862040695.1500001</v>
      </c>
    </row>
    <row r="17" spans="1:17" x14ac:dyDescent="0.2">
      <c r="A17" s="385" t="s">
        <v>576</v>
      </c>
      <c r="B17" s="386">
        <f>+'Proyeccion Ingresos 2024-2027'!C20</f>
        <v>260185517.7409091</v>
      </c>
      <c r="C17" s="386"/>
      <c r="D17" s="386"/>
      <c r="E17" s="386"/>
      <c r="F17" s="408"/>
      <c r="G17" s="386"/>
      <c r="H17" s="386"/>
      <c r="I17" s="386"/>
      <c r="J17" s="386"/>
      <c r="K17" s="386"/>
      <c r="L17" s="386"/>
      <c r="M17" s="397"/>
      <c r="N17" s="398"/>
      <c r="O17" s="398"/>
      <c r="P17" s="398"/>
      <c r="Q17" s="423">
        <f t="shared" si="0"/>
        <v>260185517.7409091</v>
      </c>
    </row>
    <row r="18" spans="1:17" x14ac:dyDescent="0.2">
      <c r="A18" s="388" t="s">
        <v>577</v>
      </c>
      <c r="B18" s="389">
        <f>+B19+B20</f>
        <v>143000000</v>
      </c>
      <c r="C18" s="389">
        <f>+B18*10%</f>
        <v>14300000</v>
      </c>
      <c r="D18" s="389">
        <f>+B18*20%</f>
        <v>28600000</v>
      </c>
      <c r="E18" s="389">
        <f>+B18*0%</f>
        <v>0</v>
      </c>
      <c r="F18" s="410">
        <v>0</v>
      </c>
      <c r="G18" s="386"/>
      <c r="H18" s="386"/>
      <c r="I18" s="386"/>
      <c r="J18" s="386"/>
      <c r="K18" s="386"/>
      <c r="L18" s="386">
        <f t="shared" ref="L18" si="2">+B18-G18-H18-K18</f>
        <v>143000000</v>
      </c>
      <c r="M18" s="397">
        <f>+L18/$L$61</f>
        <v>1.5214077597751434E-3</v>
      </c>
      <c r="N18" s="398">
        <v>0</v>
      </c>
      <c r="O18" s="398">
        <f>+B18-C18-D18-E18-N18</f>
        <v>100100000</v>
      </c>
      <c r="P18" s="398"/>
      <c r="Q18" s="423">
        <f t="shared" si="0"/>
        <v>0</v>
      </c>
    </row>
    <row r="19" spans="1:17" x14ac:dyDescent="0.2">
      <c r="A19" s="385" t="s">
        <v>575</v>
      </c>
      <c r="B19" s="386">
        <f>+'Proyeccion Ingresos 2024-2027'!C23</f>
        <v>132000000.00000001</v>
      </c>
      <c r="C19" s="386"/>
      <c r="D19" s="386"/>
      <c r="E19" s="386"/>
      <c r="F19" s="408"/>
      <c r="G19" s="386"/>
      <c r="H19" s="386"/>
      <c r="I19" s="386"/>
      <c r="J19" s="386"/>
      <c r="K19" s="386"/>
      <c r="L19" s="386"/>
      <c r="M19" s="397"/>
      <c r="N19" s="398"/>
      <c r="O19" s="398"/>
      <c r="P19" s="398"/>
      <c r="Q19" s="423">
        <f t="shared" si="0"/>
        <v>132000000.00000001</v>
      </c>
    </row>
    <row r="20" spans="1:17" x14ac:dyDescent="0.2">
      <c r="A20" s="385" t="s">
        <v>576</v>
      </c>
      <c r="B20" s="386">
        <f>+'Proyeccion Ingresos 2024-2027'!C24</f>
        <v>11000000</v>
      </c>
      <c r="C20" s="386"/>
      <c r="D20" s="386"/>
      <c r="E20" s="386"/>
      <c r="F20" s="408"/>
      <c r="G20" s="386"/>
      <c r="H20" s="386"/>
      <c r="I20" s="386"/>
      <c r="J20" s="386"/>
      <c r="K20" s="386"/>
      <c r="L20" s="386"/>
      <c r="M20" s="397"/>
      <c r="N20" s="398"/>
      <c r="O20" s="398"/>
      <c r="P20" s="398"/>
      <c r="Q20" s="423">
        <f t="shared" si="0"/>
        <v>11000000</v>
      </c>
    </row>
    <row r="21" spans="1:17" x14ac:dyDescent="0.2">
      <c r="A21" s="388" t="s">
        <v>147</v>
      </c>
      <c r="B21" s="389">
        <f>+B22+B24+B27+B30+B33+B36+B39</f>
        <v>21770201224.685001</v>
      </c>
      <c r="C21" s="389">
        <f t="shared" ref="C21:E21" si="3">+C22+C24+C27+C30+C33+C36+C39</f>
        <v>10005031102.689001</v>
      </c>
      <c r="D21" s="389">
        <f t="shared" si="3"/>
        <v>2177020122.4685001</v>
      </c>
      <c r="E21" s="389">
        <f t="shared" si="3"/>
        <v>1065349999.9475</v>
      </c>
      <c r="F21" s="408"/>
      <c r="G21" s="389">
        <f t="shared" ref="G21:K21" si="4">+G22+G24+G27+G30+G33+G36+G39</f>
        <v>0</v>
      </c>
      <c r="H21" s="389">
        <f t="shared" si="4"/>
        <v>0</v>
      </c>
      <c r="I21" s="389">
        <f t="shared" si="4"/>
        <v>0</v>
      </c>
      <c r="J21" s="389">
        <f t="shared" si="4"/>
        <v>0</v>
      </c>
      <c r="K21" s="389">
        <f t="shared" si="4"/>
        <v>803900000</v>
      </c>
      <c r="L21" s="389"/>
      <c r="M21" s="393"/>
      <c r="N21" s="389">
        <f t="shared" ref="N21:Q21" si="5">+N22+N24+N27+N30+N33+N36+N39</f>
        <v>0</v>
      </c>
      <c r="O21" s="389">
        <f t="shared" si="5"/>
        <v>0</v>
      </c>
      <c r="P21" s="389">
        <f t="shared" si="5"/>
        <v>0</v>
      </c>
      <c r="Q21" s="389">
        <f t="shared" si="5"/>
        <v>7718899999.5799999</v>
      </c>
    </row>
    <row r="22" spans="1:17" x14ac:dyDescent="0.2">
      <c r="A22" s="388" t="s">
        <v>148</v>
      </c>
      <c r="B22" s="389">
        <f>+B23</f>
        <v>245306759.46000001</v>
      </c>
      <c r="C22" s="389">
        <f>+B22*90%</f>
        <v>220776083.514</v>
      </c>
      <c r="D22" s="389">
        <f>+B22*10%</f>
        <v>24530675.946000002</v>
      </c>
      <c r="E22" s="389"/>
      <c r="F22" s="408"/>
      <c r="G22" s="386">
        <f t="shared" ref="G22" si="6">SUM(G24:G42)</f>
        <v>0</v>
      </c>
      <c r="H22" s="386"/>
      <c r="I22" s="386"/>
      <c r="J22" s="386"/>
      <c r="K22" s="389">
        <f>+K23</f>
        <v>0</v>
      </c>
      <c r="L22" s="386">
        <f t="shared" ref="L22:L36" si="7">+B22-G22-H22-K22</f>
        <v>245306759.46000001</v>
      </c>
      <c r="M22" s="394"/>
      <c r="N22" s="386"/>
      <c r="O22" s="386"/>
      <c r="P22" s="386"/>
      <c r="Q22" s="371">
        <f t="shared" si="0"/>
        <v>7.4505805969238281E-9</v>
      </c>
    </row>
    <row r="23" spans="1:17" x14ac:dyDescent="0.2">
      <c r="A23" s="385" t="s">
        <v>578</v>
      </c>
      <c r="B23" s="386">
        <f>+'Proyeccion Ingresos 2024-2027'!C27</f>
        <v>245306759.46000001</v>
      </c>
      <c r="C23" s="386"/>
      <c r="D23" s="386"/>
      <c r="E23" s="386"/>
      <c r="F23" s="408"/>
      <c r="G23" s="386"/>
      <c r="H23" s="386"/>
      <c r="I23" s="386"/>
      <c r="J23" s="386"/>
      <c r="K23" s="386"/>
      <c r="L23" s="386"/>
      <c r="M23" s="394"/>
      <c r="N23" s="386"/>
      <c r="O23" s="386"/>
      <c r="P23" s="386"/>
      <c r="Q23" s="371">
        <f t="shared" si="0"/>
        <v>245306759.46000001</v>
      </c>
    </row>
    <row r="24" spans="1:17" x14ac:dyDescent="0.2">
      <c r="A24" s="388" t="s">
        <v>149</v>
      </c>
      <c r="B24" s="389">
        <f>+B25+B26</f>
        <v>2359825919.8500004</v>
      </c>
      <c r="C24" s="389">
        <f>+B24*90%</f>
        <v>2123843327.8650005</v>
      </c>
      <c r="D24" s="389">
        <f>+B24*10%</f>
        <v>235982591.98500004</v>
      </c>
      <c r="E24" s="389"/>
      <c r="F24" s="408"/>
      <c r="G24" s="386"/>
      <c r="H24" s="386"/>
      <c r="I24" s="386"/>
      <c r="J24" s="386"/>
      <c r="K24" s="389">
        <f>+K25+K26</f>
        <v>0</v>
      </c>
      <c r="L24" s="386">
        <f t="shared" si="7"/>
        <v>2359825919.8500004</v>
      </c>
      <c r="M24" s="394"/>
      <c r="N24" s="398"/>
      <c r="O24" s="398"/>
      <c r="P24" s="398"/>
      <c r="Q24" s="423">
        <f t="shared" si="0"/>
        <v>-1.4901161193847656E-7</v>
      </c>
    </row>
    <row r="25" spans="1:17" x14ac:dyDescent="0.2">
      <c r="A25" s="385" t="s">
        <v>575</v>
      </c>
      <c r="B25" s="386">
        <f>+'Proyeccion Ingresos 2024-2027'!C29</f>
        <v>2022707931.3000002</v>
      </c>
      <c r="C25" s="386"/>
      <c r="D25" s="386"/>
      <c r="E25" s="386"/>
      <c r="F25" s="408"/>
      <c r="G25" s="386"/>
      <c r="H25" s="386"/>
      <c r="I25" s="386"/>
      <c r="J25" s="386"/>
      <c r="K25" s="386"/>
      <c r="L25" s="386"/>
      <c r="M25" s="394"/>
      <c r="N25" s="398"/>
      <c r="O25" s="398"/>
      <c r="P25" s="398"/>
      <c r="Q25" s="423">
        <f t="shared" si="0"/>
        <v>2022707931.3000002</v>
      </c>
    </row>
    <row r="26" spans="1:17" x14ac:dyDescent="0.2">
      <c r="A26" s="385" t="s">
        <v>576</v>
      </c>
      <c r="B26" s="386">
        <f>+'Proyeccion Ingresos 2024-2027'!C30</f>
        <v>337117988.55000001</v>
      </c>
      <c r="C26" s="386"/>
      <c r="D26" s="386"/>
      <c r="E26" s="386"/>
      <c r="F26" s="408"/>
      <c r="G26" s="386"/>
      <c r="H26" s="386"/>
      <c r="I26" s="386"/>
      <c r="J26" s="386"/>
      <c r="K26" s="386"/>
      <c r="L26" s="386"/>
      <c r="M26" s="394"/>
      <c r="N26" s="398"/>
      <c r="O26" s="398"/>
      <c r="P26" s="398"/>
      <c r="Q26" s="423">
        <f t="shared" si="0"/>
        <v>337117988.55000001</v>
      </c>
    </row>
    <row r="27" spans="1:17" ht="15.75" customHeight="1" x14ac:dyDescent="0.2">
      <c r="A27" s="400" t="s">
        <v>150</v>
      </c>
      <c r="B27" s="389">
        <f>+B28+B29</f>
        <v>8511568545.9000006</v>
      </c>
      <c r="C27" s="389">
        <f>+B27*90%</f>
        <v>7660411691.3100004</v>
      </c>
      <c r="D27" s="389">
        <f>+B27*10%</f>
        <v>851156854.59000015</v>
      </c>
      <c r="E27" s="389"/>
      <c r="F27" s="408"/>
      <c r="G27" s="386">
        <v>0</v>
      </c>
      <c r="H27" s="386"/>
      <c r="I27" s="386"/>
      <c r="J27" s="386"/>
      <c r="K27" s="389">
        <f>+K28+K29</f>
        <v>0</v>
      </c>
      <c r="L27" s="386">
        <f t="shared" si="7"/>
        <v>8511568545.9000006</v>
      </c>
      <c r="M27" s="394"/>
      <c r="N27" s="398"/>
      <c r="O27" s="398"/>
      <c r="P27" s="398"/>
      <c r="Q27" s="423">
        <f t="shared" si="0"/>
        <v>0</v>
      </c>
    </row>
    <row r="28" spans="1:17" ht="15.75" customHeight="1" x14ac:dyDescent="0.2">
      <c r="A28" s="385" t="s">
        <v>575</v>
      </c>
      <c r="B28" s="386">
        <f>+'Proyeccion Ingresos 2024-2027'!C32</f>
        <v>7856832504.1500006</v>
      </c>
      <c r="C28" s="386"/>
      <c r="D28" s="386"/>
      <c r="E28" s="386"/>
      <c r="F28" s="408"/>
      <c r="G28" s="386"/>
      <c r="H28" s="386"/>
      <c r="I28" s="386"/>
      <c r="J28" s="386"/>
      <c r="K28" s="386"/>
      <c r="L28" s="386"/>
      <c r="M28" s="394"/>
      <c r="N28" s="398"/>
      <c r="O28" s="398"/>
      <c r="P28" s="398"/>
      <c r="Q28" s="423">
        <v>0</v>
      </c>
    </row>
    <row r="29" spans="1:17" ht="15.75" customHeight="1" x14ac:dyDescent="0.2">
      <c r="A29" s="385" t="s">
        <v>576</v>
      </c>
      <c r="B29" s="386">
        <f>+'Proyeccion Ingresos 2024-2027'!C33</f>
        <v>654736041.75</v>
      </c>
      <c r="C29" s="386"/>
      <c r="D29" s="386"/>
      <c r="E29" s="386"/>
      <c r="F29" s="408"/>
      <c r="G29" s="386"/>
      <c r="H29" s="386"/>
      <c r="I29" s="386"/>
      <c r="J29" s="386"/>
      <c r="K29" s="386"/>
      <c r="L29" s="386"/>
      <c r="M29" s="394"/>
      <c r="N29" s="398"/>
      <c r="O29" s="398"/>
      <c r="P29" s="398"/>
      <c r="Q29" s="423">
        <v>0</v>
      </c>
    </row>
    <row r="30" spans="1:17" x14ac:dyDescent="0.2">
      <c r="A30" s="388" t="s">
        <v>151</v>
      </c>
      <c r="B30" s="389">
        <f>+B31+B32</f>
        <v>2414999999.4750004</v>
      </c>
      <c r="C30" s="389"/>
      <c r="D30" s="389">
        <f>+B30*10%</f>
        <v>241499999.94750005</v>
      </c>
      <c r="E30" s="389">
        <f>+B30*10%</f>
        <v>241499999.94750005</v>
      </c>
      <c r="F30" s="409">
        <v>0.1</v>
      </c>
      <c r="G30" s="389">
        <v>0</v>
      </c>
      <c r="H30" s="389"/>
      <c r="I30" s="389"/>
      <c r="J30" s="389"/>
      <c r="K30" s="389">
        <f>+K31+K32</f>
        <v>0</v>
      </c>
      <c r="L30" s="389">
        <f t="shared" si="7"/>
        <v>2414999999.4750004</v>
      </c>
      <c r="M30" s="401">
        <f>+L30/$L$61</f>
        <v>2.5693704468938691E-2</v>
      </c>
      <c r="N30" s="396">
        <v>0</v>
      </c>
      <c r="O30" s="396"/>
      <c r="P30" s="396"/>
      <c r="Q30" s="422">
        <f t="shared" si="0"/>
        <v>1931999999.5800002</v>
      </c>
    </row>
    <row r="31" spans="1:17" x14ac:dyDescent="0.2">
      <c r="A31" s="385" t="s">
        <v>575</v>
      </c>
      <c r="B31" s="386">
        <f>+'Proyeccion Ingresos 2024-2027'!C35</f>
        <v>2353132880.7000003</v>
      </c>
      <c r="C31" s="386"/>
      <c r="D31" s="386"/>
      <c r="E31" s="386"/>
      <c r="F31" s="408"/>
      <c r="G31" s="386"/>
      <c r="H31" s="386"/>
      <c r="I31" s="386"/>
      <c r="J31" s="386"/>
      <c r="K31" s="386"/>
      <c r="L31" s="386"/>
      <c r="M31" s="402"/>
      <c r="N31" s="398"/>
      <c r="O31" s="398"/>
      <c r="P31" s="398"/>
      <c r="Q31" s="423">
        <v>0</v>
      </c>
    </row>
    <row r="32" spans="1:17" x14ac:dyDescent="0.2">
      <c r="A32" s="385" t="s">
        <v>576</v>
      </c>
      <c r="B32" s="386">
        <f>+'Proyeccion Ingresos 2024-2027'!C36</f>
        <v>61867118.775000013</v>
      </c>
      <c r="C32" s="386"/>
      <c r="D32" s="386"/>
      <c r="E32" s="386"/>
      <c r="F32" s="408"/>
      <c r="G32" s="386"/>
      <c r="H32" s="386"/>
      <c r="I32" s="386"/>
      <c r="J32" s="386"/>
      <c r="K32" s="386"/>
      <c r="L32" s="386"/>
      <c r="M32" s="402"/>
      <c r="N32" s="398"/>
      <c r="O32" s="398"/>
      <c r="P32" s="398"/>
      <c r="Q32" s="423">
        <v>0</v>
      </c>
    </row>
    <row r="33" spans="1:17" x14ac:dyDescent="0.2">
      <c r="A33" s="388" t="s">
        <v>152</v>
      </c>
      <c r="B33" s="389">
        <f>+B34+B35</f>
        <v>8039000000</v>
      </c>
      <c r="C33" s="389"/>
      <c r="D33" s="389">
        <f>+B33*10%</f>
        <v>803900000</v>
      </c>
      <c r="E33" s="389">
        <f>+B33*10%</f>
        <v>803900000</v>
      </c>
      <c r="F33" s="410">
        <v>0.1</v>
      </c>
      <c r="G33" s="386">
        <v>0</v>
      </c>
      <c r="H33" s="386"/>
      <c r="I33" s="386"/>
      <c r="J33" s="386"/>
      <c r="K33" s="389">
        <f>+K34+K35</f>
        <v>803900000</v>
      </c>
      <c r="L33" s="389">
        <f>+B33-K33</f>
        <v>7235100000</v>
      </c>
      <c r="M33" s="401">
        <f>+L33/$L$61</f>
        <v>7.697578519404992E-2</v>
      </c>
      <c r="N33" s="396">
        <v>0</v>
      </c>
      <c r="O33" s="396"/>
      <c r="P33" s="396"/>
      <c r="Q33" s="422">
        <f t="shared" si="0"/>
        <v>5627300000</v>
      </c>
    </row>
    <row r="34" spans="1:17" x14ac:dyDescent="0.2">
      <c r="A34" s="385" t="s">
        <v>575</v>
      </c>
      <c r="B34" s="386">
        <f>+'Proyeccion Ingresos 2024-2027'!C38</f>
        <v>7235100000</v>
      </c>
      <c r="C34" s="386"/>
      <c r="D34" s="386"/>
      <c r="E34" s="386"/>
      <c r="F34" s="408"/>
      <c r="G34" s="386"/>
      <c r="H34" s="386"/>
      <c r="I34" s="386"/>
      <c r="J34" s="386"/>
      <c r="K34" s="386">
        <f>+B34*0.1</f>
        <v>723510000</v>
      </c>
      <c r="L34" s="386"/>
      <c r="M34" s="402"/>
      <c r="N34" s="398"/>
      <c r="O34" s="398"/>
      <c r="P34" s="398"/>
      <c r="Q34" s="423">
        <v>0</v>
      </c>
    </row>
    <row r="35" spans="1:17" x14ac:dyDescent="0.2">
      <c r="A35" s="385" t="s">
        <v>576</v>
      </c>
      <c r="B35" s="386">
        <f>+'Proyeccion Ingresos 2024-2027'!C39</f>
        <v>803900000</v>
      </c>
      <c r="C35" s="386"/>
      <c r="D35" s="386"/>
      <c r="E35" s="386"/>
      <c r="F35" s="408"/>
      <c r="G35" s="386"/>
      <c r="H35" s="386"/>
      <c r="I35" s="386"/>
      <c r="J35" s="386"/>
      <c r="K35" s="386">
        <f>+B35*0.1</f>
        <v>80390000</v>
      </c>
      <c r="L35" s="386"/>
      <c r="M35" s="402"/>
      <c r="N35" s="398"/>
      <c r="O35" s="398"/>
      <c r="P35" s="398"/>
      <c r="Q35" s="423">
        <v>0</v>
      </c>
    </row>
    <row r="36" spans="1:17" x14ac:dyDescent="0.2">
      <c r="A36" s="388" t="s">
        <v>153</v>
      </c>
      <c r="B36" s="389">
        <f>+B37+B38</f>
        <v>189000000</v>
      </c>
      <c r="C36" s="389"/>
      <c r="D36" s="389">
        <f>+B36*10%</f>
        <v>18900000</v>
      </c>
      <c r="E36" s="389">
        <f>+B36*10%</f>
        <v>18900000</v>
      </c>
      <c r="F36" s="410">
        <v>0.1</v>
      </c>
      <c r="G36" s="386">
        <v>0</v>
      </c>
      <c r="H36" s="386"/>
      <c r="I36" s="386"/>
      <c r="J36" s="386"/>
      <c r="K36" s="386"/>
      <c r="L36" s="386">
        <f t="shared" si="7"/>
        <v>189000000</v>
      </c>
      <c r="M36" s="402">
        <f>+L36/$L$61</f>
        <v>2.0108116545279864E-3</v>
      </c>
      <c r="N36" s="398">
        <v>0</v>
      </c>
      <c r="O36" s="398"/>
      <c r="P36" s="398"/>
      <c r="Q36" s="423">
        <f t="shared" si="0"/>
        <v>151200000</v>
      </c>
    </row>
    <row r="37" spans="1:17" x14ac:dyDescent="0.2">
      <c r="A37" s="385" t="s">
        <v>575</v>
      </c>
      <c r="B37" s="386">
        <f>+'Proyeccion Ingresos 2024-2027'!C41</f>
        <v>183421356.30000001</v>
      </c>
      <c r="C37" s="386"/>
      <c r="D37" s="386"/>
      <c r="E37" s="386"/>
      <c r="F37" s="408"/>
      <c r="G37" s="386"/>
      <c r="H37" s="386"/>
      <c r="I37" s="386"/>
      <c r="J37" s="386"/>
      <c r="K37" s="386"/>
      <c r="L37" s="386"/>
      <c r="M37" s="402"/>
      <c r="N37" s="398"/>
      <c r="O37" s="398"/>
      <c r="P37" s="398"/>
      <c r="Q37" s="423">
        <v>0</v>
      </c>
    </row>
    <row r="38" spans="1:17" x14ac:dyDescent="0.2">
      <c r="A38" s="385" t="s">
        <v>576</v>
      </c>
      <c r="B38" s="386">
        <f>+'Proyeccion Ingresos 2024-2027'!C42</f>
        <v>5578643.7000000002</v>
      </c>
      <c r="C38" s="386"/>
      <c r="D38" s="386"/>
      <c r="E38" s="386"/>
      <c r="F38" s="408"/>
      <c r="G38" s="386"/>
      <c r="H38" s="386"/>
      <c r="I38" s="386"/>
      <c r="J38" s="386"/>
      <c r="K38" s="386"/>
      <c r="L38" s="386"/>
      <c r="M38" s="402"/>
      <c r="N38" s="398"/>
      <c r="O38" s="398"/>
      <c r="P38" s="398"/>
      <c r="Q38" s="423">
        <v>0</v>
      </c>
    </row>
    <row r="39" spans="1:17" x14ac:dyDescent="0.2">
      <c r="A39" s="388" t="s">
        <v>601</v>
      </c>
      <c r="B39" s="386">
        <f>+B40+B41</f>
        <v>10500000</v>
      </c>
      <c r="C39" s="386"/>
      <c r="D39" s="386">
        <f>+B39*0.1</f>
        <v>1050000</v>
      </c>
      <c r="E39" s="386">
        <f>+B39*0.1</f>
        <v>1050000</v>
      </c>
      <c r="F39" s="408"/>
      <c r="G39" s="386"/>
      <c r="H39" s="386"/>
      <c r="I39" s="386"/>
      <c r="J39" s="386"/>
      <c r="K39" s="386"/>
      <c r="L39" s="386"/>
      <c r="M39" s="402"/>
      <c r="N39" s="398"/>
      <c r="O39" s="398"/>
      <c r="P39" s="398"/>
      <c r="Q39" s="423">
        <f>+B39-D39-E39</f>
        <v>8400000</v>
      </c>
    </row>
    <row r="40" spans="1:17" x14ac:dyDescent="0.2">
      <c r="A40" s="385" t="s">
        <v>575</v>
      </c>
      <c r="B40" s="386">
        <f>+'Proyeccion Ingresos 2024-2027'!C44</f>
        <v>10000000</v>
      </c>
      <c r="C40" s="386"/>
      <c r="D40" s="386"/>
      <c r="E40" s="386"/>
      <c r="F40" s="408"/>
      <c r="G40" s="386"/>
      <c r="H40" s="386"/>
      <c r="I40" s="386"/>
      <c r="J40" s="386"/>
      <c r="K40" s="386"/>
      <c r="L40" s="386"/>
      <c r="M40" s="402"/>
      <c r="N40" s="398"/>
      <c r="O40" s="398"/>
      <c r="P40" s="398"/>
      <c r="Q40" s="423"/>
    </row>
    <row r="41" spans="1:17" x14ac:dyDescent="0.2">
      <c r="A41" s="385" t="s">
        <v>576</v>
      </c>
      <c r="B41" s="386">
        <f>+'Proyeccion Ingresos 2024-2027'!C45</f>
        <v>500000</v>
      </c>
      <c r="C41" s="386"/>
      <c r="D41" s="386"/>
      <c r="E41" s="386"/>
      <c r="F41" s="408"/>
      <c r="G41" s="386"/>
      <c r="H41" s="386"/>
      <c r="I41" s="386"/>
      <c r="J41" s="386"/>
      <c r="K41" s="386"/>
      <c r="L41" s="386"/>
      <c r="M41" s="402"/>
      <c r="N41" s="398"/>
      <c r="O41" s="398"/>
      <c r="P41" s="398"/>
      <c r="Q41" s="423"/>
    </row>
    <row r="42" spans="1:17" x14ac:dyDescent="0.2">
      <c r="A42" s="388" t="s">
        <v>154</v>
      </c>
      <c r="B42" s="389">
        <f>+B43</f>
        <v>373074275.57400012</v>
      </c>
      <c r="C42" s="389">
        <f>+B42*90%</f>
        <v>335766848.01660013</v>
      </c>
      <c r="D42" s="389">
        <f>+B42*10%</f>
        <v>37307427.557400011</v>
      </c>
      <c r="E42" s="389"/>
      <c r="F42" s="408"/>
      <c r="G42" s="386"/>
      <c r="H42" s="386"/>
      <c r="I42" s="386"/>
      <c r="J42" s="386"/>
      <c r="K42" s="386"/>
      <c r="L42" s="386"/>
      <c r="M42" s="394"/>
      <c r="N42" s="398">
        <f>+N43</f>
        <v>0</v>
      </c>
      <c r="O42" s="398"/>
      <c r="P42" s="398"/>
      <c r="Q42" s="423">
        <v>0</v>
      </c>
    </row>
    <row r="43" spans="1:17" x14ac:dyDescent="0.2">
      <c r="A43" s="388" t="s">
        <v>155</v>
      </c>
      <c r="B43" s="389">
        <f>+B44+B45</f>
        <v>373074275.57400012</v>
      </c>
      <c r="C43" s="389"/>
      <c r="D43" s="389"/>
      <c r="E43" s="389"/>
      <c r="F43" s="408"/>
      <c r="G43" s="386"/>
      <c r="H43" s="386"/>
      <c r="I43" s="386"/>
      <c r="J43" s="386"/>
      <c r="K43" s="386"/>
      <c r="L43" s="386">
        <f>+B43-G43-H43-K43</f>
        <v>373074275.57400012</v>
      </c>
      <c r="M43" s="394"/>
      <c r="N43" s="386"/>
      <c r="O43" s="386"/>
      <c r="P43" s="386"/>
      <c r="Q43" s="371">
        <f t="shared" si="0"/>
        <v>373074275.57400012</v>
      </c>
    </row>
    <row r="44" spans="1:17" x14ac:dyDescent="0.2">
      <c r="A44" s="385" t="s">
        <v>575</v>
      </c>
      <c r="B44" s="386">
        <f>+'Proyeccion Ingresos 2024-2027'!C49</f>
        <v>315678233.17800009</v>
      </c>
      <c r="C44" s="386"/>
      <c r="D44" s="386"/>
      <c r="E44" s="386"/>
      <c r="F44" s="408"/>
      <c r="G44" s="386"/>
      <c r="H44" s="386"/>
      <c r="I44" s="386"/>
      <c r="J44" s="386"/>
      <c r="K44" s="386"/>
      <c r="L44" s="386"/>
      <c r="M44" s="394"/>
      <c r="N44" s="386"/>
      <c r="O44" s="386"/>
      <c r="P44" s="386"/>
      <c r="Q44" s="423">
        <v>0</v>
      </c>
    </row>
    <row r="45" spans="1:17" x14ac:dyDescent="0.2">
      <c r="A45" s="385" t="s">
        <v>576</v>
      </c>
      <c r="B45" s="386">
        <f>+'Proyeccion Ingresos 2024-2027'!C50</f>
        <v>57396042.396000013</v>
      </c>
      <c r="C45" s="386"/>
      <c r="D45" s="386"/>
      <c r="E45" s="386"/>
      <c r="F45" s="408"/>
      <c r="G45" s="386"/>
      <c r="H45" s="386"/>
      <c r="I45" s="386"/>
      <c r="J45" s="386"/>
      <c r="K45" s="386"/>
      <c r="L45" s="386"/>
      <c r="M45" s="394"/>
      <c r="N45" s="386"/>
      <c r="O45" s="386"/>
      <c r="P45" s="386"/>
      <c r="Q45" s="423">
        <v>0</v>
      </c>
    </row>
    <row r="46" spans="1:17" x14ac:dyDescent="0.2">
      <c r="A46" s="385" t="s">
        <v>156</v>
      </c>
      <c r="B46" s="386">
        <f>+B47+B50</f>
        <v>89583000000</v>
      </c>
      <c r="C46" s="386"/>
      <c r="D46" s="386"/>
      <c r="E46" s="386">
        <f>+E47+E50</f>
        <v>8950500000</v>
      </c>
      <c r="F46" s="408"/>
      <c r="G46" s="386">
        <f>+G47</f>
        <v>37107595468</v>
      </c>
      <c r="H46" s="386"/>
      <c r="I46" s="386"/>
      <c r="J46" s="386"/>
      <c r="K46" s="386">
        <f>+K47+K50</f>
        <v>13425750000</v>
      </c>
      <c r="L46" s="386"/>
      <c r="M46" s="394"/>
      <c r="N46" s="398">
        <f>+N47</f>
        <v>0</v>
      </c>
      <c r="O46" s="386">
        <f>+O47+O50</f>
        <v>6778923625.5999985</v>
      </c>
      <c r="P46" s="398"/>
      <c r="Q46" s="423">
        <f t="shared" si="0"/>
        <v>23320230906.400002</v>
      </c>
    </row>
    <row r="47" spans="1:17" x14ac:dyDescent="0.2">
      <c r="A47" s="388" t="s">
        <v>157</v>
      </c>
      <c r="B47" s="389">
        <f>+B48+B49</f>
        <v>89505000000</v>
      </c>
      <c r="C47" s="389"/>
      <c r="D47" s="389"/>
      <c r="E47" s="389">
        <f>+B47*10%</f>
        <v>8950500000</v>
      </c>
      <c r="F47" s="411">
        <v>0.1</v>
      </c>
      <c r="G47" s="386">
        <f>+G48+G49</f>
        <v>37107595468</v>
      </c>
      <c r="H47" s="386"/>
      <c r="I47" s="386"/>
      <c r="J47" s="386"/>
      <c r="K47" s="386">
        <f>+K48+K49</f>
        <v>13425750000</v>
      </c>
      <c r="L47" s="386">
        <f>+B47-G47-K47</f>
        <v>38971654532</v>
      </c>
      <c r="M47" s="402">
        <f>+L47/$L$61</f>
        <v>0.41462781549832817</v>
      </c>
      <c r="N47" s="398">
        <f>+N48+N49</f>
        <v>0</v>
      </c>
      <c r="O47" s="389">
        <f>+O48+O49</f>
        <v>6778923625.5999985</v>
      </c>
      <c r="P47" s="398"/>
      <c r="Q47" s="423">
        <f>+B47-C47-D47-E47-G47-I47-K47-N47-O47-P47</f>
        <v>23242230906.400002</v>
      </c>
    </row>
    <row r="48" spans="1:17" x14ac:dyDescent="0.2">
      <c r="A48" s="385" t="s">
        <v>575</v>
      </c>
      <c r="B48" s="386">
        <f>+'Proyeccion Ingresos 2024-2027'!C55</f>
        <v>72930000000</v>
      </c>
      <c r="C48" s="386"/>
      <c r="D48" s="386"/>
      <c r="E48" s="386"/>
      <c r="F48" s="408"/>
      <c r="G48" s="386">
        <f>37107595468*0.8</f>
        <v>29686076374.400002</v>
      </c>
      <c r="H48" s="386"/>
      <c r="I48" s="386"/>
      <c r="J48" s="386"/>
      <c r="K48" s="386">
        <f>+B48*0.15</f>
        <v>10939500000</v>
      </c>
      <c r="L48" s="386"/>
      <c r="M48" s="402"/>
      <c r="N48" s="398">
        <v>0</v>
      </c>
      <c r="O48" s="398">
        <f>+(B48*0.5)-G48</f>
        <v>6778923625.5999985</v>
      </c>
      <c r="P48" s="398"/>
      <c r="Q48" s="423">
        <f>+B48-G48-K48-N48-O48</f>
        <v>25525500000</v>
      </c>
    </row>
    <row r="49" spans="1:17" x14ac:dyDescent="0.2">
      <c r="A49" s="385" t="s">
        <v>576</v>
      </c>
      <c r="B49" s="386">
        <f>+'Proyeccion Ingresos 2024-2027'!C56</f>
        <v>16575000000</v>
      </c>
      <c r="C49" s="386"/>
      <c r="D49" s="386"/>
      <c r="E49" s="386"/>
      <c r="F49" s="408"/>
      <c r="G49" s="386">
        <f>37107595468*0.2</f>
        <v>7421519093.6000004</v>
      </c>
      <c r="H49" s="386"/>
      <c r="I49" s="386"/>
      <c r="J49" s="386"/>
      <c r="K49" s="386">
        <f>+B49*0.15</f>
        <v>2486250000</v>
      </c>
      <c r="L49" s="386"/>
      <c r="M49" s="402"/>
      <c r="N49" s="398"/>
      <c r="O49" s="398">
        <v>0</v>
      </c>
      <c r="P49" s="398"/>
      <c r="Q49" s="423">
        <f>+B49-G49-K49-N49-O49</f>
        <v>6667230906.3999996</v>
      </c>
    </row>
    <row r="50" spans="1:17" x14ac:dyDescent="0.2">
      <c r="A50" s="388" t="s">
        <v>158</v>
      </c>
      <c r="B50" s="389">
        <f>+'Proyeccion Ingresos 2024-2027'!C57</f>
        <v>78000000</v>
      </c>
      <c r="C50" s="389"/>
      <c r="D50" s="389"/>
      <c r="E50" s="389"/>
      <c r="F50" s="408"/>
      <c r="G50" s="386"/>
      <c r="H50" s="386"/>
      <c r="I50" s="386"/>
      <c r="J50" s="386"/>
      <c r="K50" s="386"/>
      <c r="L50" s="386">
        <f>+B50</f>
        <v>78000000</v>
      </c>
      <c r="M50" s="386"/>
      <c r="N50" s="398">
        <v>0</v>
      </c>
      <c r="O50" s="398"/>
      <c r="P50" s="398"/>
      <c r="Q50" s="423">
        <f t="shared" si="0"/>
        <v>78000000</v>
      </c>
    </row>
    <row r="51" spans="1:17" x14ac:dyDescent="0.2">
      <c r="A51" s="385" t="s">
        <v>86</v>
      </c>
      <c r="B51" s="386">
        <f>+B52+B54+B56</f>
        <v>529594085.82024008</v>
      </c>
      <c r="C51" s="386"/>
      <c r="D51" s="386"/>
      <c r="E51" s="386">
        <f>+E52+E54</f>
        <v>52959408.582024008</v>
      </c>
      <c r="F51" s="408"/>
      <c r="G51" s="386"/>
      <c r="H51" s="386"/>
      <c r="I51" s="386"/>
      <c r="J51" s="386"/>
      <c r="K51" s="386"/>
      <c r="L51" s="386">
        <f>+L52+L54+L56</f>
        <v>0</v>
      </c>
      <c r="M51" s="386"/>
      <c r="N51" s="386">
        <f t="shared" ref="N51:Q51" si="8">+N52+N54</f>
        <v>0</v>
      </c>
      <c r="O51" s="386">
        <f t="shared" si="8"/>
        <v>0</v>
      </c>
      <c r="P51" s="386">
        <f t="shared" si="8"/>
        <v>0</v>
      </c>
      <c r="Q51" s="371">
        <f t="shared" si="8"/>
        <v>476634677.23821604</v>
      </c>
    </row>
    <row r="52" spans="1:17" x14ac:dyDescent="0.2">
      <c r="A52" s="385" t="s">
        <v>88</v>
      </c>
      <c r="B52" s="386">
        <f>+B53</f>
        <v>529594085.82024008</v>
      </c>
      <c r="C52" s="386"/>
      <c r="D52" s="386"/>
      <c r="E52" s="386">
        <f>+E53</f>
        <v>52959408.582024008</v>
      </c>
      <c r="F52" s="408"/>
      <c r="G52" s="386"/>
      <c r="H52" s="386"/>
      <c r="I52" s="386"/>
      <c r="J52" s="386"/>
      <c r="K52" s="386"/>
      <c r="L52" s="386"/>
      <c r="M52" s="404"/>
      <c r="N52" s="398">
        <f>+N53</f>
        <v>0</v>
      </c>
      <c r="O52" s="398"/>
      <c r="P52" s="398"/>
      <c r="Q52" s="423">
        <f>+Q53</f>
        <v>476634677.23821604</v>
      </c>
    </row>
    <row r="53" spans="1:17" x14ac:dyDescent="0.2">
      <c r="A53" s="385" t="s">
        <v>159</v>
      </c>
      <c r="B53" s="386">
        <f>+'Proyeccion Ingresos 2024-2027'!C61</f>
        <v>529594085.82024008</v>
      </c>
      <c r="C53" s="386"/>
      <c r="D53" s="386"/>
      <c r="E53" s="386">
        <f>+B53*10%</f>
        <v>52959408.582024008</v>
      </c>
      <c r="F53" s="411">
        <v>0.1</v>
      </c>
      <c r="G53" s="386"/>
      <c r="H53" s="386"/>
      <c r="I53" s="386"/>
      <c r="J53" s="386"/>
      <c r="K53" s="386"/>
      <c r="L53" s="386">
        <f>+B53</f>
        <v>529594085.82024008</v>
      </c>
      <c r="M53" s="402">
        <f>+L53/$L$61</f>
        <v>5.6344653964890664E-3</v>
      </c>
      <c r="N53" s="398">
        <v>0</v>
      </c>
      <c r="O53" s="398"/>
      <c r="P53" s="398"/>
      <c r="Q53" s="423">
        <f>+B53-E53-N53</f>
        <v>476634677.23821604</v>
      </c>
    </row>
    <row r="54" spans="1:17" hidden="1" x14ac:dyDescent="0.2">
      <c r="A54" s="385" t="s">
        <v>160</v>
      </c>
      <c r="B54" s="386">
        <f>+B55</f>
        <v>0</v>
      </c>
      <c r="C54" s="386"/>
      <c r="D54" s="386"/>
      <c r="E54" s="386"/>
      <c r="F54" s="408"/>
      <c r="G54" s="386"/>
      <c r="H54" s="386"/>
      <c r="I54" s="386"/>
      <c r="J54" s="386"/>
      <c r="K54" s="386"/>
      <c r="L54" s="386">
        <f>+L55</f>
        <v>0</v>
      </c>
      <c r="M54" s="386"/>
      <c r="N54" s="398">
        <v>0</v>
      </c>
      <c r="O54" s="398"/>
      <c r="P54" s="398"/>
      <c r="Q54" s="423">
        <f t="shared" si="0"/>
        <v>0</v>
      </c>
    </row>
    <row r="55" spans="1:17" hidden="1" x14ac:dyDescent="0.2">
      <c r="A55" s="385" t="s">
        <v>161</v>
      </c>
      <c r="B55" s="386">
        <f>+'INGRESOS 2024'!Q64</f>
        <v>0</v>
      </c>
      <c r="C55" s="386"/>
      <c r="D55" s="386"/>
      <c r="E55" s="386"/>
      <c r="F55" s="408"/>
      <c r="G55" s="386"/>
      <c r="H55" s="386"/>
      <c r="I55" s="386"/>
      <c r="J55" s="386">
        <f>+B55</f>
        <v>0</v>
      </c>
      <c r="K55" s="386"/>
      <c r="L55" s="386"/>
      <c r="M55" s="386"/>
      <c r="N55" s="398"/>
      <c r="O55" s="398"/>
      <c r="P55" s="398"/>
      <c r="Q55" s="423">
        <f t="shared" si="0"/>
        <v>0</v>
      </c>
    </row>
    <row r="56" spans="1:17" hidden="1" x14ac:dyDescent="0.2">
      <c r="A56" s="385" t="s">
        <v>162</v>
      </c>
      <c r="B56" s="386">
        <f>+'INGRESOS 2024'!Q62</f>
        <v>0</v>
      </c>
      <c r="C56" s="386"/>
      <c r="D56" s="386"/>
      <c r="E56" s="386"/>
      <c r="F56" s="408"/>
      <c r="G56" s="386">
        <f t="shared" ref="G56:N56" si="9">SUM(G57:G58)</f>
        <v>0</v>
      </c>
      <c r="H56" s="386"/>
      <c r="I56" s="386"/>
      <c r="J56" s="386"/>
      <c r="K56" s="386"/>
      <c r="L56" s="386">
        <f>+'INGRESOS 2024'!V62</f>
        <v>0</v>
      </c>
      <c r="M56" s="386"/>
      <c r="N56" s="386">
        <f t="shared" si="9"/>
        <v>0</v>
      </c>
      <c r="O56" s="386"/>
      <c r="P56" s="386"/>
      <c r="Q56" s="371">
        <f t="shared" si="0"/>
        <v>0</v>
      </c>
    </row>
    <row r="57" spans="1:17" hidden="1" x14ac:dyDescent="0.2">
      <c r="A57" s="385"/>
      <c r="B57" s="386"/>
      <c r="C57" s="386"/>
      <c r="D57" s="386"/>
      <c r="E57" s="386"/>
      <c r="F57" s="408"/>
      <c r="G57" s="386"/>
      <c r="H57" s="386"/>
      <c r="I57" s="386"/>
      <c r="J57" s="386"/>
      <c r="K57" s="386"/>
      <c r="L57" s="386"/>
      <c r="M57" s="386"/>
      <c r="N57" s="398"/>
      <c r="O57" s="398"/>
      <c r="P57" s="398"/>
      <c r="Q57" s="423">
        <f t="shared" si="0"/>
        <v>0</v>
      </c>
    </row>
    <row r="58" spans="1:17" x14ac:dyDescent="0.2">
      <c r="A58" s="388" t="s">
        <v>101</v>
      </c>
      <c r="B58" s="389">
        <f>+B59+B60</f>
        <v>2427589290</v>
      </c>
      <c r="C58" s="389">
        <f>+C59</f>
        <v>2427589290</v>
      </c>
      <c r="D58" s="389"/>
      <c r="E58" s="389"/>
      <c r="F58" s="408"/>
      <c r="G58" s="386"/>
      <c r="H58" s="386"/>
      <c r="I58" s="386"/>
      <c r="J58" s="386"/>
      <c r="K58" s="386"/>
      <c r="L58" s="386">
        <f>+L59+L60</f>
        <v>0</v>
      </c>
      <c r="M58" s="386"/>
      <c r="N58" s="398"/>
      <c r="O58" s="398"/>
      <c r="P58" s="398"/>
      <c r="Q58" s="423">
        <f t="shared" si="0"/>
        <v>0</v>
      </c>
    </row>
    <row r="59" spans="1:17" x14ac:dyDescent="0.2">
      <c r="A59" s="385" t="s">
        <v>138</v>
      </c>
      <c r="B59" s="386">
        <f>+'Proyeccion Ingresos 2024-2027'!C70</f>
        <v>2427589290</v>
      </c>
      <c r="C59" s="386">
        <f>+B59</f>
        <v>2427589290</v>
      </c>
      <c r="D59" s="386"/>
      <c r="E59" s="386"/>
      <c r="F59" s="408"/>
      <c r="G59" s="386"/>
      <c r="H59" s="386"/>
      <c r="I59" s="386"/>
      <c r="J59" s="386"/>
      <c r="K59" s="386"/>
      <c r="L59" s="386"/>
      <c r="M59" s="386"/>
      <c r="N59" s="398"/>
      <c r="O59" s="398"/>
      <c r="P59" s="398"/>
      <c r="Q59" s="423">
        <v>0</v>
      </c>
    </row>
    <row r="60" spans="1:17" x14ac:dyDescent="0.2">
      <c r="A60" s="385" t="s">
        <v>139</v>
      </c>
      <c r="B60" s="386"/>
      <c r="C60" s="386"/>
      <c r="D60" s="386"/>
      <c r="E60" s="386"/>
      <c r="F60" s="408"/>
      <c r="G60" s="405"/>
      <c r="H60" s="405"/>
      <c r="I60" s="405"/>
      <c r="J60" s="405"/>
      <c r="K60" s="405"/>
      <c r="L60" s="386"/>
      <c r="M60" s="405"/>
      <c r="N60" s="398"/>
      <c r="O60" s="398"/>
      <c r="P60" s="398"/>
      <c r="Q60" s="423">
        <f t="shared" si="0"/>
        <v>0</v>
      </c>
    </row>
    <row r="61" spans="1:17" x14ac:dyDescent="0.2">
      <c r="A61" s="414" t="s">
        <v>140</v>
      </c>
      <c r="B61" s="415">
        <f>+B58+B3</f>
        <v>155949195508.76141</v>
      </c>
      <c r="C61" s="415">
        <f>+C58+C3</f>
        <v>14530620903.969692</v>
      </c>
      <c r="D61" s="415">
        <f>+D58+D3</f>
        <v>5738794876.5540819</v>
      </c>
      <c r="E61" s="415">
        <f>+E58+E3</f>
        <v>12433149408.533649</v>
      </c>
      <c r="F61" s="420"/>
      <c r="G61" s="415">
        <f>G3</f>
        <v>37107595468</v>
      </c>
      <c r="H61" s="415">
        <f>+H12</f>
        <v>0</v>
      </c>
      <c r="I61" s="415">
        <f>+I12</f>
        <v>8181964705</v>
      </c>
      <c r="J61" s="415">
        <f>+J55</f>
        <v>0</v>
      </c>
      <c r="K61" s="415">
        <f>+K33+K47</f>
        <v>14229650000</v>
      </c>
      <c r="L61" s="415">
        <f>SUM(L3:L58)</f>
        <v>93991896045.761398</v>
      </c>
      <c r="M61" s="415"/>
      <c r="N61" s="415">
        <f>+N58+N3</f>
        <v>0</v>
      </c>
      <c r="O61" s="415">
        <f>+O58+O3</f>
        <v>9064581974.6236343</v>
      </c>
      <c r="P61" s="415">
        <f>+P58+P3</f>
        <v>1868012588.8249989</v>
      </c>
      <c r="Q61" s="415">
        <f>+Q58+Q3</f>
        <v>52794825583.255363</v>
      </c>
    </row>
    <row r="62" spans="1:17" ht="11.25" customHeight="1" x14ac:dyDescent="0.2">
      <c r="B62" s="115"/>
      <c r="C62" s="115"/>
      <c r="D62" s="115"/>
      <c r="E62" s="115"/>
      <c r="F62" s="127"/>
      <c r="G62" s="547" t="s">
        <v>141</v>
      </c>
      <c r="H62" s="548"/>
      <c r="I62" s="548"/>
      <c r="J62" s="548"/>
      <c r="K62" s="549"/>
      <c r="L62" s="127"/>
      <c r="M62" s="127"/>
      <c r="N62" s="117"/>
      <c r="O62" s="117"/>
      <c r="P62" s="117"/>
      <c r="Q62" s="109"/>
    </row>
    <row r="63" spans="1:17" ht="52.5" hidden="1" customHeight="1" x14ac:dyDescent="0.2">
      <c r="A63" s="118" t="s">
        <v>142</v>
      </c>
      <c r="B63" s="119" t="e">
        <f>SUM(#REF!+#REF!)</f>
        <v>#REF!</v>
      </c>
      <c r="C63" s="119"/>
      <c r="D63" s="119"/>
      <c r="E63" s="119"/>
      <c r="F63" s="412"/>
      <c r="G63" s="120"/>
      <c r="H63" s="120"/>
      <c r="I63" s="120"/>
      <c r="J63" s="120"/>
    </row>
    <row r="64" spans="1:17" ht="11.25" customHeight="1" x14ac:dyDescent="0.2">
      <c r="B64" s="122"/>
      <c r="C64" s="122"/>
      <c r="D64" s="122"/>
      <c r="E64" s="122"/>
      <c r="L64" s="126"/>
      <c r="Q64" s="291"/>
    </row>
    <row r="65" spans="2:17" hidden="1" x14ac:dyDescent="0.2">
      <c r="Q65" s="291"/>
    </row>
    <row r="66" spans="2:17" hidden="1" x14ac:dyDescent="0.2">
      <c r="N66" s="121" t="s">
        <v>128</v>
      </c>
      <c r="Q66" s="291"/>
    </row>
    <row r="67" spans="2:17" hidden="1" x14ac:dyDescent="0.2">
      <c r="N67" s="121" t="s">
        <v>540</v>
      </c>
      <c r="Q67" s="291"/>
    </row>
    <row r="68" spans="2:17" hidden="1" x14ac:dyDescent="0.2">
      <c r="Q68" s="291"/>
    </row>
    <row r="69" spans="2:17" hidden="1" x14ac:dyDescent="0.2">
      <c r="Q69" s="291"/>
    </row>
    <row r="70" spans="2:17" hidden="1" x14ac:dyDescent="0.2">
      <c r="Q70" s="291"/>
    </row>
    <row r="71" spans="2:17" hidden="1" x14ac:dyDescent="0.2">
      <c r="N71" s="121" t="s">
        <v>542</v>
      </c>
      <c r="Q71" s="291"/>
    </row>
    <row r="72" spans="2:17" x14ac:dyDescent="0.2">
      <c r="G72" s="126"/>
      <c r="Q72" s="291">
        <f>+Q61+P61+O61+N61+K61+I61+G61+E61+D61+C61</f>
        <v>155949195508.76141</v>
      </c>
    </row>
    <row r="73" spans="2:17" x14ac:dyDescent="0.2">
      <c r="L73" s="126"/>
      <c r="Q73" s="291"/>
    </row>
    <row r="74" spans="2:17" x14ac:dyDescent="0.2">
      <c r="D74" s="351"/>
      <c r="E74" s="351"/>
      <c r="F74" s="413"/>
      <c r="G74" s="352">
        <v>35678457181</v>
      </c>
      <c r="L74" s="126"/>
      <c r="Q74" s="291"/>
    </row>
    <row r="75" spans="2:17" x14ac:dyDescent="0.2">
      <c r="D75" s="351">
        <f>+'RESUMEN PRESUPUESTAL '!AA9</f>
        <v>3957791223.8999996</v>
      </c>
      <c r="E75" s="351"/>
      <c r="F75" s="413"/>
      <c r="G75" s="352">
        <v>37107595468</v>
      </c>
      <c r="L75" s="126"/>
      <c r="Q75" s="291"/>
    </row>
    <row r="76" spans="2:17" x14ac:dyDescent="0.2">
      <c r="B76" s="359"/>
      <c r="D76" s="351"/>
      <c r="E76" s="351"/>
      <c r="F76" s="413"/>
      <c r="G76" s="360">
        <v>38589819286</v>
      </c>
      <c r="Q76" s="292"/>
    </row>
    <row r="77" spans="2:17" x14ac:dyDescent="0.2">
      <c r="G77" s="360">
        <v>40133412058</v>
      </c>
    </row>
    <row r="78" spans="2:17" x14ac:dyDescent="0.2">
      <c r="G78" s="352">
        <f>SUM(G74:G77)</f>
        <v>151509283993</v>
      </c>
      <c r="Q78" s="231"/>
    </row>
    <row r="86" spans="16:17" x14ac:dyDescent="0.2">
      <c r="P86" s="121" t="s">
        <v>128</v>
      </c>
      <c r="Q86" s="126">
        <f>+Q61+P61+O61+N61+K61+I61+G61</f>
        <v>123246630319.70399</v>
      </c>
    </row>
    <row r="88" spans="16:17" x14ac:dyDescent="0.2">
      <c r="Q88" s="126">
        <f>+Q61+N61+K61+I61+H61+G61+J61</f>
        <v>112314035756.25537</v>
      </c>
    </row>
    <row r="89" spans="16:17" x14ac:dyDescent="0.2">
      <c r="Q89" s="207">
        <f>+'INGRESOS 2024'!O70</f>
        <v>12363481377.636566</v>
      </c>
    </row>
    <row r="90" spans="16:17" x14ac:dyDescent="0.2">
      <c r="Q90" s="126">
        <f>+Q88+Q89</f>
        <v>124677517133.89194</v>
      </c>
    </row>
    <row r="91" spans="16:17" x14ac:dyDescent="0.2">
      <c r="Q91" s="111"/>
    </row>
    <row r="93" spans="16:17" x14ac:dyDescent="0.2">
      <c r="Q93" s="231">
        <f>+'[3]RESUMEN 2024'!$D$4</f>
        <v>11143805251.200001</v>
      </c>
    </row>
    <row r="94" spans="16:17" x14ac:dyDescent="0.2">
      <c r="P94" s="121" t="s">
        <v>552</v>
      </c>
      <c r="Q94" s="207">
        <f>+'INGRESOS 2024'!O70</f>
        <v>12363481377.636566</v>
      </c>
    </row>
    <row r="95" spans="16:17" x14ac:dyDescent="0.2">
      <c r="P95" s="121" t="s">
        <v>553</v>
      </c>
      <c r="Q95" s="126">
        <f>+Q86+Q94</f>
        <v>135610111697.34056</v>
      </c>
    </row>
    <row r="96" spans="16:17" x14ac:dyDescent="0.2">
      <c r="Q96" s="126"/>
    </row>
    <row r="97" spans="15:17" x14ac:dyDescent="0.2">
      <c r="O97" s="550" t="s">
        <v>561</v>
      </c>
      <c r="P97" s="241" t="s">
        <v>554</v>
      </c>
      <c r="Q97" s="242">
        <f>+G61</f>
        <v>37107595468</v>
      </c>
    </row>
    <row r="98" spans="15:17" x14ac:dyDescent="0.2">
      <c r="O98" s="550"/>
      <c r="P98" s="241" t="s">
        <v>555</v>
      </c>
      <c r="Q98" s="242">
        <f>+I61</f>
        <v>8181964705</v>
      </c>
    </row>
    <row r="99" spans="15:17" x14ac:dyDescent="0.2">
      <c r="O99" s="550"/>
      <c r="P99" s="241" t="s">
        <v>556</v>
      </c>
      <c r="Q99" s="242">
        <f>+K61</f>
        <v>14229650000</v>
      </c>
    </row>
    <row r="100" spans="15:17" x14ac:dyDescent="0.2">
      <c r="O100" s="550"/>
      <c r="P100" s="241" t="s">
        <v>557</v>
      </c>
      <c r="Q100" s="242">
        <f>+N61</f>
        <v>0</v>
      </c>
    </row>
    <row r="101" spans="15:17" x14ac:dyDescent="0.2">
      <c r="O101" s="550"/>
      <c r="P101" s="241" t="s">
        <v>558</v>
      </c>
      <c r="Q101" s="242">
        <f>+O61</f>
        <v>9064581974.6236343</v>
      </c>
    </row>
    <row r="102" spans="15:17" x14ac:dyDescent="0.2">
      <c r="O102" s="550"/>
      <c r="P102" s="241" t="s">
        <v>559</v>
      </c>
      <c r="Q102" s="242">
        <f>+P61</f>
        <v>1868012588.8249989</v>
      </c>
    </row>
    <row r="103" spans="15:17" x14ac:dyDescent="0.2">
      <c r="O103" s="550"/>
      <c r="P103" s="241" t="s">
        <v>560</v>
      </c>
      <c r="Q103" s="242">
        <f>+Q61+Q94</f>
        <v>65158306960.89193</v>
      </c>
    </row>
    <row r="104" spans="15:17" x14ac:dyDescent="0.2">
      <c r="O104" s="243"/>
      <c r="P104" s="243"/>
      <c r="Q104" s="242">
        <f>SUM(Q97:Q103)</f>
        <v>135610111697.34058</v>
      </c>
    </row>
    <row r="105" spans="15:17" x14ac:dyDescent="0.2">
      <c r="O105" s="243"/>
      <c r="P105" s="243"/>
      <c r="Q105" s="244"/>
    </row>
    <row r="106" spans="15:17" x14ac:dyDescent="0.2">
      <c r="O106" s="241" t="s">
        <v>562</v>
      </c>
      <c r="P106" s="241"/>
      <c r="Q106" s="242">
        <f>+Q104-Q99</f>
        <v>121380461697.34058</v>
      </c>
    </row>
    <row r="109" spans="15:17" x14ac:dyDescent="0.2">
      <c r="Q109" s="126">
        <f>+Q106-Q100</f>
        <v>121380461697.34058</v>
      </c>
    </row>
  </sheetData>
  <mergeCells count="9">
    <mergeCell ref="Q1:Q2"/>
    <mergeCell ref="G62:K62"/>
    <mergeCell ref="O97:O103"/>
    <mergeCell ref="A1:A2"/>
    <mergeCell ref="B1:B2"/>
    <mergeCell ref="G1:K1"/>
    <mergeCell ref="N1:N2"/>
    <mergeCell ref="O1:O2"/>
    <mergeCell ref="P1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30FE2-D252-45FE-9B60-AE4525754895}">
  <dimension ref="A1:Q109"/>
  <sheetViews>
    <sheetView showGridLines="0" topLeftCell="A16" workbookViewId="0">
      <selection activeCell="O64" sqref="O64"/>
    </sheetView>
  </sheetViews>
  <sheetFormatPr baseColWidth="10" defaultColWidth="25.6640625" defaultRowHeight="10.199999999999999" x14ac:dyDescent="0.2"/>
  <cols>
    <col min="1" max="1" width="38.6640625" style="100" customWidth="1"/>
    <col min="2" max="2" width="15" style="109" bestFit="1" customWidth="1"/>
    <col min="3" max="5" width="15" style="109" customWidth="1"/>
    <col min="6" max="6" width="4.5546875" style="122" customWidth="1"/>
    <col min="7" max="7" width="18.6640625" style="100" customWidth="1"/>
    <col min="8" max="8" width="16" style="100" hidden="1" customWidth="1"/>
    <col min="9" max="9" width="14.109375" style="100" bestFit="1" customWidth="1"/>
    <col min="10" max="10" width="13.109375" style="100" hidden="1" customWidth="1"/>
    <col min="11" max="11" width="14.5546875" style="100" customWidth="1"/>
    <col min="12" max="12" width="17.6640625" style="100" hidden="1" customWidth="1"/>
    <col min="13" max="13" width="11.6640625" style="100" hidden="1" customWidth="1"/>
    <col min="14" max="14" width="13.44140625" style="121" customWidth="1"/>
    <col min="15" max="15" width="14.6640625" style="121" customWidth="1"/>
    <col min="16" max="16" width="14.109375" style="121" customWidth="1"/>
    <col min="17" max="17" width="17.33203125" style="100" customWidth="1"/>
    <col min="18" max="259" width="25.6640625" style="100"/>
    <col min="260" max="260" width="14.109375" style="100" customWidth="1"/>
    <col min="261" max="261" width="10.88671875" style="100" customWidth="1"/>
    <col min="262" max="263" width="9.33203125" style="100" customWidth="1"/>
    <col min="264" max="264" width="10.44140625" style="100" customWidth="1"/>
    <col min="265" max="265" width="10.6640625" style="100" customWidth="1"/>
    <col min="266" max="266" width="9.6640625" style="100" customWidth="1"/>
    <col min="267" max="267" width="10.5546875" style="100" customWidth="1"/>
    <col min="268" max="268" width="10.6640625" style="100" customWidth="1"/>
    <col min="269" max="269" width="11.33203125" style="100" customWidth="1"/>
    <col min="270" max="270" width="10.6640625" style="100" customWidth="1"/>
    <col min="271" max="271" width="10.44140625" style="100" customWidth="1"/>
    <col min="272" max="272" width="5.109375" style="100" customWidth="1"/>
    <col min="273" max="515" width="25.6640625" style="100"/>
    <col min="516" max="516" width="14.109375" style="100" customWidth="1"/>
    <col min="517" max="517" width="10.88671875" style="100" customWidth="1"/>
    <col min="518" max="519" width="9.33203125" style="100" customWidth="1"/>
    <col min="520" max="520" width="10.44140625" style="100" customWidth="1"/>
    <col min="521" max="521" width="10.6640625" style="100" customWidth="1"/>
    <col min="522" max="522" width="9.6640625" style="100" customWidth="1"/>
    <col min="523" max="523" width="10.5546875" style="100" customWidth="1"/>
    <col min="524" max="524" width="10.6640625" style="100" customWidth="1"/>
    <col min="525" max="525" width="11.33203125" style="100" customWidth="1"/>
    <col min="526" max="526" width="10.6640625" style="100" customWidth="1"/>
    <col min="527" max="527" width="10.44140625" style="100" customWidth="1"/>
    <col min="528" max="528" width="5.109375" style="100" customWidth="1"/>
    <col min="529" max="771" width="25.6640625" style="100"/>
    <col min="772" max="772" width="14.109375" style="100" customWidth="1"/>
    <col min="773" max="773" width="10.88671875" style="100" customWidth="1"/>
    <col min="774" max="775" width="9.33203125" style="100" customWidth="1"/>
    <col min="776" max="776" width="10.44140625" style="100" customWidth="1"/>
    <col min="777" max="777" width="10.6640625" style="100" customWidth="1"/>
    <col min="778" max="778" width="9.6640625" style="100" customWidth="1"/>
    <col min="779" max="779" width="10.5546875" style="100" customWidth="1"/>
    <col min="780" max="780" width="10.6640625" style="100" customWidth="1"/>
    <col min="781" max="781" width="11.33203125" style="100" customWidth="1"/>
    <col min="782" max="782" width="10.6640625" style="100" customWidth="1"/>
    <col min="783" max="783" width="10.44140625" style="100" customWidth="1"/>
    <col min="784" max="784" width="5.109375" style="100" customWidth="1"/>
    <col min="785" max="1027" width="25.6640625" style="100"/>
    <col min="1028" max="1028" width="14.109375" style="100" customWidth="1"/>
    <col min="1029" max="1029" width="10.88671875" style="100" customWidth="1"/>
    <col min="1030" max="1031" width="9.33203125" style="100" customWidth="1"/>
    <col min="1032" max="1032" width="10.44140625" style="100" customWidth="1"/>
    <col min="1033" max="1033" width="10.6640625" style="100" customWidth="1"/>
    <col min="1034" max="1034" width="9.6640625" style="100" customWidth="1"/>
    <col min="1035" max="1035" width="10.5546875" style="100" customWidth="1"/>
    <col min="1036" max="1036" width="10.6640625" style="100" customWidth="1"/>
    <col min="1037" max="1037" width="11.33203125" style="100" customWidth="1"/>
    <col min="1038" max="1038" width="10.6640625" style="100" customWidth="1"/>
    <col min="1039" max="1039" width="10.44140625" style="100" customWidth="1"/>
    <col min="1040" max="1040" width="5.109375" style="100" customWidth="1"/>
    <col min="1041" max="1283" width="25.6640625" style="100"/>
    <col min="1284" max="1284" width="14.109375" style="100" customWidth="1"/>
    <col min="1285" max="1285" width="10.88671875" style="100" customWidth="1"/>
    <col min="1286" max="1287" width="9.33203125" style="100" customWidth="1"/>
    <col min="1288" max="1288" width="10.44140625" style="100" customWidth="1"/>
    <col min="1289" max="1289" width="10.6640625" style="100" customWidth="1"/>
    <col min="1290" max="1290" width="9.6640625" style="100" customWidth="1"/>
    <col min="1291" max="1291" width="10.5546875" style="100" customWidth="1"/>
    <col min="1292" max="1292" width="10.6640625" style="100" customWidth="1"/>
    <col min="1293" max="1293" width="11.33203125" style="100" customWidth="1"/>
    <col min="1294" max="1294" width="10.6640625" style="100" customWidth="1"/>
    <col min="1295" max="1295" width="10.44140625" style="100" customWidth="1"/>
    <col min="1296" max="1296" width="5.109375" style="100" customWidth="1"/>
    <col min="1297" max="1539" width="25.6640625" style="100"/>
    <col min="1540" max="1540" width="14.109375" style="100" customWidth="1"/>
    <col min="1541" max="1541" width="10.88671875" style="100" customWidth="1"/>
    <col min="1542" max="1543" width="9.33203125" style="100" customWidth="1"/>
    <col min="1544" max="1544" width="10.44140625" style="100" customWidth="1"/>
    <col min="1545" max="1545" width="10.6640625" style="100" customWidth="1"/>
    <col min="1546" max="1546" width="9.6640625" style="100" customWidth="1"/>
    <col min="1547" max="1547" width="10.5546875" style="100" customWidth="1"/>
    <col min="1548" max="1548" width="10.6640625" style="100" customWidth="1"/>
    <col min="1549" max="1549" width="11.33203125" style="100" customWidth="1"/>
    <col min="1550" max="1550" width="10.6640625" style="100" customWidth="1"/>
    <col min="1551" max="1551" width="10.44140625" style="100" customWidth="1"/>
    <col min="1552" max="1552" width="5.109375" style="100" customWidth="1"/>
    <col min="1553" max="1795" width="25.6640625" style="100"/>
    <col min="1796" max="1796" width="14.109375" style="100" customWidth="1"/>
    <col min="1797" max="1797" width="10.88671875" style="100" customWidth="1"/>
    <col min="1798" max="1799" width="9.33203125" style="100" customWidth="1"/>
    <col min="1800" max="1800" width="10.44140625" style="100" customWidth="1"/>
    <col min="1801" max="1801" width="10.6640625" style="100" customWidth="1"/>
    <col min="1802" max="1802" width="9.6640625" style="100" customWidth="1"/>
    <col min="1803" max="1803" width="10.5546875" style="100" customWidth="1"/>
    <col min="1804" max="1804" width="10.6640625" style="100" customWidth="1"/>
    <col min="1805" max="1805" width="11.33203125" style="100" customWidth="1"/>
    <col min="1806" max="1806" width="10.6640625" style="100" customWidth="1"/>
    <col min="1807" max="1807" width="10.44140625" style="100" customWidth="1"/>
    <col min="1808" max="1808" width="5.109375" style="100" customWidth="1"/>
    <col min="1809" max="2051" width="25.6640625" style="100"/>
    <col min="2052" max="2052" width="14.109375" style="100" customWidth="1"/>
    <col min="2053" max="2053" width="10.88671875" style="100" customWidth="1"/>
    <col min="2054" max="2055" width="9.33203125" style="100" customWidth="1"/>
    <col min="2056" max="2056" width="10.44140625" style="100" customWidth="1"/>
    <col min="2057" max="2057" width="10.6640625" style="100" customWidth="1"/>
    <col min="2058" max="2058" width="9.6640625" style="100" customWidth="1"/>
    <col min="2059" max="2059" width="10.5546875" style="100" customWidth="1"/>
    <col min="2060" max="2060" width="10.6640625" style="100" customWidth="1"/>
    <col min="2061" max="2061" width="11.33203125" style="100" customWidth="1"/>
    <col min="2062" max="2062" width="10.6640625" style="100" customWidth="1"/>
    <col min="2063" max="2063" width="10.44140625" style="100" customWidth="1"/>
    <col min="2064" max="2064" width="5.109375" style="100" customWidth="1"/>
    <col min="2065" max="2307" width="25.6640625" style="100"/>
    <col min="2308" max="2308" width="14.109375" style="100" customWidth="1"/>
    <col min="2309" max="2309" width="10.88671875" style="100" customWidth="1"/>
    <col min="2310" max="2311" width="9.33203125" style="100" customWidth="1"/>
    <col min="2312" max="2312" width="10.44140625" style="100" customWidth="1"/>
    <col min="2313" max="2313" width="10.6640625" style="100" customWidth="1"/>
    <col min="2314" max="2314" width="9.6640625" style="100" customWidth="1"/>
    <col min="2315" max="2315" width="10.5546875" style="100" customWidth="1"/>
    <col min="2316" max="2316" width="10.6640625" style="100" customWidth="1"/>
    <col min="2317" max="2317" width="11.33203125" style="100" customWidth="1"/>
    <col min="2318" max="2318" width="10.6640625" style="100" customWidth="1"/>
    <col min="2319" max="2319" width="10.44140625" style="100" customWidth="1"/>
    <col min="2320" max="2320" width="5.109375" style="100" customWidth="1"/>
    <col min="2321" max="2563" width="25.6640625" style="100"/>
    <col min="2564" max="2564" width="14.109375" style="100" customWidth="1"/>
    <col min="2565" max="2565" width="10.88671875" style="100" customWidth="1"/>
    <col min="2566" max="2567" width="9.33203125" style="100" customWidth="1"/>
    <col min="2568" max="2568" width="10.44140625" style="100" customWidth="1"/>
    <col min="2569" max="2569" width="10.6640625" style="100" customWidth="1"/>
    <col min="2570" max="2570" width="9.6640625" style="100" customWidth="1"/>
    <col min="2571" max="2571" width="10.5546875" style="100" customWidth="1"/>
    <col min="2572" max="2572" width="10.6640625" style="100" customWidth="1"/>
    <col min="2573" max="2573" width="11.33203125" style="100" customWidth="1"/>
    <col min="2574" max="2574" width="10.6640625" style="100" customWidth="1"/>
    <col min="2575" max="2575" width="10.44140625" style="100" customWidth="1"/>
    <col min="2576" max="2576" width="5.109375" style="100" customWidth="1"/>
    <col min="2577" max="2819" width="25.6640625" style="100"/>
    <col min="2820" max="2820" width="14.109375" style="100" customWidth="1"/>
    <col min="2821" max="2821" width="10.88671875" style="100" customWidth="1"/>
    <col min="2822" max="2823" width="9.33203125" style="100" customWidth="1"/>
    <col min="2824" max="2824" width="10.44140625" style="100" customWidth="1"/>
    <col min="2825" max="2825" width="10.6640625" style="100" customWidth="1"/>
    <col min="2826" max="2826" width="9.6640625" style="100" customWidth="1"/>
    <col min="2827" max="2827" width="10.5546875" style="100" customWidth="1"/>
    <col min="2828" max="2828" width="10.6640625" style="100" customWidth="1"/>
    <col min="2829" max="2829" width="11.33203125" style="100" customWidth="1"/>
    <col min="2830" max="2830" width="10.6640625" style="100" customWidth="1"/>
    <col min="2831" max="2831" width="10.44140625" style="100" customWidth="1"/>
    <col min="2832" max="2832" width="5.109375" style="100" customWidth="1"/>
    <col min="2833" max="3075" width="25.6640625" style="100"/>
    <col min="3076" max="3076" width="14.109375" style="100" customWidth="1"/>
    <col min="3077" max="3077" width="10.88671875" style="100" customWidth="1"/>
    <col min="3078" max="3079" width="9.33203125" style="100" customWidth="1"/>
    <col min="3080" max="3080" width="10.44140625" style="100" customWidth="1"/>
    <col min="3081" max="3081" width="10.6640625" style="100" customWidth="1"/>
    <col min="3082" max="3082" width="9.6640625" style="100" customWidth="1"/>
    <col min="3083" max="3083" width="10.5546875" style="100" customWidth="1"/>
    <col min="3084" max="3084" width="10.6640625" style="100" customWidth="1"/>
    <col min="3085" max="3085" width="11.33203125" style="100" customWidth="1"/>
    <col min="3086" max="3086" width="10.6640625" style="100" customWidth="1"/>
    <col min="3087" max="3087" width="10.44140625" style="100" customWidth="1"/>
    <col min="3088" max="3088" width="5.109375" style="100" customWidth="1"/>
    <col min="3089" max="3331" width="25.6640625" style="100"/>
    <col min="3332" max="3332" width="14.109375" style="100" customWidth="1"/>
    <col min="3333" max="3333" width="10.88671875" style="100" customWidth="1"/>
    <col min="3334" max="3335" width="9.33203125" style="100" customWidth="1"/>
    <col min="3336" max="3336" width="10.44140625" style="100" customWidth="1"/>
    <col min="3337" max="3337" width="10.6640625" style="100" customWidth="1"/>
    <col min="3338" max="3338" width="9.6640625" style="100" customWidth="1"/>
    <col min="3339" max="3339" width="10.5546875" style="100" customWidth="1"/>
    <col min="3340" max="3340" width="10.6640625" style="100" customWidth="1"/>
    <col min="3341" max="3341" width="11.33203125" style="100" customWidth="1"/>
    <col min="3342" max="3342" width="10.6640625" style="100" customWidth="1"/>
    <col min="3343" max="3343" width="10.44140625" style="100" customWidth="1"/>
    <col min="3344" max="3344" width="5.109375" style="100" customWidth="1"/>
    <col min="3345" max="3587" width="25.6640625" style="100"/>
    <col min="3588" max="3588" width="14.109375" style="100" customWidth="1"/>
    <col min="3589" max="3589" width="10.88671875" style="100" customWidth="1"/>
    <col min="3590" max="3591" width="9.33203125" style="100" customWidth="1"/>
    <col min="3592" max="3592" width="10.44140625" style="100" customWidth="1"/>
    <col min="3593" max="3593" width="10.6640625" style="100" customWidth="1"/>
    <col min="3594" max="3594" width="9.6640625" style="100" customWidth="1"/>
    <col min="3595" max="3595" width="10.5546875" style="100" customWidth="1"/>
    <col min="3596" max="3596" width="10.6640625" style="100" customWidth="1"/>
    <col min="3597" max="3597" width="11.33203125" style="100" customWidth="1"/>
    <col min="3598" max="3598" width="10.6640625" style="100" customWidth="1"/>
    <col min="3599" max="3599" width="10.44140625" style="100" customWidth="1"/>
    <col min="3600" max="3600" width="5.109375" style="100" customWidth="1"/>
    <col min="3601" max="3843" width="25.6640625" style="100"/>
    <col min="3844" max="3844" width="14.109375" style="100" customWidth="1"/>
    <col min="3845" max="3845" width="10.88671875" style="100" customWidth="1"/>
    <col min="3846" max="3847" width="9.33203125" style="100" customWidth="1"/>
    <col min="3848" max="3848" width="10.44140625" style="100" customWidth="1"/>
    <col min="3849" max="3849" width="10.6640625" style="100" customWidth="1"/>
    <col min="3850" max="3850" width="9.6640625" style="100" customWidth="1"/>
    <col min="3851" max="3851" width="10.5546875" style="100" customWidth="1"/>
    <col min="3852" max="3852" width="10.6640625" style="100" customWidth="1"/>
    <col min="3853" max="3853" width="11.33203125" style="100" customWidth="1"/>
    <col min="3854" max="3854" width="10.6640625" style="100" customWidth="1"/>
    <col min="3855" max="3855" width="10.44140625" style="100" customWidth="1"/>
    <col min="3856" max="3856" width="5.109375" style="100" customWidth="1"/>
    <col min="3857" max="4099" width="25.6640625" style="100"/>
    <col min="4100" max="4100" width="14.109375" style="100" customWidth="1"/>
    <col min="4101" max="4101" width="10.88671875" style="100" customWidth="1"/>
    <col min="4102" max="4103" width="9.33203125" style="100" customWidth="1"/>
    <col min="4104" max="4104" width="10.44140625" style="100" customWidth="1"/>
    <col min="4105" max="4105" width="10.6640625" style="100" customWidth="1"/>
    <col min="4106" max="4106" width="9.6640625" style="100" customWidth="1"/>
    <col min="4107" max="4107" width="10.5546875" style="100" customWidth="1"/>
    <col min="4108" max="4108" width="10.6640625" style="100" customWidth="1"/>
    <col min="4109" max="4109" width="11.33203125" style="100" customWidth="1"/>
    <col min="4110" max="4110" width="10.6640625" style="100" customWidth="1"/>
    <col min="4111" max="4111" width="10.44140625" style="100" customWidth="1"/>
    <col min="4112" max="4112" width="5.109375" style="100" customWidth="1"/>
    <col min="4113" max="4355" width="25.6640625" style="100"/>
    <col min="4356" max="4356" width="14.109375" style="100" customWidth="1"/>
    <col min="4357" max="4357" width="10.88671875" style="100" customWidth="1"/>
    <col min="4358" max="4359" width="9.33203125" style="100" customWidth="1"/>
    <col min="4360" max="4360" width="10.44140625" style="100" customWidth="1"/>
    <col min="4361" max="4361" width="10.6640625" style="100" customWidth="1"/>
    <col min="4362" max="4362" width="9.6640625" style="100" customWidth="1"/>
    <col min="4363" max="4363" width="10.5546875" style="100" customWidth="1"/>
    <col min="4364" max="4364" width="10.6640625" style="100" customWidth="1"/>
    <col min="4365" max="4365" width="11.33203125" style="100" customWidth="1"/>
    <col min="4366" max="4366" width="10.6640625" style="100" customWidth="1"/>
    <col min="4367" max="4367" width="10.44140625" style="100" customWidth="1"/>
    <col min="4368" max="4368" width="5.109375" style="100" customWidth="1"/>
    <col min="4369" max="4611" width="25.6640625" style="100"/>
    <col min="4612" max="4612" width="14.109375" style="100" customWidth="1"/>
    <col min="4613" max="4613" width="10.88671875" style="100" customWidth="1"/>
    <col min="4614" max="4615" width="9.33203125" style="100" customWidth="1"/>
    <col min="4616" max="4616" width="10.44140625" style="100" customWidth="1"/>
    <col min="4617" max="4617" width="10.6640625" style="100" customWidth="1"/>
    <col min="4618" max="4618" width="9.6640625" style="100" customWidth="1"/>
    <col min="4619" max="4619" width="10.5546875" style="100" customWidth="1"/>
    <col min="4620" max="4620" width="10.6640625" style="100" customWidth="1"/>
    <col min="4621" max="4621" width="11.33203125" style="100" customWidth="1"/>
    <col min="4622" max="4622" width="10.6640625" style="100" customWidth="1"/>
    <col min="4623" max="4623" width="10.44140625" style="100" customWidth="1"/>
    <col min="4624" max="4624" width="5.109375" style="100" customWidth="1"/>
    <col min="4625" max="4867" width="25.6640625" style="100"/>
    <col min="4868" max="4868" width="14.109375" style="100" customWidth="1"/>
    <col min="4869" max="4869" width="10.88671875" style="100" customWidth="1"/>
    <col min="4870" max="4871" width="9.33203125" style="100" customWidth="1"/>
    <col min="4872" max="4872" width="10.44140625" style="100" customWidth="1"/>
    <col min="4873" max="4873" width="10.6640625" style="100" customWidth="1"/>
    <col min="4874" max="4874" width="9.6640625" style="100" customWidth="1"/>
    <col min="4875" max="4875" width="10.5546875" style="100" customWidth="1"/>
    <col min="4876" max="4876" width="10.6640625" style="100" customWidth="1"/>
    <col min="4877" max="4877" width="11.33203125" style="100" customWidth="1"/>
    <col min="4878" max="4878" width="10.6640625" style="100" customWidth="1"/>
    <col min="4879" max="4879" width="10.44140625" style="100" customWidth="1"/>
    <col min="4880" max="4880" width="5.109375" style="100" customWidth="1"/>
    <col min="4881" max="5123" width="25.6640625" style="100"/>
    <col min="5124" max="5124" width="14.109375" style="100" customWidth="1"/>
    <col min="5125" max="5125" width="10.88671875" style="100" customWidth="1"/>
    <col min="5126" max="5127" width="9.33203125" style="100" customWidth="1"/>
    <col min="5128" max="5128" width="10.44140625" style="100" customWidth="1"/>
    <col min="5129" max="5129" width="10.6640625" style="100" customWidth="1"/>
    <col min="5130" max="5130" width="9.6640625" style="100" customWidth="1"/>
    <col min="5131" max="5131" width="10.5546875" style="100" customWidth="1"/>
    <col min="5132" max="5132" width="10.6640625" style="100" customWidth="1"/>
    <col min="5133" max="5133" width="11.33203125" style="100" customWidth="1"/>
    <col min="5134" max="5134" width="10.6640625" style="100" customWidth="1"/>
    <col min="5135" max="5135" width="10.44140625" style="100" customWidth="1"/>
    <col min="5136" max="5136" width="5.109375" style="100" customWidth="1"/>
    <col min="5137" max="5379" width="25.6640625" style="100"/>
    <col min="5380" max="5380" width="14.109375" style="100" customWidth="1"/>
    <col min="5381" max="5381" width="10.88671875" style="100" customWidth="1"/>
    <col min="5382" max="5383" width="9.33203125" style="100" customWidth="1"/>
    <col min="5384" max="5384" width="10.44140625" style="100" customWidth="1"/>
    <col min="5385" max="5385" width="10.6640625" style="100" customWidth="1"/>
    <col min="5386" max="5386" width="9.6640625" style="100" customWidth="1"/>
    <col min="5387" max="5387" width="10.5546875" style="100" customWidth="1"/>
    <col min="5388" max="5388" width="10.6640625" style="100" customWidth="1"/>
    <col min="5389" max="5389" width="11.33203125" style="100" customWidth="1"/>
    <col min="5390" max="5390" width="10.6640625" style="100" customWidth="1"/>
    <col min="5391" max="5391" width="10.44140625" style="100" customWidth="1"/>
    <col min="5392" max="5392" width="5.109375" style="100" customWidth="1"/>
    <col min="5393" max="5635" width="25.6640625" style="100"/>
    <col min="5636" max="5636" width="14.109375" style="100" customWidth="1"/>
    <col min="5637" max="5637" width="10.88671875" style="100" customWidth="1"/>
    <col min="5638" max="5639" width="9.33203125" style="100" customWidth="1"/>
    <col min="5640" max="5640" width="10.44140625" style="100" customWidth="1"/>
    <col min="5641" max="5641" width="10.6640625" style="100" customWidth="1"/>
    <col min="5642" max="5642" width="9.6640625" style="100" customWidth="1"/>
    <col min="5643" max="5643" width="10.5546875" style="100" customWidth="1"/>
    <col min="5644" max="5644" width="10.6640625" style="100" customWidth="1"/>
    <col min="5645" max="5645" width="11.33203125" style="100" customWidth="1"/>
    <col min="5646" max="5646" width="10.6640625" style="100" customWidth="1"/>
    <col min="5647" max="5647" width="10.44140625" style="100" customWidth="1"/>
    <col min="5648" max="5648" width="5.109375" style="100" customWidth="1"/>
    <col min="5649" max="5891" width="25.6640625" style="100"/>
    <col min="5892" max="5892" width="14.109375" style="100" customWidth="1"/>
    <col min="5893" max="5893" width="10.88671875" style="100" customWidth="1"/>
    <col min="5894" max="5895" width="9.33203125" style="100" customWidth="1"/>
    <col min="5896" max="5896" width="10.44140625" style="100" customWidth="1"/>
    <col min="5897" max="5897" width="10.6640625" style="100" customWidth="1"/>
    <col min="5898" max="5898" width="9.6640625" style="100" customWidth="1"/>
    <col min="5899" max="5899" width="10.5546875" style="100" customWidth="1"/>
    <col min="5900" max="5900" width="10.6640625" style="100" customWidth="1"/>
    <col min="5901" max="5901" width="11.33203125" style="100" customWidth="1"/>
    <col min="5902" max="5902" width="10.6640625" style="100" customWidth="1"/>
    <col min="5903" max="5903" width="10.44140625" style="100" customWidth="1"/>
    <col min="5904" max="5904" width="5.109375" style="100" customWidth="1"/>
    <col min="5905" max="6147" width="25.6640625" style="100"/>
    <col min="6148" max="6148" width="14.109375" style="100" customWidth="1"/>
    <col min="6149" max="6149" width="10.88671875" style="100" customWidth="1"/>
    <col min="6150" max="6151" width="9.33203125" style="100" customWidth="1"/>
    <col min="6152" max="6152" width="10.44140625" style="100" customWidth="1"/>
    <col min="6153" max="6153" width="10.6640625" style="100" customWidth="1"/>
    <col min="6154" max="6154" width="9.6640625" style="100" customWidth="1"/>
    <col min="6155" max="6155" width="10.5546875" style="100" customWidth="1"/>
    <col min="6156" max="6156" width="10.6640625" style="100" customWidth="1"/>
    <col min="6157" max="6157" width="11.33203125" style="100" customWidth="1"/>
    <col min="6158" max="6158" width="10.6640625" style="100" customWidth="1"/>
    <col min="6159" max="6159" width="10.44140625" style="100" customWidth="1"/>
    <col min="6160" max="6160" width="5.109375" style="100" customWidth="1"/>
    <col min="6161" max="6403" width="25.6640625" style="100"/>
    <col min="6404" max="6404" width="14.109375" style="100" customWidth="1"/>
    <col min="6405" max="6405" width="10.88671875" style="100" customWidth="1"/>
    <col min="6406" max="6407" width="9.33203125" style="100" customWidth="1"/>
    <col min="6408" max="6408" width="10.44140625" style="100" customWidth="1"/>
    <col min="6409" max="6409" width="10.6640625" style="100" customWidth="1"/>
    <col min="6410" max="6410" width="9.6640625" style="100" customWidth="1"/>
    <col min="6411" max="6411" width="10.5546875" style="100" customWidth="1"/>
    <col min="6412" max="6412" width="10.6640625" style="100" customWidth="1"/>
    <col min="6413" max="6413" width="11.33203125" style="100" customWidth="1"/>
    <col min="6414" max="6414" width="10.6640625" style="100" customWidth="1"/>
    <col min="6415" max="6415" width="10.44140625" style="100" customWidth="1"/>
    <col min="6416" max="6416" width="5.109375" style="100" customWidth="1"/>
    <col min="6417" max="6659" width="25.6640625" style="100"/>
    <col min="6660" max="6660" width="14.109375" style="100" customWidth="1"/>
    <col min="6661" max="6661" width="10.88671875" style="100" customWidth="1"/>
    <col min="6662" max="6663" width="9.33203125" style="100" customWidth="1"/>
    <col min="6664" max="6664" width="10.44140625" style="100" customWidth="1"/>
    <col min="6665" max="6665" width="10.6640625" style="100" customWidth="1"/>
    <col min="6666" max="6666" width="9.6640625" style="100" customWidth="1"/>
    <col min="6667" max="6667" width="10.5546875" style="100" customWidth="1"/>
    <col min="6668" max="6668" width="10.6640625" style="100" customWidth="1"/>
    <col min="6669" max="6669" width="11.33203125" style="100" customWidth="1"/>
    <col min="6670" max="6670" width="10.6640625" style="100" customWidth="1"/>
    <col min="6671" max="6671" width="10.44140625" style="100" customWidth="1"/>
    <col min="6672" max="6672" width="5.109375" style="100" customWidth="1"/>
    <col min="6673" max="6915" width="25.6640625" style="100"/>
    <col min="6916" max="6916" width="14.109375" style="100" customWidth="1"/>
    <col min="6917" max="6917" width="10.88671875" style="100" customWidth="1"/>
    <col min="6918" max="6919" width="9.33203125" style="100" customWidth="1"/>
    <col min="6920" max="6920" width="10.44140625" style="100" customWidth="1"/>
    <col min="6921" max="6921" width="10.6640625" style="100" customWidth="1"/>
    <col min="6922" max="6922" width="9.6640625" style="100" customWidth="1"/>
    <col min="6923" max="6923" width="10.5546875" style="100" customWidth="1"/>
    <col min="6924" max="6924" width="10.6640625" style="100" customWidth="1"/>
    <col min="6925" max="6925" width="11.33203125" style="100" customWidth="1"/>
    <col min="6926" max="6926" width="10.6640625" style="100" customWidth="1"/>
    <col min="6927" max="6927" width="10.44140625" style="100" customWidth="1"/>
    <col min="6928" max="6928" width="5.109375" style="100" customWidth="1"/>
    <col min="6929" max="7171" width="25.6640625" style="100"/>
    <col min="7172" max="7172" width="14.109375" style="100" customWidth="1"/>
    <col min="7173" max="7173" width="10.88671875" style="100" customWidth="1"/>
    <col min="7174" max="7175" width="9.33203125" style="100" customWidth="1"/>
    <col min="7176" max="7176" width="10.44140625" style="100" customWidth="1"/>
    <col min="7177" max="7177" width="10.6640625" style="100" customWidth="1"/>
    <col min="7178" max="7178" width="9.6640625" style="100" customWidth="1"/>
    <col min="7179" max="7179" width="10.5546875" style="100" customWidth="1"/>
    <col min="7180" max="7180" width="10.6640625" style="100" customWidth="1"/>
    <col min="7181" max="7181" width="11.33203125" style="100" customWidth="1"/>
    <col min="7182" max="7182" width="10.6640625" style="100" customWidth="1"/>
    <col min="7183" max="7183" width="10.44140625" style="100" customWidth="1"/>
    <col min="7184" max="7184" width="5.109375" style="100" customWidth="1"/>
    <col min="7185" max="7427" width="25.6640625" style="100"/>
    <col min="7428" max="7428" width="14.109375" style="100" customWidth="1"/>
    <col min="7429" max="7429" width="10.88671875" style="100" customWidth="1"/>
    <col min="7430" max="7431" width="9.33203125" style="100" customWidth="1"/>
    <col min="7432" max="7432" width="10.44140625" style="100" customWidth="1"/>
    <col min="7433" max="7433" width="10.6640625" style="100" customWidth="1"/>
    <col min="7434" max="7434" width="9.6640625" style="100" customWidth="1"/>
    <col min="7435" max="7435" width="10.5546875" style="100" customWidth="1"/>
    <col min="7436" max="7436" width="10.6640625" style="100" customWidth="1"/>
    <col min="7437" max="7437" width="11.33203125" style="100" customWidth="1"/>
    <col min="7438" max="7438" width="10.6640625" style="100" customWidth="1"/>
    <col min="7439" max="7439" width="10.44140625" style="100" customWidth="1"/>
    <col min="7440" max="7440" width="5.109375" style="100" customWidth="1"/>
    <col min="7441" max="7683" width="25.6640625" style="100"/>
    <col min="7684" max="7684" width="14.109375" style="100" customWidth="1"/>
    <col min="7685" max="7685" width="10.88671875" style="100" customWidth="1"/>
    <col min="7686" max="7687" width="9.33203125" style="100" customWidth="1"/>
    <col min="7688" max="7688" width="10.44140625" style="100" customWidth="1"/>
    <col min="7689" max="7689" width="10.6640625" style="100" customWidth="1"/>
    <col min="7690" max="7690" width="9.6640625" style="100" customWidth="1"/>
    <col min="7691" max="7691" width="10.5546875" style="100" customWidth="1"/>
    <col min="7692" max="7692" width="10.6640625" style="100" customWidth="1"/>
    <col min="7693" max="7693" width="11.33203125" style="100" customWidth="1"/>
    <col min="7694" max="7694" width="10.6640625" style="100" customWidth="1"/>
    <col min="7695" max="7695" width="10.44140625" style="100" customWidth="1"/>
    <col min="7696" max="7696" width="5.109375" style="100" customWidth="1"/>
    <col min="7697" max="7939" width="25.6640625" style="100"/>
    <col min="7940" max="7940" width="14.109375" style="100" customWidth="1"/>
    <col min="7941" max="7941" width="10.88671875" style="100" customWidth="1"/>
    <col min="7942" max="7943" width="9.33203125" style="100" customWidth="1"/>
    <col min="7944" max="7944" width="10.44140625" style="100" customWidth="1"/>
    <col min="7945" max="7945" width="10.6640625" style="100" customWidth="1"/>
    <col min="7946" max="7946" width="9.6640625" style="100" customWidth="1"/>
    <col min="7947" max="7947" width="10.5546875" style="100" customWidth="1"/>
    <col min="7948" max="7948" width="10.6640625" style="100" customWidth="1"/>
    <col min="7949" max="7949" width="11.33203125" style="100" customWidth="1"/>
    <col min="7950" max="7950" width="10.6640625" style="100" customWidth="1"/>
    <col min="7951" max="7951" width="10.44140625" style="100" customWidth="1"/>
    <col min="7952" max="7952" width="5.109375" style="100" customWidth="1"/>
    <col min="7953" max="8195" width="25.6640625" style="100"/>
    <col min="8196" max="8196" width="14.109375" style="100" customWidth="1"/>
    <col min="8197" max="8197" width="10.88671875" style="100" customWidth="1"/>
    <col min="8198" max="8199" width="9.33203125" style="100" customWidth="1"/>
    <col min="8200" max="8200" width="10.44140625" style="100" customWidth="1"/>
    <col min="8201" max="8201" width="10.6640625" style="100" customWidth="1"/>
    <col min="8202" max="8202" width="9.6640625" style="100" customWidth="1"/>
    <col min="8203" max="8203" width="10.5546875" style="100" customWidth="1"/>
    <col min="8204" max="8204" width="10.6640625" style="100" customWidth="1"/>
    <col min="8205" max="8205" width="11.33203125" style="100" customWidth="1"/>
    <col min="8206" max="8206" width="10.6640625" style="100" customWidth="1"/>
    <col min="8207" max="8207" width="10.44140625" style="100" customWidth="1"/>
    <col min="8208" max="8208" width="5.109375" style="100" customWidth="1"/>
    <col min="8209" max="8451" width="25.6640625" style="100"/>
    <col min="8452" max="8452" width="14.109375" style="100" customWidth="1"/>
    <col min="8453" max="8453" width="10.88671875" style="100" customWidth="1"/>
    <col min="8454" max="8455" width="9.33203125" style="100" customWidth="1"/>
    <col min="8456" max="8456" width="10.44140625" style="100" customWidth="1"/>
    <col min="8457" max="8457" width="10.6640625" style="100" customWidth="1"/>
    <col min="8458" max="8458" width="9.6640625" style="100" customWidth="1"/>
    <col min="8459" max="8459" width="10.5546875" style="100" customWidth="1"/>
    <col min="8460" max="8460" width="10.6640625" style="100" customWidth="1"/>
    <col min="8461" max="8461" width="11.33203125" style="100" customWidth="1"/>
    <col min="8462" max="8462" width="10.6640625" style="100" customWidth="1"/>
    <col min="8463" max="8463" width="10.44140625" style="100" customWidth="1"/>
    <col min="8464" max="8464" width="5.109375" style="100" customWidth="1"/>
    <col min="8465" max="8707" width="25.6640625" style="100"/>
    <col min="8708" max="8708" width="14.109375" style="100" customWidth="1"/>
    <col min="8709" max="8709" width="10.88671875" style="100" customWidth="1"/>
    <col min="8710" max="8711" width="9.33203125" style="100" customWidth="1"/>
    <col min="8712" max="8712" width="10.44140625" style="100" customWidth="1"/>
    <col min="8713" max="8713" width="10.6640625" style="100" customWidth="1"/>
    <col min="8714" max="8714" width="9.6640625" style="100" customWidth="1"/>
    <col min="8715" max="8715" width="10.5546875" style="100" customWidth="1"/>
    <col min="8716" max="8716" width="10.6640625" style="100" customWidth="1"/>
    <col min="8717" max="8717" width="11.33203125" style="100" customWidth="1"/>
    <col min="8718" max="8718" width="10.6640625" style="100" customWidth="1"/>
    <col min="8719" max="8719" width="10.44140625" style="100" customWidth="1"/>
    <col min="8720" max="8720" width="5.109375" style="100" customWidth="1"/>
    <col min="8721" max="8963" width="25.6640625" style="100"/>
    <col min="8964" max="8964" width="14.109375" style="100" customWidth="1"/>
    <col min="8965" max="8965" width="10.88671875" style="100" customWidth="1"/>
    <col min="8966" max="8967" width="9.33203125" style="100" customWidth="1"/>
    <col min="8968" max="8968" width="10.44140625" style="100" customWidth="1"/>
    <col min="8969" max="8969" width="10.6640625" style="100" customWidth="1"/>
    <col min="8970" max="8970" width="9.6640625" style="100" customWidth="1"/>
    <col min="8971" max="8971" width="10.5546875" style="100" customWidth="1"/>
    <col min="8972" max="8972" width="10.6640625" style="100" customWidth="1"/>
    <col min="8973" max="8973" width="11.33203125" style="100" customWidth="1"/>
    <col min="8974" max="8974" width="10.6640625" style="100" customWidth="1"/>
    <col min="8975" max="8975" width="10.44140625" style="100" customWidth="1"/>
    <col min="8976" max="8976" width="5.109375" style="100" customWidth="1"/>
    <col min="8977" max="9219" width="25.6640625" style="100"/>
    <col min="9220" max="9220" width="14.109375" style="100" customWidth="1"/>
    <col min="9221" max="9221" width="10.88671875" style="100" customWidth="1"/>
    <col min="9222" max="9223" width="9.33203125" style="100" customWidth="1"/>
    <col min="9224" max="9224" width="10.44140625" style="100" customWidth="1"/>
    <col min="9225" max="9225" width="10.6640625" style="100" customWidth="1"/>
    <col min="9226" max="9226" width="9.6640625" style="100" customWidth="1"/>
    <col min="9227" max="9227" width="10.5546875" style="100" customWidth="1"/>
    <col min="9228" max="9228" width="10.6640625" style="100" customWidth="1"/>
    <col min="9229" max="9229" width="11.33203125" style="100" customWidth="1"/>
    <col min="9230" max="9230" width="10.6640625" style="100" customWidth="1"/>
    <col min="9231" max="9231" width="10.44140625" style="100" customWidth="1"/>
    <col min="9232" max="9232" width="5.109375" style="100" customWidth="1"/>
    <col min="9233" max="9475" width="25.6640625" style="100"/>
    <col min="9476" max="9476" width="14.109375" style="100" customWidth="1"/>
    <col min="9477" max="9477" width="10.88671875" style="100" customWidth="1"/>
    <col min="9478" max="9479" width="9.33203125" style="100" customWidth="1"/>
    <col min="9480" max="9480" width="10.44140625" style="100" customWidth="1"/>
    <col min="9481" max="9481" width="10.6640625" style="100" customWidth="1"/>
    <col min="9482" max="9482" width="9.6640625" style="100" customWidth="1"/>
    <col min="9483" max="9483" width="10.5546875" style="100" customWidth="1"/>
    <col min="9484" max="9484" width="10.6640625" style="100" customWidth="1"/>
    <col min="9485" max="9485" width="11.33203125" style="100" customWidth="1"/>
    <col min="9486" max="9486" width="10.6640625" style="100" customWidth="1"/>
    <col min="9487" max="9487" width="10.44140625" style="100" customWidth="1"/>
    <col min="9488" max="9488" width="5.109375" style="100" customWidth="1"/>
    <col min="9489" max="9731" width="25.6640625" style="100"/>
    <col min="9732" max="9732" width="14.109375" style="100" customWidth="1"/>
    <col min="9733" max="9733" width="10.88671875" style="100" customWidth="1"/>
    <col min="9734" max="9735" width="9.33203125" style="100" customWidth="1"/>
    <col min="9736" max="9736" width="10.44140625" style="100" customWidth="1"/>
    <col min="9737" max="9737" width="10.6640625" style="100" customWidth="1"/>
    <col min="9738" max="9738" width="9.6640625" style="100" customWidth="1"/>
    <col min="9739" max="9739" width="10.5546875" style="100" customWidth="1"/>
    <col min="9740" max="9740" width="10.6640625" style="100" customWidth="1"/>
    <col min="9741" max="9741" width="11.33203125" style="100" customWidth="1"/>
    <col min="9742" max="9742" width="10.6640625" style="100" customWidth="1"/>
    <col min="9743" max="9743" width="10.44140625" style="100" customWidth="1"/>
    <col min="9744" max="9744" width="5.109375" style="100" customWidth="1"/>
    <col min="9745" max="9987" width="25.6640625" style="100"/>
    <col min="9988" max="9988" width="14.109375" style="100" customWidth="1"/>
    <col min="9989" max="9989" width="10.88671875" style="100" customWidth="1"/>
    <col min="9990" max="9991" width="9.33203125" style="100" customWidth="1"/>
    <col min="9992" max="9992" width="10.44140625" style="100" customWidth="1"/>
    <col min="9993" max="9993" width="10.6640625" style="100" customWidth="1"/>
    <col min="9994" max="9994" width="9.6640625" style="100" customWidth="1"/>
    <col min="9995" max="9995" width="10.5546875" style="100" customWidth="1"/>
    <col min="9996" max="9996" width="10.6640625" style="100" customWidth="1"/>
    <col min="9997" max="9997" width="11.33203125" style="100" customWidth="1"/>
    <col min="9998" max="9998" width="10.6640625" style="100" customWidth="1"/>
    <col min="9999" max="9999" width="10.44140625" style="100" customWidth="1"/>
    <col min="10000" max="10000" width="5.109375" style="100" customWidth="1"/>
    <col min="10001" max="10243" width="25.6640625" style="100"/>
    <col min="10244" max="10244" width="14.109375" style="100" customWidth="1"/>
    <col min="10245" max="10245" width="10.88671875" style="100" customWidth="1"/>
    <col min="10246" max="10247" width="9.33203125" style="100" customWidth="1"/>
    <col min="10248" max="10248" width="10.44140625" style="100" customWidth="1"/>
    <col min="10249" max="10249" width="10.6640625" style="100" customWidth="1"/>
    <col min="10250" max="10250" width="9.6640625" style="100" customWidth="1"/>
    <col min="10251" max="10251" width="10.5546875" style="100" customWidth="1"/>
    <col min="10252" max="10252" width="10.6640625" style="100" customWidth="1"/>
    <col min="10253" max="10253" width="11.33203125" style="100" customWidth="1"/>
    <col min="10254" max="10254" width="10.6640625" style="100" customWidth="1"/>
    <col min="10255" max="10255" width="10.44140625" style="100" customWidth="1"/>
    <col min="10256" max="10256" width="5.109375" style="100" customWidth="1"/>
    <col min="10257" max="10499" width="25.6640625" style="100"/>
    <col min="10500" max="10500" width="14.109375" style="100" customWidth="1"/>
    <col min="10501" max="10501" width="10.88671875" style="100" customWidth="1"/>
    <col min="10502" max="10503" width="9.33203125" style="100" customWidth="1"/>
    <col min="10504" max="10504" width="10.44140625" style="100" customWidth="1"/>
    <col min="10505" max="10505" width="10.6640625" style="100" customWidth="1"/>
    <col min="10506" max="10506" width="9.6640625" style="100" customWidth="1"/>
    <col min="10507" max="10507" width="10.5546875" style="100" customWidth="1"/>
    <col min="10508" max="10508" width="10.6640625" style="100" customWidth="1"/>
    <col min="10509" max="10509" width="11.33203125" style="100" customWidth="1"/>
    <col min="10510" max="10510" width="10.6640625" style="100" customWidth="1"/>
    <col min="10511" max="10511" width="10.44140625" style="100" customWidth="1"/>
    <col min="10512" max="10512" width="5.109375" style="100" customWidth="1"/>
    <col min="10513" max="10755" width="25.6640625" style="100"/>
    <col min="10756" max="10756" width="14.109375" style="100" customWidth="1"/>
    <col min="10757" max="10757" width="10.88671875" style="100" customWidth="1"/>
    <col min="10758" max="10759" width="9.33203125" style="100" customWidth="1"/>
    <col min="10760" max="10760" width="10.44140625" style="100" customWidth="1"/>
    <col min="10761" max="10761" width="10.6640625" style="100" customWidth="1"/>
    <col min="10762" max="10762" width="9.6640625" style="100" customWidth="1"/>
    <col min="10763" max="10763" width="10.5546875" style="100" customWidth="1"/>
    <col min="10764" max="10764" width="10.6640625" style="100" customWidth="1"/>
    <col min="10765" max="10765" width="11.33203125" style="100" customWidth="1"/>
    <col min="10766" max="10766" width="10.6640625" style="100" customWidth="1"/>
    <col min="10767" max="10767" width="10.44140625" style="100" customWidth="1"/>
    <col min="10768" max="10768" width="5.109375" style="100" customWidth="1"/>
    <col min="10769" max="11011" width="25.6640625" style="100"/>
    <col min="11012" max="11012" width="14.109375" style="100" customWidth="1"/>
    <col min="11013" max="11013" width="10.88671875" style="100" customWidth="1"/>
    <col min="11014" max="11015" width="9.33203125" style="100" customWidth="1"/>
    <col min="11016" max="11016" width="10.44140625" style="100" customWidth="1"/>
    <col min="11017" max="11017" width="10.6640625" style="100" customWidth="1"/>
    <col min="11018" max="11018" width="9.6640625" style="100" customWidth="1"/>
    <col min="11019" max="11019" width="10.5546875" style="100" customWidth="1"/>
    <col min="11020" max="11020" width="10.6640625" style="100" customWidth="1"/>
    <col min="11021" max="11021" width="11.33203125" style="100" customWidth="1"/>
    <col min="11022" max="11022" width="10.6640625" style="100" customWidth="1"/>
    <col min="11023" max="11023" width="10.44140625" style="100" customWidth="1"/>
    <col min="11024" max="11024" width="5.109375" style="100" customWidth="1"/>
    <col min="11025" max="11267" width="25.6640625" style="100"/>
    <col min="11268" max="11268" width="14.109375" style="100" customWidth="1"/>
    <col min="11269" max="11269" width="10.88671875" style="100" customWidth="1"/>
    <col min="11270" max="11271" width="9.33203125" style="100" customWidth="1"/>
    <col min="11272" max="11272" width="10.44140625" style="100" customWidth="1"/>
    <col min="11273" max="11273" width="10.6640625" style="100" customWidth="1"/>
    <col min="11274" max="11274" width="9.6640625" style="100" customWidth="1"/>
    <col min="11275" max="11275" width="10.5546875" style="100" customWidth="1"/>
    <col min="11276" max="11276" width="10.6640625" style="100" customWidth="1"/>
    <col min="11277" max="11277" width="11.33203125" style="100" customWidth="1"/>
    <col min="11278" max="11278" width="10.6640625" style="100" customWidth="1"/>
    <col min="11279" max="11279" width="10.44140625" style="100" customWidth="1"/>
    <col min="11280" max="11280" width="5.109375" style="100" customWidth="1"/>
    <col min="11281" max="11523" width="25.6640625" style="100"/>
    <col min="11524" max="11524" width="14.109375" style="100" customWidth="1"/>
    <col min="11525" max="11525" width="10.88671875" style="100" customWidth="1"/>
    <col min="11526" max="11527" width="9.33203125" style="100" customWidth="1"/>
    <col min="11528" max="11528" width="10.44140625" style="100" customWidth="1"/>
    <col min="11529" max="11529" width="10.6640625" style="100" customWidth="1"/>
    <col min="11530" max="11530" width="9.6640625" style="100" customWidth="1"/>
    <col min="11531" max="11531" width="10.5546875" style="100" customWidth="1"/>
    <col min="11532" max="11532" width="10.6640625" style="100" customWidth="1"/>
    <col min="11533" max="11533" width="11.33203125" style="100" customWidth="1"/>
    <col min="11534" max="11534" width="10.6640625" style="100" customWidth="1"/>
    <col min="11535" max="11535" width="10.44140625" style="100" customWidth="1"/>
    <col min="11536" max="11536" width="5.109375" style="100" customWidth="1"/>
    <col min="11537" max="11779" width="25.6640625" style="100"/>
    <col min="11780" max="11780" width="14.109375" style="100" customWidth="1"/>
    <col min="11781" max="11781" width="10.88671875" style="100" customWidth="1"/>
    <col min="11782" max="11783" width="9.33203125" style="100" customWidth="1"/>
    <col min="11784" max="11784" width="10.44140625" style="100" customWidth="1"/>
    <col min="11785" max="11785" width="10.6640625" style="100" customWidth="1"/>
    <col min="11786" max="11786" width="9.6640625" style="100" customWidth="1"/>
    <col min="11787" max="11787" width="10.5546875" style="100" customWidth="1"/>
    <col min="11788" max="11788" width="10.6640625" style="100" customWidth="1"/>
    <col min="11789" max="11789" width="11.33203125" style="100" customWidth="1"/>
    <col min="11790" max="11790" width="10.6640625" style="100" customWidth="1"/>
    <col min="11791" max="11791" width="10.44140625" style="100" customWidth="1"/>
    <col min="11792" max="11792" width="5.109375" style="100" customWidth="1"/>
    <col min="11793" max="12035" width="25.6640625" style="100"/>
    <col min="12036" max="12036" width="14.109375" style="100" customWidth="1"/>
    <col min="12037" max="12037" width="10.88671875" style="100" customWidth="1"/>
    <col min="12038" max="12039" width="9.33203125" style="100" customWidth="1"/>
    <col min="12040" max="12040" width="10.44140625" style="100" customWidth="1"/>
    <col min="12041" max="12041" width="10.6640625" style="100" customWidth="1"/>
    <col min="12042" max="12042" width="9.6640625" style="100" customWidth="1"/>
    <col min="12043" max="12043" width="10.5546875" style="100" customWidth="1"/>
    <col min="12044" max="12044" width="10.6640625" style="100" customWidth="1"/>
    <col min="12045" max="12045" width="11.33203125" style="100" customWidth="1"/>
    <col min="12046" max="12046" width="10.6640625" style="100" customWidth="1"/>
    <col min="12047" max="12047" width="10.44140625" style="100" customWidth="1"/>
    <col min="12048" max="12048" width="5.109375" style="100" customWidth="1"/>
    <col min="12049" max="12291" width="25.6640625" style="100"/>
    <col min="12292" max="12292" width="14.109375" style="100" customWidth="1"/>
    <col min="12293" max="12293" width="10.88671875" style="100" customWidth="1"/>
    <col min="12294" max="12295" width="9.33203125" style="100" customWidth="1"/>
    <col min="12296" max="12296" width="10.44140625" style="100" customWidth="1"/>
    <col min="12297" max="12297" width="10.6640625" style="100" customWidth="1"/>
    <col min="12298" max="12298" width="9.6640625" style="100" customWidth="1"/>
    <col min="12299" max="12299" width="10.5546875" style="100" customWidth="1"/>
    <col min="12300" max="12300" width="10.6640625" style="100" customWidth="1"/>
    <col min="12301" max="12301" width="11.33203125" style="100" customWidth="1"/>
    <col min="12302" max="12302" width="10.6640625" style="100" customWidth="1"/>
    <col min="12303" max="12303" width="10.44140625" style="100" customWidth="1"/>
    <col min="12304" max="12304" width="5.109375" style="100" customWidth="1"/>
    <col min="12305" max="12547" width="25.6640625" style="100"/>
    <col min="12548" max="12548" width="14.109375" style="100" customWidth="1"/>
    <col min="12549" max="12549" width="10.88671875" style="100" customWidth="1"/>
    <col min="12550" max="12551" width="9.33203125" style="100" customWidth="1"/>
    <col min="12552" max="12552" width="10.44140625" style="100" customWidth="1"/>
    <col min="12553" max="12553" width="10.6640625" style="100" customWidth="1"/>
    <col min="12554" max="12554" width="9.6640625" style="100" customWidth="1"/>
    <col min="12555" max="12555" width="10.5546875" style="100" customWidth="1"/>
    <col min="12556" max="12556" width="10.6640625" style="100" customWidth="1"/>
    <col min="12557" max="12557" width="11.33203125" style="100" customWidth="1"/>
    <col min="12558" max="12558" width="10.6640625" style="100" customWidth="1"/>
    <col min="12559" max="12559" width="10.44140625" style="100" customWidth="1"/>
    <col min="12560" max="12560" width="5.109375" style="100" customWidth="1"/>
    <col min="12561" max="12803" width="25.6640625" style="100"/>
    <col min="12804" max="12804" width="14.109375" style="100" customWidth="1"/>
    <col min="12805" max="12805" width="10.88671875" style="100" customWidth="1"/>
    <col min="12806" max="12807" width="9.33203125" style="100" customWidth="1"/>
    <col min="12808" max="12808" width="10.44140625" style="100" customWidth="1"/>
    <col min="12809" max="12809" width="10.6640625" style="100" customWidth="1"/>
    <col min="12810" max="12810" width="9.6640625" style="100" customWidth="1"/>
    <col min="12811" max="12811" width="10.5546875" style="100" customWidth="1"/>
    <col min="12812" max="12812" width="10.6640625" style="100" customWidth="1"/>
    <col min="12813" max="12813" width="11.33203125" style="100" customWidth="1"/>
    <col min="12814" max="12814" width="10.6640625" style="100" customWidth="1"/>
    <col min="12815" max="12815" width="10.44140625" style="100" customWidth="1"/>
    <col min="12816" max="12816" width="5.109375" style="100" customWidth="1"/>
    <col min="12817" max="13059" width="25.6640625" style="100"/>
    <col min="13060" max="13060" width="14.109375" style="100" customWidth="1"/>
    <col min="13061" max="13061" width="10.88671875" style="100" customWidth="1"/>
    <col min="13062" max="13063" width="9.33203125" style="100" customWidth="1"/>
    <col min="13064" max="13064" width="10.44140625" style="100" customWidth="1"/>
    <col min="13065" max="13065" width="10.6640625" style="100" customWidth="1"/>
    <col min="13066" max="13066" width="9.6640625" style="100" customWidth="1"/>
    <col min="13067" max="13067" width="10.5546875" style="100" customWidth="1"/>
    <col min="13068" max="13068" width="10.6640625" style="100" customWidth="1"/>
    <col min="13069" max="13069" width="11.33203125" style="100" customWidth="1"/>
    <col min="13070" max="13070" width="10.6640625" style="100" customWidth="1"/>
    <col min="13071" max="13071" width="10.44140625" style="100" customWidth="1"/>
    <col min="13072" max="13072" width="5.109375" style="100" customWidth="1"/>
    <col min="13073" max="13315" width="25.6640625" style="100"/>
    <col min="13316" max="13316" width="14.109375" style="100" customWidth="1"/>
    <col min="13317" max="13317" width="10.88671875" style="100" customWidth="1"/>
    <col min="13318" max="13319" width="9.33203125" style="100" customWidth="1"/>
    <col min="13320" max="13320" width="10.44140625" style="100" customWidth="1"/>
    <col min="13321" max="13321" width="10.6640625" style="100" customWidth="1"/>
    <col min="13322" max="13322" width="9.6640625" style="100" customWidth="1"/>
    <col min="13323" max="13323" width="10.5546875" style="100" customWidth="1"/>
    <col min="13324" max="13324" width="10.6640625" style="100" customWidth="1"/>
    <col min="13325" max="13325" width="11.33203125" style="100" customWidth="1"/>
    <col min="13326" max="13326" width="10.6640625" style="100" customWidth="1"/>
    <col min="13327" max="13327" width="10.44140625" style="100" customWidth="1"/>
    <col min="13328" max="13328" width="5.109375" style="100" customWidth="1"/>
    <col min="13329" max="13571" width="25.6640625" style="100"/>
    <col min="13572" max="13572" width="14.109375" style="100" customWidth="1"/>
    <col min="13573" max="13573" width="10.88671875" style="100" customWidth="1"/>
    <col min="13574" max="13575" width="9.33203125" style="100" customWidth="1"/>
    <col min="13576" max="13576" width="10.44140625" style="100" customWidth="1"/>
    <col min="13577" max="13577" width="10.6640625" style="100" customWidth="1"/>
    <col min="13578" max="13578" width="9.6640625" style="100" customWidth="1"/>
    <col min="13579" max="13579" width="10.5546875" style="100" customWidth="1"/>
    <col min="13580" max="13580" width="10.6640625" style="100" customWidth="1"/>
    <col min="13581" max="13581" width="11.33203125" style="100" customWidth="1"/>
    <col min="13582" max="13582" width="10.6640625" style="100" customWidth="1"/>
    <col min="13583" max="13583" width="10.44140625" style="100" customWidth="1"/>
    <col min="13584" max="13584" width="5.109375" style="100" customWidth="1"/>
    <col min="13585" max="13827" width="25.6640625" style="100"/>
    <col min="13828" max="13828" width="14.109375" style="100" customWidth="1"/>
    <col min="13829" max="13829" width="10.88671875" style="100" customWidth="1"/>
    <col min="13830" max="13831" width="9.33203125" style="100" customWidth="1"/>
    <col min="13832" max="13832" width="10.44140625" style="100" customWidth="1"/>
    <col min="13833" max="13833" width="10.6640625" style="100" customWidth="1"/>
    <col min="13834" max="13834" width="9.6640625" style="100" customWidth="1"/>
    <col min="13835" max="13835" width="10.5546875" style="100" customWidth="1"/>
    <col min="13836" max="13836" width="10.6640625" style="100" customWidth="1"/>
    <col min="13837" max="13837" width="11.33203125" style="100" customWidth="1"/>
    <col min="13838" max="13838" width="10.6640625" style="100" customWidth="1"/>
    <col min="13839" max="13839" width="10.44140625" style="100" customWidth="1"/>
    <col min="13840" max="13840" width="5.109375" style="100" customWidth="1"/>
    <col min="13841" max="14083" width="25.6640625" style="100"/>
    <col min="14084" max="14084" width="14.109375" style="100" customWidth="1"/>
    <col min="14085" max="14085" width="10.88671875" style="100" customWidth="1"/>
    <col min="14086" max="14087" width="9.33203125" style="100" customWidth="1"/>
    <col min="14088" max="14088" width="10.44140625" style="100" customWidth="1"/>
    <col min="14089" max="14089" width="10.6640625" style="100" customWidth="1"/>
    <col min="14090" max="14090" width="9.6640625" style="100" customWidth="1"/>
    <col min="14091" max="14091" width="10.5546875" style="100" customWidth="1"/>
    <col min="14092" max="14092" width="10.6640625" style="100" customWidth="1"/>
    <col min="14093" max="14093" width="11.33203125" style="100" customWidth="1"/>
    <col min="14094" max="14094" width="10.6640625" style="100" customWidth="1"/>
    <col min="14095" max="14095" width="10.44140625" style="100" customWidth="1"/>
    <col min="14096" max="14096" width="5.109375" style="100" customWidth="1"/>
    <col min="14097" max="14339" width="25.6640625" style="100"/>
    <col min="14340" max="14340" width="14.109375" style="100" customWidth="1"/>
    <col min="14341" max="14341" width="10.88671875" style="100" customWidth="1"/>
    <col min="14342" max="14343" width="9.33203125" style="100" customWidth="1"/>
    <col min="14344" max="14344" width="10.44140625" style="100" customWidth="1"/>
    <col min="14345" max="14345" width="10.6640625" style="100" customWidth="1"/>
    <col min="14346" max="14346" width="9.6640625" style="100" customWidth="1"/>
    <col min="14347" max="14347" width="10.5546875" style="100" customWidth="1"/>
    <col min="14348" max="14348" width="10.6640625" style="100" customWidth="1"/>
    <col min="14349" max="14349" width="11.33203125" style="100" customWidth="1"/>
    <col min="14350" max="14350" width="10.6640625" style="100" customWidth="1"/>
    <col min="14351" max="14351" width="10.44140625" style="100" customWidth="1"/>
    <col min="14352" max="14352" width="5.109375" style="100" customWidth="1"/>
    <col min="14353" max="14595" width="25.6640625" style="100"/>
    <col min="14596" max="14596" width="14.109375" style="100" customWidth="1"/>
    <col min="14597" max="14597" width="10.88671875" style="100" customWidth="1"/>
    <col min="14598" max="14599" width="9.33203125" style="100" customWidth="1"/>
    <col min="14600" max="14600" width="10.44140625" style="100" customWidth="1"/>
    <col min="14601" max="14601" width="10.6640625" style="100" customWidth="1"/>
    <col min="14602" max="14602" width="9.6640625" style="100" customWidth="1"/>
    <col min="14603" max="14603" width="10.5546875" style="100" customWidth="1"/>
    <col min="14604" max="14604" width="10.6640625" style="100" customWidth="1"/>
    <col min="14605" max="14605" width="11.33203125" style="100" customWidth="1"/>
    <col min="14606" max="14606" width="10.6640625" style="100" customWidth="1"/>
    <col min="14607" max="14607" width="10.44140625" style="100" customWidth="1"/>
    <col min="14608" max="14608" width="5.109375" style="100" customWidth="1"/>
    <col min="14609" max="14851" width="25.6640625" style="100"/>
    <col min="14852" max="14852" width="14.109375" style="100" customWidth="1"/>
    <col min="14853" max="14853" width="10.88671875" style="100" customWidth="1"/>
    <col min="14854" max="14855" width="9.33203125" style="100" customWidth="1"/>
    <col min="14856" max="14856" width="10.44140625" style="100" customWidth="1"/>
    <col min="14857" max="14857" width="10.6640625" style="100" customWidth="1"/>
    <col min="14858" max="14858" width="9.6640625" style="100" customWidth="1"/>
    <col min="14859" max="14859" width="10.5546875" style="100" customWidth="1"/>
    <col min="14860" max="14860" width="10.6640625" style="100" customWidth="1"/>
    <col min="14861" max="14861" width="11.33203125" style="100" customWidth="1"/>
    <col min="14862" max="14862" width="10.6640625" style="100" customWidth="1"/>
    <col min="14863" max="14863" width="10.44140625" style="100" customWidth="1"/>
    <col min="14864" max="14864" width="5.109375" style="100" customWidth="1"/>
    <col min="14865" max="15107" width="25.6640625" style="100"/>
    <col min="15108" max="15108" width="14.109375" style="100" customWidth="1"/>
    <col min="15109" max="15109" width="10.88671875" style="100" customWidth="1"/>
    <col min="15110" max="15111" width="9.33203125" style="100" customWidth="1"/>
    <col min="15112" max="15112" width="10.44140625" style="100" customWidth="1"/>
    <col min="15113" max="15113" width="10.6640625" style="100" customWidth="1"/>
    <col min="15114" max="15114" width="9.6640625" style="100" customWidth="1"/>
    <col min="15115" max="15115" width="10.5546875" style="100" customWidth="1"/>
    <col min="15116" max="15116" width="10.6640625" style="100" customWidth="1"/>
    <col min="15117" max="15117" width="11.33203125" style="100" customWidth="1"/>
    <col min="15118" max="15118" width="10.6640625" style="100" customWidth="1"/>
    <col min="15119" max="15119" width="10.44140625" style="100" customWidth="1"/>
    <col min="15120" max="15120" width="5.109375" style="100" customWidth="1"/>
    <col min="15121" max="15363" width="25.6640625" style="100"/>
    <col min="15364" max="15364" width="14.109375" style="100" customWidth="1"/>
    <col min="15365" max="15365" width="10.88671875" style="100" customWidth="1"/>
    <col min="15366" max="15367" width="9.33203125" style="100" customWidth="1"/>
    <col min="15368" max="15368" width="10.44140625" style="100" customWidth="1"/>
    <col min="15369" max="15369" width="10.6640625" style="100" customWidth="1"/>
    <col min="15370" max="15370" width="9.6640625" style="100" customWidth="1"/>
    <col min="15371" max="15371" width="10.5546875" style="100" customWidth="1"/>
    <col min="15372" max="15372" width="10.6640625" style="100" customWidth="1"/>
    <col min="15373" max="15373" width="11.33203125" style="100" customWidth="1"/>
    <col min="15374" max="15374" width="10.6640625" style="100" customWidth="1"/>
    <col min="15375" max="15375" width="10.44140625" style="100" customWidth="1"/>
    <col min="15376" max="15376" width="5.109375" style="100" customWidth="1"/>
    <col min="15377" max="15619" width="25.6640625" style="100"/>
    <col min="15620" max="15620" width="14.109375" style="100" customWidth="1"/>
    <col min="15621" max="15621" width="10.88671875" style="100" customWidth="1"/>
    <col min="15622" max="15623" width="9.33203125" style="100" customWidth="1"/>
    <col min="15624" max="15624" width="10.44140625" style="100" customWidth="1"/>
    <col min="15625" max="15625" width="10.6640625" style="100" customWidth="1"/>
    <col min="15626" max="15626" width="9.6640625" style="100" customWidth="1"/>
    <col min="15627" max="15627" width="10.5546875" style="100" customWidth="1"/>
    <col min="15628" max="15628" width="10.6640625" style="100" customWidth="1"/>
    <col min="15629" max="15629" width="11.33203125" style="100" customWidth="1"/>
    <col min="15630" max="15630" width="10.6640625" style="100" customWidth="1"/>
    <col min="15631" max="15631" width="10.44140625" style="100" customWidth="1"/>
    <col min="15632" max="15632" width="5.109375" style="100" customWidth="1"/>
    <col min="15633" max="15875" width="25.6640625" style="100"/>
    <col min="15876" max="15876" width="14.109375" style="100" customWidth="1"/>
    <col min="15877" max="15877" width="10.88671875" style="100" customWidth="1"/>
    <col min="15878" max="15879" width="9.33203125" style="100" customWidth="1"/>
    <col min="15880" max="15880" width="10.44140625" style="100" customWidth="1"/>
    <col min="15881" max="15881" width="10.6640625" style="100" customWidth="1"/>
    <col min="15882" max="15882" width="9.6640625" style="100" customWidth="1"/>
    <col min="15883" max="15883" width="10.5546875" style="100" customWidth="1"/>
    <col min="15884" max="15884" width="10.6640625" style="100" customWidth="1"/>
    <col min="15885" max="15885" width="11.33203125" style="100" customWidth="1"/>
    <col min="15886" max="15886" width="10.6640625" style="100" customWidth="1"/>
    <col min="15887" max="15887" width="10.44140625" style="100" customWidth="1"/>
    <col min="15888" max="15888" width="5.109375" style="100" customWidth="1"/>
    <col min="15889" max="16131" width="25.6640625" style="100"/>
    <col min="16132" max="16132" width="14.109375" style="100" customWidth="1"/>
    <col min="16133" max="16133" width="10.88671875" style="100" customWidth="1"/>
    <col min="16134" max="16135" width="9.33203125" style="100" customWidth="1"/>
    <col min="16136" max="16136" width="10.44140625" style="100" customWidth="1"/>
    <col min="16137" max="16137" width="10.6640625" style="100" customWidth="1"/>
    <col min="16138" max="16138" width="9.6640625" style="100" customWidth="1"/>
    <col min="16139" max="16139" width="10.5546875" style="100" customWidth="1"/>
    <col min="16140" max="16140" width="10.6640625" style="100" customWidth="1"/>
    <col min="16141" max="16141" width="11.33203125" style="100" customWidth="1"/>
    <col min="16142" max="16142" width="10.6640625" style="100" customWidth="1"/>
    <col min="16143" max="16143" width="10.44140625" style="100" customWidth="1"/>
    <col min="16144" max="16144" width="5.109375" style="100" customWidth="1"/>
    <col min="16145" max="16384" width="25.6640625" style="100"/>
  </cols>
  <sheetData>
    <row r="1" spans="1:17" ht="13.5" customHeight="1" x14ac:dyDescent="0.2">
      <c r="A1" s="545" t="s">
        <v>1</v>
      </c>
      <c r="B1" s="551" t="s">
        <v>582</v>
      </c>
      <c r="C1" s="377"/>
      <c r="D1" s="377"/>
      <c r="E1" s="377"/>
      <c r="F1" s="377"/>
      <c r="G1" s="553" t="s">
        <v>132</v>
      </c>
      <c r="H1" s="553"/>
      <c r="I1" s="553"/>
      <c r="J1" s="553"/>
      <c r="K1" s="553"/>
      <c r="L1" s="378"/>
      <c r="M1" s="378"/>
      <c r="N1" s="554" t="s">
        <v>549</v>
      </c>
      <c r="O1" s="545" t="s">
        <v>550</v>
      </c>
      <c r="P1" s="545" t="s">
        <v>551</v>
      </c>
      <c r="Q1" s="545" t="s">
        <v>134</v>
      </c>
    </row>
    <row r="2" spans="1:17" ht="42.75" customHeight="1" thickBot="1" x14ac:dyDescent="0.25">
      <c r="A2" s="546"/>
      <c r="B2" s="552"/>
      <c r="C2" s="380" t="s">
        <v>579</v>
      </c>
      <c r="D2" s="380" t="s">
        <v>580</v>
      </c>
      <c r="E2" s="381" t="s">
        <v>581</v>
      </c>
      <c r="F2" s="380" t="s">
        <v>122</v>
      </c>
      <c r="G2" s="379" t="s">
        <v>615</v>
      </c>
      <c r="H2" s="406" t="s">
        <v>137</v>
      </c>
      <c r="I2" s="406" t="s">
        <v>616</v>
      </c>
      <c r="J2" s="406" t="s">
        <v>525</v>
      </c>
      <c r="K2" s="379" t="s">
        <v>136</v>
      </c>
      <c r="L2" s="379"/>
      <c r="M2" s="379"/>
      <c r="N2" s="555"/>
      <c r="O2" s="546"/>
      <c r="P2" s="546"/>
      <c r="Q2" s="546"/>
    </row>
    <row r="3" spans="1:17" x14ac:dyDescent="0.2">
      <c r="A3" s="382" t="s">
        <v>143</v>
      </c>
      <c r="B3" s="383">
        <f>+B4+B51</f>
        <v>166855422326.91776</v>
      </c>
      <c r="C3" s="383">
        <f>+C4+C51</f>
        <v>12702274912.162758</v>
      </c>
      <c r="D3" s="383">
        <f>+D4+D51</f>
        <v>6026481200.1034069</v>
      </c>
      <c r="E3" s="383">
        <f>+E4+E51</f>
        <v>13620601378.960539</v>
      </c>
      <c r="F3" s="407"/>
      <c r="G3" s="383">
        <f>G4+G56</f>
        <v>38589819286</v>
      </c>
      <c r="H3" s="383"/>
      <c r="I3" s="383">
        <f>I4+I56</f>
        <v>7943655054</v>
      </c>
      <c r="J3" s="383"/>
      <c r="K3" s="383">
        <f>+K4+K51</f>
        <v>15612420000</v>
      </c>
      <c r="L3" s="383"/>
      <c r="M3" s="383"/>
      <c r="N3" s="383">
        <f>+N4+N51</f>
        <v>0</v>
      </c>
      <c r="O3" s="383">
        <f>+O4+O51</f>
        <v>11644590837.674816</v>
      </c>
      <c r="P3" s="384">
        <f>P4+P56+P52</f>
        <v>2608821104.5162506</v>
      </c>
      <c r="Q3" s="384">
        <f>+B3-C3-D3-E3-G3-I3-K3-N3-O3-P3</f>
        <v>58106758553.5</v>
      </c>
    </row>
    <row r="4" spans="1:17" x14ac:dyDescent="0.2">
      <c r="A4" s="385" t="s">
        <v>5</v>
      </c>
      <c r="B4" s="386">
        <f>+B5+B9</f>
        <v>166299348536.80649</v>
      </c>
      <c r="C4" s="386">
        <f>+C5+C9</f>
        <v>12702274912.162758</v>
      </c>
      <c r="D4" s="386">
        <f>+D5+D9</f>
        <v>6026481200.1034069</v>
      </c>
      <c r="E4" s="386">
        <f>+E5+E9</f>
        <v>13564993999.949413</v>
      </c>
      <c r="F4" s="408"/>
      <c r="G4" s="386">
        <f>+G5+G9</f>
        <v>38589819286</v>
      </c>
      <c r="H4" s="386">
        <f>H5+H21</f>
        <v>0</v>
      </c>
      <c r="I4" s="386">
        <f>+I5+I9</f>
        <v>7943655054</v>
      </c>
      <c r="J4" s="386"/>
      <c r="K4" s="386">
        <f>+K5+K9</f>
        <v>15612420000</v>
      </c>
      <c r="L4" s="386"/>
      <c r="M4" s="386"/>
      <c r="N4" s="386">
        <f>+N5+N9</f>
        <v>0</v>
      </c>
      <c r="O4" s="386">
        <f>+O5+O9</f>
        <v>11644590837.674816</v>
      </c>
      <c r="P4" s="386">
        <f>+P5+P9</f>
        <v>2608821104.5162506</v>
      </c>
      <c r="Q4" s="386">
        <f t="shared" ref="Q4:Q60" si="0">+B4-C4-D4-E4-G4-I4-K4-N4-O4-P4</f>
        <v>57606292142.399857</v>
      </c>
    </row>
    <row r="5" spans="1:17" x14ac:dyDescent="0.2">
      <c r="A5" s="385" t="s">
        <v>144</v>
      </c>
      <c r="B5" s="386">
        <f>+B6</f>
        <v>26007740000.04538</v>
      </c>
      <c r="C5" s="386"/>
      <c r="D5" s="386"/>
      <c r="E5" s="386">
        <f>+E6</f>
        <v>2600774000.0045381</v>
      </c>
      <c r="F5" s="408"/>
      <c r="G5" s="386">
        <f t="shared" ref="G5:H5" si="1">G6</f>
        <v>0</v>
      </c>
      <c r="H5" s="386">
        <f t="shared" si="1"/>
        <v>0</v>
      </c>
      <c r="I5" s="386"/>
      <c r="J5" s="386"/>
      <c r="K5" s="386">
        <f>+K6</f>
        <v>0</v>
      </c>
      <c r="L5" s="386"/>
      <c r="M5" s="386"/>
      <c r="N5" s="386">
        <f>+N6</f>
        <v>0</v>
      </c>
      <c r="O5" s="386"/>
      <c r="P5" s="386"/>
      <c r="Q5" s="386">
        <f t="shared" si="0"/>
        <v>23406966000.04084</v>
      </c>
    </row>
    <row r="6" spans="1:17" x14ac:dyDescent="0.2">
      <c r="A6" s="388" t="s">
        <v>145</v>
      </c>
      <c r="B6" s="389">
        <f>+B7+B8</f>
        <v>26007740000.04538</v>
      </c>
      <c r="C6" s="389"/>
      <c r="D6" s="389"/>
      <c r="E6" s="389">
        <f>+B6*10%</f>
        <v>2600774000.0045381</v>
      </c>
      <c r="F6" s="409">
        <v>0.1</v>
      </c>
      <c r="G6" s="389"/>
      <c r="H6" s="389"/>
      <c r="I6" s="389"/>
      <c r="J6" s="389"/>
      <c r="K6" s="389"/>
      <c r="L6" s="389">
        <f>+B6-G6-H6-K6</f>
        <v>26007740000.04538</v>
      </c>
      <c r="M6" s="391">
        <f>+L6/$L$61</f>
        <v>0.24840728063817152</v>
      </c>
      <c r="N6" s="389">
        <f>+'DESTINACIONES 2025'!N6*0.8</f>
        <v>0</v>
      </c>
      <c r="O6" s="389"/>
      <c r="P6" s="389"/>
      <c r="Q6" s="389">
        <f t="shared" si="0"/>
        <v>23406966000.04084</v>
      </c>
    </row>
    <row r="7" spans="1:17" x14ac:dyDescent="0.2">
      <c r="A7" s="385" t="s">
        <v>575</v>
      </c>
      <c r="B7" s="386">
        <f>+'Proyeccion Ingresos 2024-2027'!D8</f>
        <v>20863184902.120003</v>
      </c>
      <c r="C7" s="386"/>
      <c r="D7" s="386"/>
      <c r="E7" s="386"/>
      <c r="F7" s="408"/>
      <c r="G7" s="386"/>
      <c r="H7" s="386"/>
      <c r="I7" s="386"/>
      <c r="J7" s="386"/>
      <c r="K7" s="386"/>
      <c r="L7" s="386"/>
      <c r="M7" s="392"/>
      <c r="N7" s="386"/>
      <c r="O7" s="386"/>
      <c r="P7" s="386"/>
      <c r="Q7" s="386">
        <f t="shared" si="0"/>
        <v>20863184902.120003</v>
      </c>
    </row>
    <row r="8" spans="1:17" x14ac:dyDescent="0.2">
      <c r="A8" s="385" t="s">
        <v>576</v>
      </c>
      <c r="B8" s="386">
        <f>+'Proyeccion Ingresos 2024-2027'!D9</f>
        <v>5144555097.9253769</v>
      </c>
      <c r="C8" s="386"/>
      <c r="D8" s="386"/>
      <c r="E8" s="386"/>
      <c r="F8" s="408"/>
      <c r="G8" s="386"/>
      <c r="H8" s="386"/>
      <c r="I8" s="386"/>
      <c r="J8" s="386"/>
      <c r="K8" s="386"/>
      <c r="L8" s="386"/>
      <c r="M8" s="392"/>
      <c r="N8" s="386"/>
      <c r="O8" s="386"/>
      <c r="P8" s="386"/>
      <c r="Q8" s="386">
        <f t="shared" si="0"/>
        <v>5144555097.9253769</v>
      </c>
    </row>
    <row r="9" spans="1:17" x14ac:dyDescent="0.2">
      <c r="A9" s="388" t="s">
        <v>17</v>
      </c>
      <c r="B9" s="389">
        <f>+B10+B21+B42+B46</f>
        <v>140291608536.76111</v>
      </c>
      <c r="C9" s="389">
        <f>+C10+C21+C42+C46</f>
        <v>12702274912.162758</v>
      </c>
      <c r="D9" s="389">
        <f>+D10+D21+D42+D46</f>
        <v>6026481200.1034069</v>
      </c>
      <c r="E9" s="389">
        <f>+E10+E21+E42+E46</f>
        <v>10964219999.944876</v>
      </c>
      <c r="F9" s="408"/>
      <c r="G9" s="389">
        <f>+G10+G21+G42+G46</f>
        <v>38589819286</v>
      </c>
      <c r="H9" s="389"/>
      <c r="I9" s="389">
        <f>+I10+I21+I42+I46</f>
        <v>7943655054</v>
      </c>
      <c r="J9" s="389"/>
      <c r="K9" s="389">
        <f>+K10+K21+K42+K46</f>
        <v>15612420000</v>
      </c>
      <c r="L9" s="389"/>
      <c r="M9" s="393"/>
      <c r="N9" s="389">
        <f>+N10+N21+N42+N46</f>
        <v>0</v>
      </c>
      <c r="O9" s="389">
        <f>+O10+O21+O42+O46</f>
        <v>11644590837.674816</v>
      </c>
      <c r="P9" s="389">
        <f>+P10+P21+P42+P46</f>
        <v>2608821104.5162506</v>
      </c>
      <c r="Q9" s="389">
        <f>+B9-C9-D9-E9-G9-I9-K9-N9-O9-P9</f>
        <v>34199326142.359009</v>
      </c>
    </row>
    <row r="10" spans="1:17" x14ac:dyDescent="0.2">
      <c r="A10" s="385" t="s">
        <v>19</v>
      </c>
      <c r="B10" s="386">
        <f>+B11</f>
        <v>18510603464.272957</v>
      </c>
      <c r="C10" s="386">
        <f>+C11</f>
        <v>1851060346.4272957</v>
      </c>
      <c r="D10" s="386">
        <f>+D11</f>
        <v>3702120692.8545914</v>
      </c>
      <c r="E10" s="386">
        <f>+E11</f>
        <v>0</v>
      </c>
      <c r="F10" s="408"/>
      <c r="G10" s="386"/>
      <c r="H10" s="386"/>
      <c r="I10" s="386">
        <f>+I11</f>
        <v>7943655054</v>
      </c>
      <c r="J10" s="386"/>
      <c r="K10" s="386">
        <f>+K11</f>
        <v>0</v>
      </c>
      <c r="L10" s="386"/>
      <c r="M10" s="394"/>
      <c r="N10" s="386">
        <f>+N11</f>
        <v>0</v>
      </c>
      <c r="O10" s="386">
        <f>+O11</f>
        <v>2404946266.4748182</v>
      </c>
      <c r="P10" s="386">
        <f>+P11</f>
        <v>2608821104.5162506</v>
      </c>
      <c r="Q10" s="386">
        <v>0</v>
      </c>
    </row>
    <row r="11" spans="1:17" x14ac:dyDescent="0.2">
      <c r="A11" s="385" t="s">
        <v>146</v>
      </c>
      <c r="B11" s="386">
        <f>+B12+B15+B18</f>
        <v>18510603464.272957</v>
      </c>
      <c r="C11" s="386">
        <f>+C12+C15+C18</f>
        <v>1851060346.4272957</v>
      </c>
      <c r="D11" s="386">
        <f>+D12+D15+D18</f>
        <v>3702120692.8545914</v>
      </c>
      <c r="E11" s="386">
        <f>+E12+E15+E18</f>
        <v>0</v>
      </c>
      <c r="F11" s="408"/>
      <c r="G11" s="386"/>
      <c r="H11" s="386"/>
      <c r="I11" s="386">
        <f>+I12</f>
        <v>7943655054</v>
      </c>
      <c r="J11" s="386"/>
      <c r="K11" s="386"/>
      <c r="L11" s="386"/>
      <c r="M11" s="394"/>
      <c r="N11" s="386">
        <f>+N12+N15+N18</f>
        <v>0</v>
      </c>
      <c r="O11" s="386">
        <f>+O12+O15+O18</f>
        <v>2404946266.4748182</v>
      </c>
      <c r="P11" s="386">
        <f>+P12+P15+P18</f>
        <v>2608821104.5162506</v>
      </c>
      <c r="Q11" s="386">
        <v>0</v>
      </c>
    </row>
    <row r="12" spans="1:17" x14ac:dyDescent="0.2">
      <c r="A12" s="388" t="s">
        <v>163</v>
      </c>
      <c r="B12" s="389">
        <f>+B13+B14</f>
        <v>15074965940.737501</v>
      </c>
      <c r="C12" s="389">
        <f>+B12*10%</f>
        <v>1507496594.0737503</v>
      </c>
      <c r="D12" s="389">
        <f>+B12*20%</f>
        <v>3014993188.1475005</v>
      </c>
      <c r="E12" s="389">
        <f>+B12*0%</f>
        <v>0</v>
      </c>
      <c r="F12" s="409">
        <v>0</v>
      </c>
      <c r="G12" s="389"/>
      <c r="H12" s="389"/>
      <c r="I12" s="389">
        <v>7943655054</v>
      </c>
      <c r="J12" s="389"/>
      <c r="K12" s="389"/>
      <c r="L12" s="389">
        <f>+B12-I12</f>
        <v>7131310886.7375011</v>
      </c>
      <c r="M12" s="395">
        <f>+L12/L61</f>
        <v>6.811316726315933E-2</v>
      </c>
      <c r="N12" s="396">
        <f>+'DESTINACIONES 2025'!N12*0.8</f>
        <v>0</v>
      </c>
      <c r="O12" s="396"/>
      <c r="P12" s="396">
        <f>+B12-C12-D12-E12-I12-N12</f>
        <v>2608821104.5162506</v>
      </c>
      <c r="Q12" s="396">
        <v>0</v>
      </c>
    </row>
    <row r="13" spans="1:17" x14ac:dyDescent="0.2">
      <c r="A13" s="385" t="s">
        <v>575</v>
      </c>
      <c r="B13" s="386">
        <f>+'Proyeccion Ingresos 2024-2027'!D16</f>
        <v>13322190669.637501</v>
      </c>
      <c r="C13" s="386"/>
      <c r="D13" s="386"/>
      <c r="E13" s="386"/>
      <c r="F13" s="408"/>
      <c r="G13" s="386"/>
      <c r="H13" s="386"/>
      <c r="I13" s="386"/>
      <c r="J13" s="386"/>
      <c r="K13" s="386"/>
      <c r="L13" s="386"/>
      <c r="M13" s="397"/>
      <c r="N13" s="398"/>
      <c r="O13" s="398"/>
      <c r="P13" s="398"/>
      <c r="Q13" s="398">
        <v>0</v>
      </c>
    </row>
    <row r="14" spans="1:17" x14ac:dyDescent="0.2">
      <c r="A14" s="385" t="s">
        <v>576</v>
      </c>
      <c r="B14" s="386">
        <f>+'Proyeccion Ingresos 2024-2027'!D17</f>
        <v>1752775271.1000001</v>
      </c>
      <c r="C14" s="386"/>
      <c r="D14" s="386"/>
      <c r="E14" s="386"/>
      <c r="F14" s="408"/>
      <c r="G14" s="386"/>
      <c r="H14" s="386"/>
      <c r="I14" s="386"/>
      <c r="J14" s="386"/>
      <c r="K14" s="386"/>
      <c r="L14" s="386"/>
      <c r="M14" s="397"/>
      <c r="N14" s="398"/>
      <c r="O14" s="398"/>
      <c r="P14" s="398"/>
      <c r="Q14" s="398">
        <v>0</v>
      </c>
    </row>
    <row r="15" spans="1:17" x14ac:dyDescent="0.2">
      <c r="A15" s="388" t="s">
        <v>164</v>
      </c>
      <c r="B15" s="389">
        <f>+B16+B17</f>
        <v>3278337523.5354548</v>
      </c>
      <c r="C15" s="389">
        <f>+B15*10%</f>
        <v>327833752.35354549</v>
      </c>
      <c r="D15" s="389">
        <f>+B15*20%</f>
        <v>655667504.70709097</v>
      </c>
      <c r="E15" s="389">
        <f>+B15*0%</f>
        <v>0</v>
      </c>
      <c r="F15" s="409">
        <v>0</v>
      </c>
      <c r="G15" s="389"/>
      <c r="H15" s="389"/>
      <c r="I15" s="389"/>
      <c r="J15" s="389"/>
      <c r="K15" s="389"/>
      <c r="L15" s="389">
        <f>+B15</f>
        <v>3278337523.5354548</v>
      </c>
      <c r="M15" s="395">
        <f>+L15/$L$61</f>
        <v>3.131232891570352E-2</v>
      </c>
      <c r="N15" s="396">
        <f>+'DESTINACIONES 2025'!N15*0.8</f>
        <v>0</v>
      </c>
      <c r="O15" s="396">
        <f>+B15-C15-D15-E15-N15</f>
        <v>2294836266.4748182</v>
      </c>
      <c r="P15" s="396"/>
      <c r="Q15" s="396">
        <v>0</v>
      </c>
    </row>
    <row r="16" spans="1:17" x14ac:dyDescent="0.2">
      <c r="A16" s="385" t="s">
        <v>575</v>
      </c>
      <c r="B16" s="386">
        <f>+'Proyeccion Ingresos 2024-2027'!D19</f>
        <v>3005142729.9075003</v>
      </c>
      <c r="C16" s="386"/>
      <c r="D16" s="386"/>
      <c r="E16" s="386"/>
      <c r="F16" s="408"/>
      <c r="G16" s="386"/>
      <c r="H16" s="386"/>
      <c r="I16" s="386"/>
      <c r="J16" s="386"/>
      <c r="K16" s="386"/>
      <c r="L16" s="386"/>
      <c r="M16" s="397"/>
      <c r="N16" s="398"/>
      <c r="O16" s="398"/>
      <c r="P16" s="398"/>
      <c r="Q16" s="398">
        <f t="shared" si="0"/>
        <v>3005142729.9075003</v>
      </c>
    </row>
    <row r="17" spans="1:17" x14ac:dyDescent="0.2">
      <c r="A17" s="385" t="s">
        <v>576</v>
      </c>
      <c r="B17" s="386">
        <f>+'Proyeccion Ingresos 2024-2027'!D20</f>
        <v>273194793.62795454</v>
      </c>
      <c r="C17" s="386"/>
      <c r="D17" s="386"/>
      <c r="E17" s="386"/>
      <c r="F17" s="408"/>
      <c r="G17" s="386"/>
      <c r="H17" s="386"/>
      <c r="I17" s="386"/>
      <c r="J17" s="386"/>
      <c r="K17" s="386"/>
      <c r="L17" s="386"/>
      <c r="M17" s="397"/>
      <c r="N17" s="398"/>
      <c r="O17" s="398"/>
      <c r="P17" s="398"/>
      <c r="Q17" s="398">
        <f t="shared" si="0"/>
        <v>273194793.62795454</v>
      </c>
    </row>
    <row r="18" spans="1:17" x14ac:dyDescent="0.2">
      <c r="A18" s="388" t="s">
        <v>577</v>
      </c>
      <c r="B18" s="389">
        <f>+B19+B20</f>
        <v>157300000.00000003</v>
      </c>
      <c r="C18" s="389">
        <f>+B18*10%</f>
        <v>15730000.000000004</v>
      </c>
      <c r="D18" s="389">
        <f>+B18*20%</f>
        <v>31460000.000000007</v>
      </c>
      <c r="E18" s="389">
        <f>+B18*0%</f>
        <v>0</v>
      </c>
      <c r="F18" s="410">
        <v>0</v>
      </c>
      <c r="G18" s="386"/>
      <c r="H18" s="386"/>
      <c r="I18" s="386"/>
      <c r="J18" s="386"/>
      <c r="K18" s="386"/>
      <c r="L18" s="386">
        <f t="shared" ref="L18" si="2">+B18-G18-H18-K18</f>
        <v>157300000.00000003</v>
      </c>
      <c r="M18" s="397">
        <f>+L18/$L$61</f>
        <v>1.5024167899370037E-3</v>
      </c>
      <c r="N18" s="398">
        <f>+'DESTINACIONES 2025'!N18*0.8</f>
        <v>0</v>
      </c>
      <c r="O18" s="398">
        <f>+B18-C18-D18-E18-N18</f>
        <v>110110000.00000003</v>
      </c>
      <c r="P18" s="398"/>
      <c r="Q18" s="398">
        <f t="shared" si="0"/>
        <v>0</v>
      </c>
    </row>
    <row r="19" spans="1:17" x14ac:dyDescent="0.2">
      <c r="A19" s="385" t="s">
        <v>575</v>
      </c>
      <c r="B19" s="386">
        <f>+'Proyeccion Ingresos 2024-2027'!D23</f>
        <v>145200000.00000003</v>
      </c>
      <c r="C19" s="386"/>
      <c r="D19" s="386"/>
      <c r="E19" s="386"/>
      <c r="F19" s="408"/>
      <c r="G19" s="386"/>
      <c r="H19" s="386"/>
      <c r="I19" s="386"/>
      <c r="J19" s="386"/>
      <c r="K19" s="386"/>
      <c r="L19" s="386"/>
      <c r="M19" s="397"/>
      <c r="N19" s="398"/>
      <c r="O19" s="398"/>
      <c r="P19" s="398"/>
      <c r="Q19" s="398">
        <f t="shared" si="0"/>
        <v>145200000.00000003</v>
      </c>
    </row>
    <row r="20" spans="1:17" x14ac:dyDescent="0.2">
      <c r="A20" s="385" t="s">
        <v>576</v>
      </c>
      <c r="B20" s="386">
        <f>+'Proyeccion Ingresos 2024-2027'!D24</f>
        <v>12100000.000000002</v>
      </c>
      <c r="C20" s="386"/>
      <c r="D20" s="386"/>
      <c r="E20" s="386"/>
      <c r="F20" s="408"/>
      <c r="G20" s="386"/>
      <c r="H20" s="386"/>
      <c r="I20" s="386"/>
      <c r="J20" s="386"/>
      <c r="K20" s="386"/>
      <c r="L20" s="386"/>
      <c r="M20" s="397"/>
      <c r="N20" s="398"/>
      <c r="O20" s="398"/>
      <c r="P20" s="398"/>
      <c r="Q20" s="398">
        <f t="shared" si="0"/>
        <v>12100000.000000002</v>
      </c>
    </row>
    <row r="21" spans="1:17" x14ac:dyDescent="0.2">
      <c r="A21" s="388" t="s">
        <v>147</v>
      </c>
      <c r="B21" s="389">
        <f>+B22+B24+B27+B30+B33+B36+B39</f>
        <v>22851877083.135452</v>
      </c>
      <c r="C21" s="389">
        <f t="shared" ref="C21:E21" si="3">+C22+C24+C27+C30+C33+C36+C39</f>
        <v>10498659375.318031</v>
      </c>
      <c r="D21" s="389">
        <f t="shared" si="3"/>
        <v>2285187708.3135452</v>
      </c>
      <c r="E21" s="389">
        <f t="shared" si="3"/>
        <v>1118669999.944875</v>
      </c>
      <c r="F21" s="408"/>
      <c r="G21" s="389">
        <f t="shared" ref="G21:K21" si="4">+G22+G24+G27+G30+G33+G36+G39</f>
        <v>0</v>
      </c>
      <c r="H21" s="389">
        <f t="shared" si="4"/>
        <v>0</v>
      </c>
      <c r="I21" s="389">
        <f t="shared" si="4"/>
        <v>0</v>
      </c>
      <c r="J21" s="389">
        <f t="shared" si="4"/>
        <v>0</v>
      </c>
      <c r="K21" s="389">
        <f t="shared" si="4"/>
        <v>844095000</v>
      </c>
      <c r="L21" s="389"/>
      <c r="M21" s="393"/>
      <c r="N21" s="389">
        <f t="shared" ref="N21:Q21" si="5">+N22+N24+N27+N30+N33+N36+N39</f>
        <v>0</v>
      </c>
      <c r="O21" s="389">
        <f t="shared" si="5"/>
        <v>0</v>
      </c>
      <c r="P21" s="389">
        <f t="shared" si="5"/>
        <v>0</v>
      </c>
      <c r="Q21" s="389">
        <f t="shared" si="5"/>
        <v>8105264999.559</v>
      </c>
    </row>
    <row r="22" spans="1:17" x14ac:dyDescent="0.2">
      <c r="A22" s="388" t="s">
        <v>148</v>
      </c>
      <c r="B22" s="389">
        <f>+B23</f>
        <v>250212894.64920002</v>
      </c>
      <c r="C22" s="389">
        <f>+B22*90%</f>
        <v>225191605.18428004</v>
      </c>
      <c r="D22" s="389">
        <f>+B22*10%</f>
        <v>25021289.464920003</v>
      </c>
      <c r="E22" s="389"/>
      <c r="F22" s="408"/>
      <c r="G22" s="386">
        <f t="shared" ref="G22" si="6">SUM(G24:G42)</f>
        <v>0</v>
      </c>
      <c r="H22" s="386"/>
      <c r="I22" s="386"/>
      <c r="J22" s="386"/>
      <c r="K22" s="389">
        <f>+K23</f>
        <v>0</v>
      </c>
      <c r="L22" s="386">
        <f t="shared" ref="L22:L36" si="7">+B22-G22-H22-K22</f>
        <v>250212894.64920002</v>
      </c>
      <c r="M22" s="394"/>
      <c r="N22" s="386"/>
      <c r="O22" s="386"/>
      <c r="P22" s="386"/>
      <c r="Q22" s="386">
        <f t="shared" si="0"/>
        <v>-1.862645149230957E-8</v>
      </c>
    </row>
    <row r="23" spans="1:17" x14ac:dyDescent="0.2">
      <c r="A23" s="385" t="s">
        <v>578</v>
      </c>
      <c r="B23" s="386">
        <f>+'Proyeccion Ingresos 2024-2027'!D27</f>
        <v>250212894.64920002</v>
      </c>
      <c r="C23" s="386"/>
      <c r="D23" s="386"/>
      <c r="E23" s="386"/>
      <c r="F23" s="408"/>
      <c r="G23" s="386"/>
      <c r="H23" s="386"/>
      <c r="I23" s="386"/>
      <c r="J23" s="386"/>
      <c r="K23" s="386"/>
      <c r="L23" s="386"/>
      <c r="M23" s="394"/>
      <c r="N23" s="386"/>
      <c r="O23" s="386"/>
      <c r="P23" s="386"/>
      <c r="Q23" s="386">
        <f t="shared" si="0"/>
        <v>250212894.64920002</v>
      </c>
    </row>
    <row r="24" spans="1:17" x14ac:dyDescent="0.2">
      <c r="A24" s="388" t="s">
        <v>149</v>
      </c>
      <c r="B24" s="389">
        <f>+B25+B26</f>
        <v>2477817215.8425002</v>
      </c>
      <c r="C24" s="389">
        <f>+B24*90%</f>
        <v>2230035494.2582502</v>
      </c>
      <c r="D24" s="389">
        <f>+B24*10%</f>
        <v>247781721.58425003</v>
      </c>
      <c r="E24" s="389"/>
      <c r="F24" s="408"/>
      <c r="G24" s="386"/>
      <c r="H24" s="386"/>
      <c r="I24" s="386"/>
      <c r="J24" s="386"/>
      <c r="K24" s="389">
        <f>+K25+K26</f>
        <v>0</v>
      </c>
      <c r="L24" s="386">
        <f t="shared" si="7"/>
        <v>2477817215.8425002</v>
      </c>
      <c r="M24" s="394"/>
      <c r="N24" s="398"/>
      <c r="O24" s="398"/>
      <c r="P24" s="398"/>
      <c r="Q24" s="398">
        <f t="shared" si="0"/>
        <v>-5.9604644775390625E-8</v>
      </c>
    </row>
    <row r="25" spans="1:17" x14ac:dyDescent="0.2">
      <c r="A25" s="385" t="s">
        <v>575</v>
      </c>
      <c r="B25" s="386">
        <f>+'Proyeccion Ingresos 2024-2027'!D29</f>
        <v>2123843327.8650002</v>
      </c>
      <c r="C25" s="386"/>
      <c r="D25" s="386"/>
      <c r="E25" s="386"/>
      <c r="F25" s="408"/>
      <c r="G25" s="386"/>
      <c r="H25" s="386"/>
      <c r="I25" s="386"/>
      <c r="J25" s="386"/>
      <c r="K25" s="386"/>
      <c r="L25" s="386"/>
      <c r="M25" s="394"/>
      <c r="N25" s="398"/>
      <c r="O25" s="398"/>
      <c r="P25" s="398"/>
      <c r="Q25" s="398">
        <f t="shared" si="0"/>
        <v>2123843327.8650002</v>
      </c>
    </row>
    <row r="26" spans="1:17" x14ac:dyDescent="0.2">
      <c r="A26" s="385" t="s">
        <v>576</v>
      </c>
      <c r="B26" s="386">
        <f>+'Proyeccion Ingresos 2024-2027'!D30</f>
        <v>353973887.97750002</v>
      </c>
      <c r="C26" s="386"/>
      <c r="D26" s="386"/>
      <c r="E26" s="386"/>
      <c r="F26" s="408"/>
      <c r="G26" s="386"/>
      <c r="H26" s="386"/>
      <c r="I26" s="386"/>
      <c r="J26" s="386"/>
      <c r="K26" s="386"/>
      <c r="L26" s="386"/>
      <c r="M26" s="394"/>
      <c r="N26" s="398"/>
      <c r="O26" s="398"/>
      <c r="P26" s="398"/>
      <c r="Q26" s="398">
        <f t="shared" si="0"/>
        <v>353973887.97750002</v>
      </c>
    </row>
    <row r="27" spans="1:17" ht="15.75" customHeight="1" x14ac:dyDescent="0.2">
      <c r="A27" s="400" t="s">
        <v>150</v>
      </c>
      <c r="B27" s="389">
        <f>+B28+B29</f>
        <v>8937146973.1950016</v>
      </c>
      <c r="C27" s="389">
        <f>+B27*90%</f>
        <v>8043432275.8755016</v>
      </c>
      <c r="D27" s="389">
        <f>+B27*10%</f>
        <v>893714697.31950021</v>
      </c>
      <c r="E27" s="389"/>
      <c r="F27" s="408"/>
      <c r="G27" s="386">
        <v>0</v>
      </c>
      <c r="H27" s="386"/>
      <c r="I27" s="386"/>
      <c r="J27" s="386"/>
      <c r="K27" s="389">
        <f>+K28+K29</f>
        <v>0</v>
      </c>
      <c r="L27" s="386">
        <f t="shared" si="7"/>
        <v>8937146973.1950016</v>
      </c>
      <c r="M27" s="394"/>
      <c r="N27" s="398"/>
      <c r="O27" s="398"/>
      <c r="P27" s="398"/>
      <c r="Q27" s="398">
        <f t="shared" si="0"/>
        <v>-2.384185791015625E-7</v>
      </c>
    </row>
    <row r="28" spans="1:17" ht="15.75" customHeight="1" x14ac:dyDescent="0.2">
      <c r="A28" s="385" t="s">
        <v>575</v>
      </c>
      <c r="B28" s="386">
        <f>+'Proyeccion Ingresos 2024-2027'!D32</f>
        <v>8249674129.357501</v>
      </c>
      <c r="C28" s="386"/>
      <c r="D28" s="386"/>
      <c r="E28" s="386"/>
      <c r="F28" s="408"/>
      <c r="G28" s="386"/>
      <c r="H28" s="386"/>
      <c r="I28" s="386"/>
      <c r="J28" s="386"/>
      <c r="K28" s="386"/>
      <c r="L28" s="386"/>
      <c r="M28" s="394"/>
      <c r="N28" s="398"/>
      <c r="O28" s="398"/>
      <c r="P28" s="398"/>
      <c r="Q28" s="398">
        <v>0</v>
      </c>
    </row>
    <row r="29" spans="1:17" ht="15.75" customHeight="1" x14ac:dyDescent="0.2">
      <c r="A29" s="385" t="s">
        <v>576</v>
      </c>
      <c r="B29" s="386">
        <f>+'Proyeccion Ingresos 2024-2027'!D33</f>
        <v>687472843.83749998</v>
      </c>
      <c r="C29" s="386"/>
      <c r="D29" s="386"/>
      <c r="E29" s="386"/>
      <c r="F29" s="408"/>
      <c r="G29" s="386"/>
      <c r="H29" s="386"/>
      <c r="I29" s="386"/>
      <c r="J29" s="386"/>
      <c r="K29" s="386"/>
      <c r="L29" s="386"/>
      <c r="M29" s="394"/>
      <c r="N29" s="398"/>
      <c r="O29" s="398"/>
      <c r="P29" s="398"/>
      <c r="Q29" s="398">
        <v>0</v>
      </c>
    </row>
    <row r="30" spans="1:17" x14ac:dyDescent="0.2">
      <c r="A30" s="388" t="s">
        <v>151</v>
      </c>
      <c r="B30" s="389">
        <f>+B31+B32</f>
        <v>2535749999.4487505</v>
      </c>
      <c r="C30" s="389"/>
      <c r="D30" s="389">
        <f>+B30*10%</f>
        <v>253574999.94487506</v>
      </c>
      <c r="E30" s="389">
        <f>+B30*10%</f>
        <v>253574999.94487506</v>
      </c>
      <c r="F30" s="409">
        <v>0.1</v>
      </c>
      <c r="G30" s="389">
        <v>0</v>
      </c>
      <c r="H30" s="389"/>
      <c r="I30" s="389"/>
      <c r="J30" s="389"/>
      <c r="K30" s="389">
        <f>+K31+K32</f>
        <v>0</v>
      </c>
      <c r="L30" s="389">
        <f t="shared" si="7"/>
        <v>2535749999.4487505</v>
      </c>
      <c r="M30" s="401">
        <f>+L30/$L$61</f>
        <v>2.421966544344914E-2</v>
      </c>
      <c r="N30" s="396">
        <f>+'DESTINACIONES 2025'!N30*0.8</f>
        <v>0</v>
      </c>
      <c r="O30" s="396"/>
      <c r="P30" s="396"/>
      <c r="Q30" s="396">
        <f t="shared" si="0"/>
        <v>2028599999.5590003</v>
      </c>
    </row>
    <row r="31" spans="1:17" x14ac:dyDescent="0.2">
      <c r="A31" s="385" t="s">
        <v>575</v>
      </c>
      <c r="B31" s="386">
        <f>+'Proyeccion Ingresos 2024-2027'!D35</f>
        <v>2470789524.7350006</v>
      </c>
      <c r="C31" s="386"/>
      <c r="D31" s="386"/>
      <c r="E31" s="386"/>
      <c r="F31" s="408"/>
      <c r="G31" s="386"/>
      <c r="H31" s="386"/>
      <c r="I31" s="386"/>
      <c r="J31" s="386"/>
      <c r="K31" s="386"/>
      <c r="L31" s="386"/>
      <c r="M31" s="402"/>
      <c r="N31" s="398"/>
      <c r="O31" s="398"/>
      <c r="P31" s="398"/>
      <c r="Q31" s="398">
        <v>0</v>
      </c>
    </row>
    <row r="32" spans="1:17" x14ac:dyDescent="0.2">
      <c r="A32" s="385" t="s">
        <v>576</v>
      </c>
      <c r="B32" s="386">
        <f>+'Proyeccion Ingresos 2024-2027'!D36</f>
        <v>64960474.71375002</v>
      </c>
      <c r="C32" s="386"/>
      <c r="D32" s="386"/>
      <c r="E32" s="386"/>
      <c r="F32" s="408"/>
      <c r="G32" s="386"/>
      <c r="H32" s="386"/>
      <c r="I32" s="386"/>
      <c r="J32" s="386"/>
      <c r="K32" s="386"/>
      <c r="L32" s="386"/>
      <c r="M32" s="402"/>
      <c r="N32" s="398"/>
      <c r="O32" s="398"/>
      <c r="P32" s="398"/>
      <c r="Q32" s="398">
        <v>0</v>
      </c>
    </row>
    <row r="33" spans="1:17" x14ac:dyDescent="0.2">
      <c r="A33" s="388" t="s">
        <v>152</v>
      </c>
      <c r="B33" s="389">
        <f>+B34+B35</f>
        <v>8440950000</v>
      </c>
      <c r="C33" s="389"/>
      <c r="D33" s="389">
        <f>+B33*10%</f>
        <v>844095000</v>
      </c>
      <c r="E33" s="389">
        <f>+B33*10%</f>
        <v>844095000</v>
      </c>
      <c r="F33" s="410">
        <v>0.1</v>
      </c>
      <c r="G33" s="386">
        <v>0</v>
      </c>
      <c r="H33" s="386"/>
      <c r="I33" s="386"/>
      <c r="J33" s="386"/>
      <c r="K33" s="389">
        <f>+K34+K35</f>
        <v>844095000</v>
      </c>
      <c r="L33" s="389">
        <f>+B33-K33</f>
        <v>7596855000</v>
      </c>
      <c r="M33" s="401">
        <f>+L33/$L$61</f>
        <v>7.2559710761073579E-2</v>
      </c>
      <c r="N33" s="396">
        <f>+'DESTINACIONES 2025'!N33*0.8</f>
        <v>0</v>
      </c>
      <c r="O33" s="396"/>
      <c r="P33" s="396"/>
      <c r="Q33" s="396">
        <f t="shared" si="0"/>
        <v>5908665000</v>
      </c>
    </row>
    <row r="34" spans="1:17" x14ac:dyDescent="0.2">
      <c r="A34" s="385" t="s">
        <v>575</v>
      </c>
      <c r="B34" s="386">
        <f>+'Proyeccion Ingresos 2024-2027'!D38</f>
        <v>7596855000</v>
      </c>
      <c r="C34" s="386"/>
      <c r="D34" s="386"/>
      <c r="E34" s="386"/>
      <c r="F34" s="408"/>
      <c r="G34" s="386"/>
      <c r="H34" s="386"/>
      <c r="I34" s="386"/>
      <c r="J34" s="386"/>
      <c r="K34" s="386">
        <f>+B34*0.1</f>
        <v>759685500</v>
      </c>
      <c r="L34" s="386"/>
      <c r="M34" s="402"/>
      <c r="N34" s="398"/>
      <c r="O34" s="398"/>
      <c r="P34" s="398"/>
      <c r="Q34" s="398">
        <v>0</v>
      </c>
    </row>
    <row r="35" spans="1:17" x14ac:dyDescent="0.2">
      <c r="A35" s="385" t="s">
        <v>576</v>
      </c>
      <c r="B35" s="386">
        <f>+'Proyeccion Ingresos 2024-2027'!D39</f>
        <v>844095000</v>
      </c>
      <c r="C35" s="386"/>
      <c r="D35" s="386"/>
      <c r="E35" s="386"/>
      <c r="F35" s="408"/>
      <c r="G35" s="386"/>
      <c r="H35" s="386"/>
      <c r="I35" s="386"/>
      <c r="J35" s="386"/>
      <c r="K35" s="386">
        <f>+B35*0.1</f>
        <v>84409500</v>
      </c>
      <c r="L35" s="386"/>
      <c r="M35" s="402"/>
      <c r="N35" s="398"/>
      <c r="O35" s="398"/>
      <c r="P35" s="398"/>
      <c r="Q35" s="398">
        <v>0</v>
      </c>
    </row>
    <row r="36" spans="1:17" x14ac:dyDescent="0.2">
      <c r="A36" s="388" t="s">
        <v>153</v>
      </c>
      <c r="B36" s="389">
        <f>+B37+B38</f>
        <v>198450000</v>
      </c>
      <c r="C36" s="389"/>
      <c r="D36" s="389">
        <f>+B36*10%</f>
        <v>19845000</v>
      </c>
      <c r="E36" s="389">
        <f>+B36*10%</f>
        <v>19845000</v>
      </c>
      <c r="F36" s="410">
        <v>0.1</v>
      </c>
      <c r="G36" s="386">
        <v>0</v>
      </c>
      <c r="H36" s="386"/>
      <c r="I36" s="386"/>
      <c r="J36" s="386"/>
      <c r="K36" s="386"/>
      <c r="L36" s="386">
        <f t="shared" si="7"/>
        <v>198450000</v>
      </c>
      <c r="M36" s="402">
        <f>+L36/$L$61</f>
        <v>1.8954520785950308E-3</v>
      </c>
      <c r="N36" s="398">
        <f>+'DESTINACIONES 2025'!N36*0.8</f>
        <v>0</v>
      </c>
      <c r="O36" s="398"/>
      <c r="P36" s="398"/>
      <c r="Q36" s="398">
        <f t="shared" si="0"/>
        <v>158760000</v>
      </c>
    </row>
    <row r="37" spans="1:17" x14ac:dyDescent="0.2">
      <c r="A37" s="385" t="s">
        <v>575</v>
      </c>
      <c r="B37" s="386">
        <f>+'Proyeccion Ingresos 2024-2027'!D41</f>
        <v>192592424.11500001</v>
      </c>
      <c r="C37" s="386"/>
      <c r="D37" s="386"/>
      <c r="E37" s="386"/>
      <c r="F37" s="408"/>
      <c r="G37" s="386"/>
      <c r="H37" s="386"/>
      <c r="I37" s="386"/>
      <c r="J37" s="386"/>
      <c r="K37" s="386"/>
      <c r="L37" s="386"/>
      <c r="M37" s="402"/>
      <c r="N37" s="398"/>
      <c r="O37" s="398"/>
      <c r="P37" s="398"/>
      <c r="Q37" s="398">
        <v>0</v>
      </c>
    </row>
    <row r="38" spans="1:17" x14ac:dyDescent="0.2">
      <c r="A38" s="385" t="s">
        <v>576</v>
      </c>
      <c r="B38" s="386">
        <f>+'Proyeccion Ingresos 2024-2027'!D42</f>
        <v>5857575.8850000007</v>
      </c>
      <c r="C38" s="386"/>
      <c r="D38" s="386"/>
      <c r="E38" s="386"/>
      <c r="F38" s="408"/>
      <c r="G38" s="386"/>
      <c r="H38" s="386"/>
      <c r="I38" s="386"/>
      <c r="J38" s="386"/>
      <c r="K38" s="386"/>
      <c r="L38" s="386"/>
      <c r="M38" s="402"/>
      <c r="N38" s="398"/>
      <c r="O38" s="398"/>
      <c r="P38" s="398"/>
      <c r="Q38" s="398">
        <v>0</v>
      </c>
    </row>
    <row r="39" spans="1:17" x14ac:dyDescent="0.2">
      <c r="A39" s="388" t="s">
        <v>601</v>
      </c>
      <c r="B39" s="386">
        <f>+B40+B41</f>
        <v>11550000</v>
      </c>
      <c r="C39" s="386"/>
      <c r="D39" s="386">
        <f>+B39*0.1</f>
        <v>1155000</v>
      </c>
      <c r="E39" s="386">
        <f>+B39*0.1</f>
        <v>1155000</v>
      </c>
      <c r="F39" s="408"/>
      <c r="G39" s="386"/>
      <c r="H39" s="386"/>
      <c r="I39" s="386"/>
      <c r="J39" s="386"/>
      <c r="K39" s="386"/>
      <c r="L39" s="386"/>
      <c r="M39" s="402"/>
      <c r="N39" s="398"/>
      <c r="O39" s="398"/>
      <c r="P39" s="398"/>
      <c r="Q39" s="398">
        <f>+B39-D39-E39</f>
        <v>9240000</v>
      </c>
    </row>
    <row r="40" spans="1:17" x14ac:dyDescent="0.2">
      <c r="A40" s="385" t="s">
        <v>575</v>
      </c>
      <c r="B40" s="386">
        <f>+'Proyeccion Ingresos 2024-2027'!D44</f>
        <v>11000000</v>
      </c>
      <c r="C40" s="386"/>
      <c r="D40" s="386"/>
      <c r="E40" s="386"/>
      <c r="F40" s="408"/>
      <c r="G40" s="386"/>
      <c r="H40" s="386"/>
      <c r="I40" s="386"/>
      <c r="J40" s="386"/>
      <c r="K40" s="386"/>
      <c r="L40" s="386"/>
      <c r="M40" s="402"/>
      <c r="N40" s="398"/>
      <c r="O40" s="398"/>
      <c r="P40" s="398"/>
      <c r="Q40" s="398"/>
    </row>
    <row r="41" spans="1:17" x14ac:dyDescent="0.2">
      <c r="A41" s="385" t="s">
        <v>576</v>
      </c>
      <c r="B41" s="386">
        <f>+'Proyeccion Ingresos 2024-2027'!D45</f>
        <v>550000</v>
      </c>
      <c r="C41" s="386"/>
      <c r="D41" s="386"/>
      <c r="E41" s="386"/>
      <c r="F41" s="408"/>
      <c r="G41" s="386"/>
      <c r="H41" s="386"/>
      <c r="I41" s="386"/>
      <c r="J41" s="386"/>
      <c r="K41" s="386"/>
      <c r="L41" s="386"/>
      <c r="M41" s="402"/>
      <c r="N41" s="398"/>
      <c r="O41" s="398"/>
      <c r="P41" s="398"/>
      <c r="Q41" s="398"/>
    </row>
    <row r="42" spans="1:17" x14ac:dyDescent="0.2">
      <c r="A42" s="388" t="s">
        <v>154</v>
      </c>
      <c r="B42" s="389">
        <f>+B43</f>
        <v>391727989.35270011</v>
      </c>
      <c r="C42" s="389">
        <f>+B42*90%</f>
        <v>352555190.4174301</v>
      </c>
      <c r="D42" s="389">
        <f>+B42*10%</f>
        <v>39172798.935270011</v>
      </c>
      <c r="E42" s="389"/>
      <c r="F42" s="408"/>
      <c r="G42" s="386"/>
      <c r="H42" s="386"/>
      <c r="I42" s="386"/>
      <c r="J42" s="386"/>
      <c r="K42" s="386"/>
      <c r="L42" s="386"/>
      <c r="M42" s="394"/>
      <c r="N42" s="398">
        <f>+N43</f>
        <v>0</v>
      </c>
      <c r="O42" s="398"/>
      <c r="P42" s="398"/>
      <c r="Q42" s="398">
        <v>0</v>
      </c>
    </row>
    <row r="43" spans="1:17" x14ac:dyDescent="0.2">
      <c r="A43" s="388" t="s">
        <v>155</v>
      </c>
      <c r="B43" s="389">
        <f>+B44+B45</f>
        <v>391727989.35270011</v>
      </c>
      <c r="C43" s="389"/>
      <c r="D43" s="389"/>
      <c r="E43" s="389"/>
      <c r="F43" s="408"/>
      <c r="G43" s="386"/>
      <c r="H43" s="386"/>
      <c r="I43" s="386"/>
      <c r="J43" s="386"/>
      <c r="K43" s="386"/>
      <c r="L43" s="386">
        <f>+B43-G43-H43-K43</f>
        <v>391727989.35270011</v>
      </c>
      <c r="M43" s="394"/>
      <c r="N43" s="386"/>
      <c r="O43" s="386"/>
      <c r="P43" s="386"/>
      <c r="Q43" s="386">
        <f t="shared" si="0"/>
        <v>391727989.35270011</v>
      </c>
    </row>
    <row r="44" spans="1:17" x14ac:dyDescent="0.2">
      <c r="A44" s="385" t="s">
        <v>575</v>
      </c>
      <c r="B44" s="386">
        <f>+'Proyeccion Ingresos 2024-2027'!D49</f>
        <v>331462144.83690012</v>
      </c>
      <c r="C44" s="386"/>
      <c r="D44" s="386"/>
      <c r="E44" s="386"/>
      <c r="F44" s="408"/>
      <c r="G44" s="386"/>
      <c r="H44" s="386"/>
      <c r="I44" s="386"/>
      <c r="J44" s="386"/>
      <c r="K44" s="386"/>
      <c r="L44" s="386"/>
      <c r="M44" s="394"/>
      <c r="N44" s="386"/>
      <c r="O44" s="386"/>
      <c r="P44" s="386"/>
      <c r="Q44" s="398">
        <v>0</v>
      </c>
    </row>
    <row r="45" spans="1:17" x14ac:dyDescent="0.2">
      <c r="A45" s="385" t="s">
        <v>576</v>
      </c>
      <c r="B45" s="386">
        <f>+'Proyeccion Ingresos 2024-2027'!D50</f>
        <v>60265844.515800014</v>
      </c>
      <c r="C45" s="386"/>
      <c r="D45" s="386"/>
      <c r="E45" s="386"/>
      <c r="F45" s="408"/>
      <c r="G45" s="386"/>
      <c r="H45" s="386"/>
      <c r="I45" s="386"/>
      <c r="J45" s="386"/>
      <c r="K45" s="386"/>
      <c r="L45" s="386"/>
      <c r="M45" s="394"/>
      <c r="N45" s="386"/>
      <c r="O45" s="386"/>
      <c r="P45" s="386"/>
      <c r="Q45" s="398">
        <v>0</v>
      </c>
    </row>
    <row r="46" spans="1:17" x14ac:dyDescent="0.2">
      <c r="A46" s="385" t="s">
        <v>156</v>
      </c>
      <c r="B46" s="386">
        <f>+B47+B50</f>
        <v>98537400000</v>
      </c>
      <c r="C46" s="386"/>
      <c r="D46" s="386"/>
      <c r="E46" s="386">
        <f>+E47+E50</f>
        <v>9845550000</v>
      </c>
      <c r="F46" s="408"/>
      <c r="G46" s="386">
        <f>+G47</f>
        <v>38589819286</v>
      </c>
      <c r="H46" s="386"/>
      <c r="I46" s="386"/>
      <c r="J46" s="386"/>
      <c r="K46" s="386">
        <f>+K47+K50</f>
        <v>14768325000</v>
      </c>
      <c r="L46" s="386"/>
      <c r="M46" s="394"/>
      <c r="N46" s="398">
        <f>+N47</f>
        <v>0</v>
      </c>
      <c r="O46" s="386">
        <f>+O47+O50</f>
        <v>9239644571.1999969</v>
      </c>
      <c r="P46" s="398"/>
      <c r="Q46" s="398">
        <f t="shared" si="0"/>
        <v>26094061142.800003</v>
      </c>
    </row>
    <row r="47" spans="1:17" x14ac:dyDescent="0.2">
      <c r="A47" s="388" t="s">
        <v>157</v>
      </c>
      <c r="B47" s="389">
        <f>+B48+B49</f>
        <v>98455500000</v>
      </c>
      <c r="C47" s="389"/>
      <c r="D47" s="389"/>
      <c r="E47" s="389">
        <f>+B47*10%</f>
        <v>9845550000</v>
      </c>
      <c r="F47" s="411">
        <v>0.1</v>
      </c>
      <c r="G47" s="386">
        <f>+G48+G49</f>
        <v>38589819286</v>
      </c>
      <c r="H47" s="386"/>
      <c r="I47" s="386"/>
      <c r="J47" s="386"/>
      <c r="K47" s="386">
        <f>+K48+K49</f>
        <v>14768325000</v>
      </c>
      <c r="L47" s="386">
        <f>+B47-G47-K47</f>
        <v>45097355714</v>
      </c>
      <c r="M47" s="402">
        <f>+L47/$L$61</f>
        <v>0.43073759953258145</v>
      </c>
      <c r="N47" s="398">
        <f>+N48+N49</f>
        <v>0</v>
      </c>
      <c r="O47" s="389">
        <f>+O48+O49</f>
        <v>9239644571.1999969</v>
      </c>
      <c r="P47" s="398"/>
      <c r="Q47" s="398">
        <f>+B47-C47-D47-E47-G47-I47-K47-N47-O47-P47</f>
        <v>26012161142.800003</v>
      </c>
    </row>
    <row r="48" spans="1:17" x14ac:dyDescent="0.2">
      <c r="A48" s="385" t="s">
        <v>575</v>
      </c>
      <c r="B48" s="386">
        <f>+'Proyeccion Ingresos 2024-2027'!D55</f>
        <v>80223000000</v>
      </c>
      <c r="C48" s="386"/>
      <c r="D48" s="386"/>
      <c r="E48" s="386"/>
      <c r="F48" s="408"/>
      <c r="G48" s="386">
        <f>38589819286*0.8</f>
        <v>30871855428.800003</v>
      </c>
      <c r="H48" s="386"/>
      <c r="I48" s="386"/>
      <c r="J48" s="386"/>
      <c r="K48" s="386">
        <f>+B48*0.15</f>
        <v>12033450000</v>
      </c>
      <c r="L48" s="386"/>
      <c r="M48" s="402"/>
      <c r="N48" s="398">
        <f>+'DESTINACIONES 2025'!N48*0.9</f>
        <v>0</v>
      </c>
      <c r="O48" s="398">
        <f>+(B48*0.5)-G48</f>
        <v>9239644571.1999969</v>
      </c>
      <c r="P48" s="398"/>
      <c r="Q48" s="398">
        <f>+B48-G48-K48-N48-O48</f>
        <v>28078050000</v>
      </c>
    </row>
    <row r="49" spans="1:17" x14ac:dyDescent="0.2">
      <c r="A49" s="385" t="s">
        <v>576</v>
      </c>
      <c r="B49" s="386">
        <f>+'Proyeccion Ingresos 2024-2027'!D56</f>
        <v>18232500000</v>
      </c>
      <c r="C49" s="386"/>
      <c r="D49" s="386"/>
      <c r="E49" s="386"/>
      <c r="F49" s="408"/>
      <c r="G49" s="386">
        <f>38589819286*0.2</f>
        <v>7717963857.2000008</v>
      </c>
      <c r="H49" s="386"/>
      <c r="I49" s="386"/>
      <c r="J49" s="386"/>
      <c r="K49" s="386">
        <f>+B49*0.15</f>
        <v>2734875000</v>
      </c>
      <c r="L49" s="386"/>
      <c r="M49" s="402"/>
      <c r="N49" s="398"/>
      <c r="O49" s="398">
        <v>0</v>
      </c>
      <c r="P49" s="398"/>
      <c r="Q49" s="398">
        <f>+B49-G49-K49-N49-O49</f>
        <v>7779661142.7999992</v>
      </c>
    </row>
    <row r="50" spans="1:17" x14ac:dyDescent="0.2">
      <c r="A50" s="388" t="s">
        <v>158</v>
      </c>
      <c r="B50" s="389">
        <f>+'Proyeccion Ingresos 2024-2027'!D57</f>
        <v>81900000</v>
      </c>
      <c r="C50" s="389"/>
      <c r="D50" s="389"/>
      <c r="E50" s="389"/>
      <c r="F50" s="408"/>
      <c r="G50" s="386"/>
      <c r="H50" s="386"/>
      <c r="I50" s="386"/>
      <c r="J50" s="386"/>
      <c r="K50" s="386"/>
      <c r="L50" s="386">
        <f>+B50</f>
        <v>81900000</v>
      </c>
      <c r="M50" s="386"/>
      <c r="N50" s="398">
        <v>0</v>
      </c>
      <c r="O50" s="398"/>
      <c r="P50" s="398"/>
      <c r="Q50" s="398">
        <f t="shared" si="0"/>
        <v>81900000</v>
      </c>
    </row>
    <row r="51" spans="1:17" x14ac:dyDescent="0.2">
      <c r="A51" s="385" t="s">
        <v>86</v>
      </c>
      <c r="B51" s="386">
        <f>+B52+B54+B56</f>
        <v>556073790.11125207</v>
      </c>
      <c r="C51" s="386"/>
      <c r="D51" s="386"/>
      <c r="E51" s="386">
        <f>+E52+E54</f>
        <v>55607379.011125207</v>
      </c>
      <c r="F51" s="408"/>
      <c r="G51" s="386"/>
      <c r="H51" s="386"/>
      <c r="I51" s="386"/>
      <c r="J51" s="386"/>
      <c r="K51" s="386"/>
      <c r="L51" s="386">
        <f>+L52+L54+L56</f>
        <v>0</v>
      </c>
      <c r="M51" s="386"/>
      <c r="N51" s="386">
        <f t="shared" ref="N51:Q51" si="8">+N52+N54</f>
        <v>0</v>
      </c>
      <c r="O51" s="386">
        <f t="shared" si="8"/>
        <v>0</v>
      </c>
      <c r="P51" s="386">
        <f t="shared" si="8"/>
        <v>0</v>
      </c>
      <c r="Q51" s="386">
        <f t="shared" si="8"/>
        <v>500466411.10012686</v>
      </c>
    </row>
    <row r="52" spans="1:17" x14ac:dyDescent="0.2">
      <c r="A52" s="385" t="s">
        <v>88</v>
      </c>
      <c r="B52" s="386">
        <f>+B53</f>
        <v>556073790.11125207</v>
      </c>
      <c r="C52" s="386"/>
      <c r="D52" s="386"/>
      <c r="E52" s="386">
        <f>+E53</f>
        <v>55607379.011125207</v>
      </c>
      <c r="F52" s="408"/>
      <c r="G52" s="386"/>
      <c r="H52" s="386"/>
      <c r="I52" s="386"/>
      <c r="J52" s="386"/>
      <c r="K52" s="386"/>
      <c r="L52" s="386"/>
      <c r="M52" s="404"/>
      <c r="N52" s="398">
        <f>+N53</f>
        <v>0</v>
      </c>
      <c r="O52" s="398"/>
      <c r="P52" s="398"/>
      <c r="Q52" s="398">
        <f>+Q53</f>
        <v>500466411.10012686</v>
      </c>
    </row>
    <row r="53" spans="1:17" x14ac:dyDescent="0.2">
      <c r="A53" s="385" t="s">
        <v>159</v>
      </c>
      <c r="B53" s="386">
        <f>+'Proyeccion Ingresos 2024-2027'!D61</f>
        <v>556073790.11125207</v>
      </c>
      <c r="C53" s="386"/>
      <c r="D53" s="386"/>
      <c r="E53" s="386">
        <f>+B53*10%</f>
        <v>55607379.011125207</v>
      </c>
      <c r="F53" s="411">
        <v>0.1</v>
      </c>
      <c r="G53" s="386"/>
      <c r="H53" s="386"/>
      <c r="I53" s="386"/>
      <c r="J53" s="386"/>
      <c r="K53" s="386"/>
      <c r="L53" s="386">
        <f>+B53</f>
        <v>556073790.11125207</v>
      </c>
      <c r="M53" s="402">
        <f>+L53/$L$61</f>
        <v>5.3112180464529582E-3</v>
      </c>
      <c r="N53" s="398">
        <v>0</v>
      </c>
      <c r="O53" s="398"/>
      <c r="P53" s="398"/>
      <c r="Q53" s="398">
        <f>+B53-E53-N53</f>
        <v>500466411.10012686</v>
      </c>
    </row>
    <row r="54" spans="1:17" hidden="1" x14ac:dyDescent="0.2">
      <c r="A54" s="385" t="s">
        <v>160</v>
      </c>
      <c r="B54" s="386">
        <f>+B55</f>
        <v>0</v>
      </c>
      <c r="C54" s="386"/>
      <c r="D54" s="386"/>
      <c r="E54" s="386"/>
      <c r="F54" s="408"/>
      <c r="G54" s="386"/>
      <c r="H54" s="386"/>
      <c r="I54" s="386"/>
      <c r="J54" s="386"/>
      <c r="K54" s="386"/>
      <c r="L54" s="386">
        <f>+L55</f>
        <v>0</v>
      </c>
      <c r="M54" s="386"/>
      <c r="N54" s="398">
        <v>0</v>
      </c>
      <c r="O54" s="398"/>
      <c r="P54" s="398"/>
      <c r="Q54" s="398">
        <f t="shared" si="0"/>
        <v>0</v>
      </c>
    </row>
    <row r="55" spans="1:17" hidden="1" x14ac:dyDescent="0.2">
      <c r="A55" s="385" t="s">
        <v>161</v>
      </c>
      <c r="B55" s="386">
        <f>+'INGRESOS 2024'!Q64</f>
        <v>0</v>
      </c>
      <c r="C55" s="386"/>
      <c r="D55" s="386"/>
      <c r="E55" s="386"/>
      <c r="F55" s="408"/>
      <c r="G55" s="386"/>
      <c r="H55" s="386"/>
      <c r="I55" s="386"/>
      <c r="J55" s="386">
        <f>+B55</f>
        <v>0</v>
      </c>
      <c r="K55" s="386"/>
      <c r="L55" s="386"/>
      <c r="M55" s="386"/>
      <c r="N55" s="398"/>
      <c r="O55" s="398"/>
      <c r="P55" s="398"/>
      <c r="Q55" s="398">
        <f t="shared" si="0"/>
        <v>0</v>
      </c>
    </row>
    <row r="56" spans="1:17" hidden="1" x14ac:dyDescent="0.2">
      <c r="A56" s="385" t="s">
        <v>162</v>
      </c>
      <c r="B56" s="386">
        <f>+'INGRESOS 2024'!Q62</f>
        <v>0</v>
      </c>
      <c r="C56" s="386"/>
      <c r="D56" s="386"/>
      <c r="E56" s="386"/>
      <c r="F56" s="408"/>
      <c r="G56" s="386">
        <f t="shared" ref="G56:N56" si="9">SUM(G57:G58)</f>
        <v>0</v>
      </c>
      <c r="H56" s="386"/>
      <c r="I56" s="386"/>
      <c r="J56" s="386"/>
      <c r="K56" s="386"/>
      <c r="L56" s="386">
        <f>+'INGRESOS 2024'!V62</f>
        <v>0</v>
      </c>
      <c r="M56" s="386"/>
      <c r="N56" s="386">
        <f t="shared" si="9"/>
        <v>0</v>
      </c>
      <c r="O56" s="386"/>
      <c r="P56" s="386"/>
      <c r="Q56" s="386">
        <f t="shared" si="0"/>
        <v>0</v>
      </c>
    </row>
    <row r="57" spans="1:17" hidden="1" x14ac:dyDescent="0.2">
      <c r="A57" s="385"/>
      <c r="B57" s="386"/>
      <c r="C57" s="386"/>
      <c r="D57" s="386"/>
      <c r="E57" s="386"/>
      <c r="F57" s="408"/>
      <c r="G57" s="386"/>
      <c r="H57" s="386"/>
      <c r="I57" s="386"/>
      <c r="J57" s="386"/>
      <c r="K57" s="386"/>
      <c r="L57" s="386"/>
      <c r="M57" s="386"/>
      <c r="N57" s="398"/>
      <c r="O57" s="398"/>
      <c r="P57" s="398"/>
      <c r="Q57" s="398">
        <f t="shared" si="0"/>
        <v>0</v>
      </c>
    </row>
    <row r="58" spans="1:17" x14ac:dyDescent="0.2">
      <c r="A58" s="388" t="s">
        <v>101</v>
      </c>
      <c r="B58" s="389">
        <f>+B59+B60</f>
        <v>2548968754.5</v>
      </c>
      <c r="C58" s="389">
        <f>+C59</f>
        <v>2548968754.5</v>
      </c>
      <c r="D58" s="389"/>
      <c r="E58" s="389"/>
      <c r="F58" s="408"/>
      <c r="G58" s="386"/>
      <c r="H58" s="386"/>
      <c r="I58" s="386"/>
      <c r="J58" s="386"/>
      <c r="K58" s="386"/>
      <c r="L58" s="386">
        <f>+L59+L60</f>
        <v>0</v>
      </c>
      <c r="M58" s="386"/>
      <c r="N58" s="398"/>
      <c r="O58" s="398"/>
      <c r="P58" s="398"/>
      <c r="Q58" s="398">
        <f t="shared" si="0"/>
        <v>0</v>
      </c>
    </row>
    <row r="59" spans="1:17" x14ac:dyDescent="0.2">
      <c r="A59" s="385" t="s">
        <v>138</v>
      </c>
      <c r="B59" s="386">
        <f>+'Proyeccion Ingresos 2024-2027'!D70</f>
        <v>2548968754.5</v>
      </c>
      <c r="C59" s="386">
        <f>+B59</f>
        <v>2548968754.5</v>
      </c>
      <c r="D59" s="386"/>
      <c r="E59" s="386"/>
      <c r="F59" s="408"/>
      <c r="G59" s="386"/>
      <c r="H59" s="386"/>
      <c r="I59" s="386"/>
      <c r="J59" s="386"/>
      <c r="K59" s="386"/>
      <c r="L59" s="386"/>
      <c r="M59" s="386"/>
      <c r="N59" s="398"/>
      <c r="O59" s="398"/>
      <c r="P59" s="398"/>
      <c r="Q59" s="398">
        <v>0</v>
      </c>
    </row>
    <row r="60" spans="1:17" x14ac:dyDescent="0.2">
      <c r="A60" s="385" t="s">
        <v>139</v>
      </c>
      <c r="B60" s="386"/>
      <c r="C60" s="386"/>
      <c r="D60" s="386"/>
      <c r="E60" s="386"/>
      <c r="F60" s="408"/>
      <c r="G60" s="405"/>
      <c r="H60" s="405"/>
      <c r="I60" s="405"/>
      <c r="J60" s="405"/>
      <c r="K60" s="405"/>
      <c r="L60" s="386"/>
      <c r="M60" s="405"/>
      <c r="N60" s="398"/>
      <c r="O60" s="398"/>
      <c r="P60" s="398"/>
      <c r="Q60" s="398">
        <f t="shared" si="0"/>
        <v>0</v>
      </c>
    </row>
    <row r="61" spans="1:17" x14ac:dyDescent="0.2">
      <c r="A61" s="414" t="s">
        <v>140</v>
      </c>
      <c r="B61" s="415">
        <f>+B58+B3</f>
        <v>169404391081.41776</v>
      </c>
      <c r="C61" s="415">
        <f>+C58+C3</f>
        <v>15251243666.662758</v>
      </c>
      <c r="D61" s="415">
        <f>+D58+D3</f>
        <v>6026481200.1034069</v>
      </c>
      <c r="E61" s="415">
        <f>+E58+E3</f>
        <v>13620601378.960539</v>
      </c>
      <c r="F61" s="420"/>
      <c r="G61" s="415">
        <f>G3</f>
        <v>38589819286</v>
      </c>
      <c r="H61" s="415">
        <f>+H12</f>
        <v>0</v>
      </c>
      <c r="I61" s="415">
        <f>+I12</f>
        <v>7943655054</v>
      </c>
      <c r="J61" s="415">
        <f>+J55</f>
        <v>0</v>
      </c>
      <c r="K61" s="415">
        <f>+K33+K47</f>
        <v>15612420000</v>
      </c>
      <c r="L61" s="415">
        <f>SUM(L3:L58)</f>
        <v>104697977986.91774</v>
      </c>
      <c r="M61" s="415"/>
      <c r="N61" s="415">
        <f>+N58+N3</f>
        <v>0</v>
      </c>
      <c r="O61" s="415">
        <f>+O58+O3</f>
        <v>11644590837.674816</v>
      </c>
      <c r="P61" s="415">
        <f>+P58+P3</f>
        <v>2608821104.5162506</v>
      </c>
      <c r="Q61" s="415">
        <f>+Q58+Q3</f>
        <v>58106758553.5</v>
      </c>
    </row>
    <row r="62" spans="1:17" ht="11.25" customHeight="1" x14ac:dyDescent="0.2">
      <c r="B62" s="115"/>
      <c r="C62" s="115"/>
      <c r="D62" s="115"/>
      <c r="E62" s="115"/>
      <c r="F62" s="127"/>
      <c r="G62" s="547" t="s">
        <v>141</v>
      </c>
      <c r="H62" s="548"/>
      <c r="I62" s="548"/>
      <c r="J62" s="548"/>
      <c r="K62" s="549"/>
      <c r="L62" s="127"/>
      <c r="M62" s="127"/>
      <c r="N62" s="117"/>
      <c r="O62" s="117"/>
      <c r="P62" s="117"/>
      <c r="Q62" s="109"/>
    </row>
    <row r="63" spans="1:17" ht="52.5" hidden="1" customHeight="1" x14ac:dyDescent="0.2">
      <c r="A63" s="118" t="s">
        <v>142</v>
      </c>
      <c r="B63" s="119" t="e">
        <f>SUM(#REF!+#REF!)</f>
        <v>#REF!</v>
      </c>
      <c r="C63" s="119"/>
      <c r="D63" s="119"/>
      <c r="E63" s="119"/>
      <c r="F63" s="412"/>
      <c r="G63" s="120"/>
      <c r="H63" s="120"/>
      <c r="I63" s="120"/>
      <c r="J63" s="120"/>
    </row>
    <row r="64" spans="1:17" ht="11.25" customHeight="1" x14ac:dyDescent="0.2">
      <c r="B64" s="122"/>
      <c r="C64" s="122"/>
      <c r="D64" s="122"/>
      <c r="E64" s="122"/>
      <c r="L64" s="126"/>
      <c r="Q64" s="291"/>
    </row>
    <row r="65" spans="2:17" hidden="1" x14ac:dyDescent="0.2">
      <c r="Q65" s="291"/>
    </row>
    <row r="66" spans="2:17" hidden="1" x14ac:dyDescent="0.2">
      <c r="N66" s="121" t="s">
        <v>128</v>
      </c>
      <c r="Q66" s="291"/>
    </row>
    <row r="67" spans="2:17" hidden="1" x14ac:dyDescent="0.2">
      <c r="N67" s="121" t="s">
        <v>540</v>
      </c>
      <c r="Q67" s="291"/>
    </row>
    <row r="68" spans="2:17" hidden="1" x14ac:dyDescent="0.2">
      <c r="Q68" s="291"/>
    </row>
    <row r="69" spans="2:17" hidden="1" x14ac:dyDescent="0.2">
      <c r="Q69" s="291"/>
    </row>
    <row r="70" spans="2:17" hidden="1" x14ac:dyDescent="0.2">
      <c r="Q70" s="291"/>
    </row>
    <row r="71" spans="2:17" hidden="1" x14ac:dyDescent="0.2">
      <c r="N71" s="121" t="s">
        <v>542</v>
      </c>
      <c r="Q71" s="291"/>
    </row>
    <row r="72" spans="2:17" x14ac:dyDescent="0.2">
      <c r="G72" s="126"/>
      <c r="Q72" s="291">
        <f>+Q61+P61+O61+N61+K61+I61+G61+E61+D61+C61</f>
        <v>169404391081.41776</v>
      </c>
    </row>
    <row r="73" spans="2:17" x14ac:dyDescent="0.2">
      <c r="L73" s="126"/>
      <c r="Q73" s="291"/>
    </row>
    <row r="74" spans="2:17" x14ac:dyDescent="0.2">
      <c r="D74" s="351"/>
      <c r="E74" s="351"/>
      <c r="F74" s="413"/>
      <c r="G74" s="352">
        <v>35678457181</v>
      </c>
      <c r="L74" s="126"/>
      <c r="Q74" s="291"/>
    </row>
    <row r="75" spans="2:17" x14ac:dyDescent="0.2">
      <c r="D75" s="351">
        <f>+'RESUMEN PRESUPUESTAL '!AA9</f>
        <v>3957791223.8999996</v>
      </c>
      <c r="E75" s="351"/>
      <c r="F75" s="413"/>
      <c r="G75" s="352">
        <v>37107595468</v>
      </c>
      <c r="L75" s="126"/>
      <c r="Q75" s="291"/>
    </row>
    <row r="76" spans="2:17" x14ac:dyDescent="0.2">
      <c r="B76" s="359"/>
      <c r="D76" s="351"/>
      <c r="E76" s="351"/>
      <c r="F76" s="413"/>
      <c r="G76" s="360">
        <v>38589819286</v>
      </c>
      <c r="Q76" s="292"/>
    </row>
    <row r="77" spans="2:17" x14ac:dyDescent="0.2">
      <c r="G77" s="360">
        <v>40133412058</v>
      </c>
    </row>
    <row r="78" spans="2:17" x14ac:dyDescent="0.2">
      <c r="G78" s="352">
        <f>SUM(G74:G77)</f>
        <v>151509283993</v>
      </c>
      <c r="Q78" s="231"/>
    </row>
    <row r="86" spans="16:17" x14ac:dyDescent="0.2">
      <c r="P86" s="121" t="s">
        <v>128</v>
      </c>
      <c r="Q86" s="126">
        <f>+Q61+P61+O61+N61+K61+I61+G61</f>
        <v>134506064835.69107</v>
      </c>
    </row>
    <row r="88" spans="16:17" x14ac:dyDescent="0.2">
      <c r="Q88" s="126">
        <f>+Q61+N61+K61+I61+H61+G61+J61</f>
        <v>120252652893.5</v>
      </c>
    </row>
    <row r="89" spans="16:17" x14ac:dyDescent="0.2">
      <c r="Q89" s="207">
        <f>+'INGRESOS 2024'!O70</f>
        <v>12363481377.636566</v>
      </c>
    </row>
    <row r="90" spans="16:17" x14ac:dyDescent="0.2">
      <c r="Q90" s="126">
        <f>+Q88+Q89</f>
        <v>132616134271.13657</v>
      </c>
    </row>
    <row r="91" spans="16:17" x14ac:dyDescent="0.2">
      <c r="Q91" s="111"/>
    </row>
    <row r="93" spans="16:17" x14ac:dyDescent="0.2">
      <c r="Q93" s="231">
        <f>+'[3]RESUMEN 2024'!$D$4</f>
        <v>11143805251.200001</v>
      </c>
    </row>
    <row r="94" spans="16:17" x14ac:dyDescent="0.2">
      <c r="P94" s="121" t="s">
        <v>552</v>
      </c>
      <c r="Q94" s="207">
        <f>+'INGRESOS 2024'!O70</f>
        <v>12363481377.636566</v>
      </c>
    </row>
    <row r="95" spans="16:17" x14ac:dyDescent="0.2">
      <c r="P95" s="121" t="s">
        <v>553</v>
      </c>
      <c r="Q95" s="126">
        <f>+Q86+Q94</f>
        <v>146869546213.32764</v>
      </c>
    </row>
    <row r="96" spans="16:17" x14ac:dyDescent="0.2">
      <c r="Q96" s="126"/>
    </row>
    <row r="97" spans="15:17" x14ac:dyDescent="0.2">
      <c r="O97" s="550" t="s">
        <v>561</v>
      </c>
      <c r="P97" s="241" t="s">
        <v>554</v>
      </c>
      <c r="Q97" s="242">
        <f>+G61</f>
        <v>38589819286</v>
      </c>
    </row>
    <row r="98" spans="15:17" x14ac:dyDescent="0.2">
      <c r="O98" s="550"/>
      <c r="P98" s="241" t="s">
        <v>555</v>
      </c>
      <c r="Q98" s="242">
        <f>+I61</f>
        <v>7943655054</v>
      </c>
    </row>
    <row r="99" spans="15:17" x14ac:dyDescent="0.2">
      <c r="O99" s="550"/>
      <c r="P99" s="241" t="s">
        <v>556</v>
      </c>
      <c r="Q99" s="242">
        <f>+K61</f>
        <v>15612420000</v>
      </c>
    </row>
    <row r="100" spans="15:17" x14ac:dyDescent="0.2">
      <c r="O100" s="550"/>
      <c r="P100" s="241" t="s">
        <v>557</v>
      </c>
      <c r="Q100" s="242">
        <f>+N61</f>
        <v>0</v>
      </c>
    </row>
    <row r="101" spans="15:17" x14ac:dyDescent="0.2">
      <c r="O101" s="550"/>
      <c r="P101" s="241" t="s">
        <v>558</v>
      </c>
      <c r="Q101" s="242">
        <f>+O61</f>
        <v>11644590837.674816</v>
      </c>
    </row>
    <row r="102" spans="15:17" x14ac:dyDescent="0.2">
      <c r="O102" s="550"/>
      <c r="P102" s="241" t="s">
        <v>559</v>
      </c>
      <c r="Q102" s="242">
        <f>+P61</f>
        <v>2608821104.5162506</v>
      </c>
    </row>
    <row r="103" spans="15:17" x14ac:dyDescent="0.2">
      <c r="O103" s="550"/>
      <c r="P103" s="241" t="s">
        <v>560</v>
      </c>
      <c r="Q103" s="242">
        <f>+Q61+Q94</f>
        <v>70470239931.136566</v>
      </c>
    </row>
    <row r="104" spans="15:17" x14ac:dyDescent="0.2">
      <c r="O104" s="243"/>
      <c r="P104" s="243"/>
      <c r="Q104" s="242">
        <f>SUM(Q97:Q103)</f>
        <v>146869546213.32764</v>
      </c>
    </row>
    <row r="105" spans="15:17" x14ac:dyDescent="0.2">
      <c r="O105" s="243"/>
      <c r="P105" s="243"/>
      <c r="Q105" s="244"/>
    </row>
    <row r="106" spans="15:17" x14ac:dyDescent="0.2">
      <c r="O106" s="241" t="s">
        <v>562</v>
      </c>
      <c r="P106" s="241"/>
      <c r="Q106" s="242">
        <f>+Q104-Q99</f>
        <v>131257126213.32764</v>
      </c>
    </row>
    <row r="109" spans="15:17" x14ac:dyDescent="0.2">
      <c r="Q109" s="126">
        <f>+Q106-Q100</f>
        <v>131257126213.32764</v>
      </c>
    </row>
  </sheetData>
  <mergeCells count="9">
    <mergeCell ref="Q1:Q2"/>
    <mergeCell ref="G62:K62"/>
    <mergeCell ref="O97:O103"/>
    <mergeCell ref="A1:A2"/>
    <mergeCell ref="B1:B2"/>
    <mergeCell ref="G1:K1"/>
    <mergeCell ref="N1:N2"/>
    <mergeCell ref="O1:O2"/>
    <mergeCell ref="P1:P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EB797-724E-4C1F-BF13-B8EADFBF723D}">
  <dimension ref="A1:R109"/>
  <sheetViews>
    <sheetView showGridLines="0" topLeftCell="A19" workbookViewId="0">
      <selection activeCell="O74" sqref="O74"/>
    </sheetView>
  </sheetViews>
  <sheetFormatPr baseColWidth="10" defaultColWidth="25.6640625" defaultRowHeight="10.199999999999999" x14ac:dyDescent="0.2"/>
  <cols>
    <col min="1" max="1" width="38.6640625" style="100" customWidth="1"/>
    <col min="2" max="2" width="15" style="109" bestFit="1" customWidth="1"/>
    <col min="3" max="5" width="15" style="109" customWidth="1"/>
    <col min="6" max="6" width="4.5546875" style="122" customWidth="1"/>
    <col min="7" max="7" width="18.6640625" style="100" customWidth="1"/>
    <col min="8" max="8" width="16" style="100" hidden="1" customWidth="1"/>
    <col min="9" max="9" width="14.109375" style="100" bestFit="1" customWidth="1"/>
    <col min="10" max="10" width="13.109375" style="100" hidden="1" customWidth="1"/>
    <col min="11" max="11" width="14.5546875" style="100" customWidth="1"/>
    <col min="12" max="12" width="17.6640625" style="100" hidden="1" customWidth="1"/>
    <col min="13" max="13" width="11.6640625" style="100" hidden="1" customWidth="1"/>
    <col min="14" max="14" width="13.44140625" style="121" customWidth="1"/>
    <col min="15" max="15" width="14.6640625" style="121" customWidth="1"/>
    <col min="16" max="16" width="14.109375" style="121" customWidth="1"/>
    <col min="17" max="17" width="17.33203125" style="100" customWidth="1"/>
    <col min="18" max="259" width="25.6640625" style="100"/>
    <col min="260" max="260" width="14.109375" style="100" customWidth="1"/>
    <col min="261" max="261" width="10.88671875" style="100" customWidth="1"/>
    <col min="262" max="263" width="9.33203125" style="100" customWidth="1"/>
    <col min="264" max="264" width="10.44140625" style="100" customWidth="1"/>
    <col min="265" max="265" width="10.6640625" style="100" customWidth="1"/>
    <col min="266" max="266" width="9.6640625" style="100" customWidth="1"/>
    <col min="267" max="267" width="10.5546875" style="100" customWidth="1"/>
    <col min="268" max="268" width="10.6640625" style="100" customWidth="1"/>
    <col min="269" max="269" width="11.33203125" style="100" customWidth="1"/>
    <col min="270" max="270" width="10.6640625" style="100" customWidth="1"/>
    <col min="271" max="271" width="10.44140625" style="100" customWidth="1"/>
    <col min="272" max="272" width="5.109375" style="100" customWidth="1"/>
    <col min="273" max="515" width="25.6640625" style="100"/>
    <col min="516" max="516" width="14.109375" style="100" customWidth="1"/>
    <col min="517" max="517" width="10.88671875" style="100" customWidth="1"/>
    <col min="518" max="519" width="9.33203125" style="100" customWidth="1"/>
    <col min="520" max="520" width="10.44140625" style="100" customWidth="1"/>
    <col min="521" max="521" width="10.6640625" style="100" customWidth="1"/>
    <col min="522" max="522" width="9.6640625" style="100" customWidth="1"/>
    <col min="523" max="523" width="10.5546875" style="100" customWidth="1"/>
    <col min="524" max="524" width="10.6640625" style="100" customWidth="1"/>
    <col min="525" max="525" width="11.33203125" style="100" customWidth="1"/>
    <col min="526" max="526" width="10.6640625" style="100" customWidth="1"/>
    <col min="527" max="527" width="10.44140625" style="100" customWidth="1"/>
    <col min="528" max="528" width="5.109375" style="100" customWidth="1"/>
    <col min="529" max="771" width="25.6640625" style="100"/>
    <col min="772" max="772" width="14.109375" style="100" customWidth="1"/>
    <col min="773" max="773" width="10.88671875" style="100" customWidth="1"/>
    <col min="774" max="775" width="9.33203125" style="100" customWidth="1"/>
    <col min="776" max="776" width="10.44140625" style="100" customWidth="1"/>
    <col min="777" max="777" width="10.6640625" style="100" customWidth="1"/>
    <col min="778" max="778" width="9.6640625" style="100" customWidth="1"/>
    <col min="779" max="779" width="10.5546875" style="100" customWidth="1"/>
    <col min="780" max="780" width="10.6640625" style="100" customWidth="1"/>
    <col min="781" max="781" width="11.33203125" style="100" customWidth="1"/>
    <col min="782" max="782" width="10.6640625" style="100" customWidth="1"/>
    <col min="783" max="783" width="10.44140625" style="100" customWidth="1"/>
    <col min="784" max="784" width="5.109375" style="100" customWidth="1"/>
    <col min="785" max="1027" width="25.6640625" style="100"/>
    <col min="1028" max="1028" width="14.109375" style="100" customWidth="1"/>
    <col min="1029" max="1029" width="10.88671875" style="100" customWidth="1"/>
    <col min="1030" max="1031" width="9.33203125" style="100" customWidth="1"/>
    <col min="1032" max="1032" width="10.44140625" style="100" customWidth="1"/>
    <col min="1033" max="1033" width="10.6640625" style="100" customWidth="1"/>
    <col min="1034" max="1034" width="9.6640625" style="100" customWidth="1"/>
    <col min="1035" max="1035" width="10.5546875" style="100" customWidth="1"/>
    <col min="1036" max="1036" width="10.6640625" style="100" customWidth="1"/>
    <col min="1037" max="1037" width="11.33203125" style="100" customWidth="1"/>
    <col min="1038" max="1038" width="10.6640625" style="100" customWidth="1"/>
    <col min="1039" max="1039" width="10.44140625" style="100" customWidth="1"/>
    <col min="1040" max="1040" width="5.109375" style="100" customWidth="1"/>
    <col min="1041" max="1283" width="25.6640625" style="100"/>
    <col min="1284" max="1284" width="14.109375" style="100" customWidth="1"/>
    <col min="1285" max="1285" width="10.88671875" style="100" customWidth="1"/>
    <col min="1286" max="1287" width="9.33203125" style="100" customWidth="1"/>
    <col min="1288" max="1288" width="10.44140625" style="100" customWidth="1"/>
    <col min="1289" max="1289" width="10.6640625" style="100" customWidth="1"/>
    <col min="1290" max="1290" width="9.6640625" style="100" customWidth="1"/>
    <col min="1291" max="1291" width="10.5546875" style="100" customWidth="1"/>
    <col min="1292" max="1292" width="10.6640625" style="100" customWidth="1"/>
    <col min="1293" max="1293" width="11.33203125" style="100" customWidth="1"/>
    <col min="1294" max="1294" width="10.6640625" style="100" customWidth="1"/>
    <col min="1295" max="1295" width="10.44140625" style="100" customWidth="1"/>
    <col min="1296" max="1296" width="5.109375" style="100" customWidth="1"/>
    <col min="1297" max="1539" width="25.6640625" style="100"/>
    <col min="1540" max="1540" width="14.109375" style="100" customWidth="1"/>
    <col min="1541" max="1541" width="10.88671875" style="100" customWidth="1"/>
    <col min="1542" max="1543" width="9.33203125" style="100" customWidth="1"/>
    <col min="1544" max="1544" width="10.44140625" style="100" customWidth="1"/>
    <col min="1545" max="1545" width="10.6640625" style="100" customWidth="1"/>
    <col min="1546" max="1546" width="9.6640625" style="100" customWidth="1"/>
    <col min="1547" max="1547" width="10.5546875" style="100" customWidth="1"/>
    <col min="1548" max="1548" width="10.6640625" style="100" customWidth="1"/>
    <col min="1549" max="1549" width="11.33203125" style="100" customWidth="1"/>
    <col min="1550" max="1550" width="10.6640625" style="100" customWidth="1"/>
    <col min="1551" max="1551" width="10.44140625" style="100" customWidth="1"/>
    <col min="1552" max="1552" width="5.109375" style="100" customWidth="1"/>
    <col min="1553" max="1795" width="25.6640625" style="100"/>
    <col min="1796" max="1796" width="14.109375" style="100" customWidth="1"/>
    <col min="1797" max="1797" width="10.88671875" style="100" customWidth="1"/>
    <col min="1798" max="1799" width="9.33203125" style="100" customWidth="1"/>
    <col min="1800" max="1800" width="10.44140625" style="100" customWidth="1"/>
    <col min="1801" max="1801" width="10.6640625" style="100" customWidth="1"/>
    <col min="1802" max="1802" width="9.6640625" style="100" customWidth="1"/>
    <col min="1803" max="1803" width="10.5546875" style="100" customWidth="1"/>
    <col min="1804" max="1804" width="10.6640625" style="100" customWidth="1"/>
    <col min="1805" max="1805" width="11.33203125" style="100" customWidth="1"/>
    <col min="1806" max="1806" width="10.6640625" style="100" customWidth="1"/>
    <col min="1807" max="1807" width="10.44140625" style="100" customWidth="1"/>
    <col min="1808" max="1808" width="5.109375" style="100" customWidth="1"/>
    <col min="1809" max="2051" width="25.6640625" style="100"/>
    <col min="2052" max="2052" width="14.109375" style="100" customWidth="1"/>
    <col min="2053" max="2053" width="10.88671875" style="100" customWidth="1"/>
    <col min="2054" max="2055" width="9.33203125" style="100" customWidth="1"/>
    <col min="2056" max="2056" width="10.44140625" style="100" customWidth="1"/>
    <col min="2057" max="2057" width="10.6640625" style="100" customWidth="1"/>
    <col min="2058" max="2058" width="9.6640625" style="100" customWidth="1"/>
    <col min="2059" max="2059" width="10.5546875" style="100" customWidth="1"/>
    <col min="2060" max="2060" width="10.6640625" style="100" customWidth="1"/>
    <col min="2061" max="2061" width="11.33203125" style="100" customWidth="1"/>
    <col min="2062" max="2062" width="10.6640625" style="100" customWidth="1"/>
    <col min="2063" max="2063" width="10.44140625" style="100" customWidth="1"/>
    <col min="2064" max="2064" width="5.109375" style="100" customWidth="1"/>
    <col min="2065" max="2307" width="25.6640625" style="100"/>
    <col min="2308" max="2308" width="14.109375" style="100" customWidth="1"/>
    <col min="2309" max="2309" width="10.88671875" style="100" customWidth="1"/>
    <col min="2310" max="2311" width="9.33203125" style="100" customWidth="1"/>
    <col min="2312" max="2312" width="10.44140625" style="100" customWidth="1"/>
    <col min="2313" max="2313" width="10.6640625" style="100" customWidth="1"/>
    <col min="2314" max="2314" width="9.6640625" style="100" customWidth="1"/>
    <col min="2315" max="2315" width="10.5546875" style="100" customWidth="1"/>
    <col min="2316" max="2316" width="10.6640625" style="100" customWidth="1"/>
    <col min="2317" max="2317" width="11.33203125" style="100" customWidth="1"/>
    <col min="2318" max="2318" width="10.6640625" style="100" customWidth="1"/>
    <col min="2319" max="2319" width="10.44140625" style="100" customWidth="1"/>
    <col min="2320" max="2320" width="5.109375" style="100" customWidth="1"/>
    <col min="2321" max="2563" width="25.6640625" style="100"/>
    <col min="2564" max="2564" width="14.109375" style="100" customWidth="1"/>
    <col min="2565" max="2565" width="10.88671875" style="100" customWidth="1"/>
    <col min="2566" max="2567" width="9.33203125" style="100" customWidth="1"/>
    <col min="2568" max="2568" width="10.44140625" style="100" customWidth="1"/>
    <col min="2569" max="2569" width="10.6640625" style="100" customWidth="1"/>
    <col min="2570" max="2570" width="9.6640625" style="100" customWidth="1"/>
    <col min="2571" max="2571" width="10.5546875" style="100" customWidth="1"/>
    <col min="2572" max="2572" width="10.6640625" style="100" customWidth="1"/>
    <col min="2573" max="2573" width="11.33203125" style="100" customWidth="1"/>
    <col min="2574" max="2574" width="10.6640625" style="100" customWidth="1"/>
    <col min="2575" max="2575" width="10.44140625" style="100" customWidth="1"/>
    <col min="2576" max="2576" width="5.109375" style="100" customWidth="1"/>
    <col min="2577" max="2819" width="25.6640625" style="100"/>
    <col min="2820" max="2820" width="14.109375" style="100" customWidth="1"/>
    <col min="2821" max="2821" width="10.88671875" style="100" customWidth="1"/>
    <col min="2822" max="2823" width="9.33203125" style="100" customWidth="1"/>
    <col min="2824" max="2824" width="10.44140625" style="100" customWidth="1"/>
    <col min="2825" max="2825" width="10.6640625" style="100" customWidth="1"/>
    <col min="2826" max="2826" width="9.6640625" style="100" customWidth="1"/>
    <col min="2827" max="2827" width="10.5546875" style="100" customWidth="1"/>
    <col min="2828" max="2828" width="10.6640625" style="100" customWidth="1"/>
    <col min="2829" max="2829" width="11.33203125" style="100" customWidth="1"/>
    <col min="2830" max="2830" width="10.6640625" style="100" customWidth="1"/>
    <col min="2831" max="2831" width="10.44140625" style="100" customWidth="1"/>
    <col min="2832" max="2832" width="5.109375" style="100" customWidth="1"/>
    <col min="2833" max="3075" width="25.6640625" style="100"/>
    <col min="3076" max="3076" width="14.109375" style="100" customWidth="1"/>
    <col min="3077" max="3077" width="10.88671875" style="100" customWidth="1"/>
    <col min="3078" max="3079" width="9.33203125" style="100" customWidth="1"/>
    <col min="3080" max="3080" width="10.44140625" style="100" customWidth="1"/>
    <col min="3081" max="3081" width="10.6640625" style="100" customWidth="1"/>
    <col min="3082" max="3082" width="9.6640625" style="100" customWidth="1"/>
    <col min="3083" max="3083" width="10.5546875" style="100" customWidth="1"/>
    <col min="3084" max="3084" width="10.6640625" style="100" customWidth="1"/>
    <col min="3085" max="3085" width="11.33203125" style="100" customWidth="1"/>
    <col min="3086" max="3086" width="10.6640625" style="100" customWidth="1"/>
    <col min="3087" max="3087" width="10.44140625" style="100" customWidth="1"/>
    <col min="3088" max="3088" width="5.109375" style="100" customWidth="1"/>
    <col min="3089" max="3331" width="25.6640625" style="100"/>
    <col min="3332" max="3332" width="14.109375" style="100" customWidth="1"/>
    <col min="3333" max="3333" width="10.88671875" style="100" customWidth="1"/>
    <col min="3334" max="3335" width="9.33203125" style="100" customWidth="1"/>
    <col min="3336" max="3336" width="10.44140625" style="100" customWidth="1"/>
    <col min="3337" max="3337" width="10.6640625" style="100" customWidth="1"/>
    <col min="3338" max="3338" width="9.6640625" style="100" customWidth="1"/>
    <col min="3339" max="3339" width="10.5546875" style="100" customWidth="1"/>
    <col min="3340" max="3340" width="10.6640625" style="100" customWidth="1"/>
    <col min="3341" max="3341" width="11.33203125" style="100" customWidth="1"/>
    <col min="3342" max="3342" width="10.6640625" style="100" customWidth="1"/>
    <col min="3343" max="3343" width="10.44140625" style="100" customWidth="1"/>
    <col min="3344" max="3344" width="5.109375" style="100" customWidth="1"/>
    <col min="3345" max="3587" width="25.6640625" style="100"/>
    <col min="3588" max="3588" width="14.109375" style="100" customWidth="1"/>
    <col min="3589" max="3589" width="10.88671875" style="100" customWidth="1"/>
    <col min="3590" max="3591" width="9.33203125" style="100" customWidth="1"/>
    <col min="3592" max="3592" width="10.44140625" style="100" customWidth="1"/>
    <col min="3593" max="3593" width="10.6640625" style="100" customWidth="1"/>
    <col min="3594" max="3594" width="9.6640625" style="100" customWidth="1"/>
    <col min="3595" max="3595" width="10.5546875" style="100" customWidth="1"/>
    <col min="3596" max="3596" width="10.6640625" style="100" customWidth="1"/>
    <col min="3597" max="3597" width="11.33203125" style="100" customWidth="1"/>
    <col min="3598" max="3598" width="10.6640625" style="100" customWidth="1"/>
    <col min="3599" max="3599" width="10.44140625" style="100" customWidth="1"/>
    <col min="3600" max="3600" width="5.109375" style="100" customWidth="1"/>
    <col min="3601" max="3843" width="25.6640625" style="100"/>
    <col min="3844" max="3844" width="14.109375" style="100" customWidth="1"/>
    <col min="3845" max="3845" width="10.88671875" style="100" customWidth="1"/>
    <col min="3846" max="3847" width="9.33203125" style="100" customWidth="1"/>
    <col min="3848" max="3848" width="10.44140625" style="100" customWidth="1"/>
    <col min="3849" max="3849" width="10.6640625" style="100" customWidth="1"/>
    <col min="3850" max="3850" width="9.6640625" style="100" customWidth="1"/>
    <col min="3851" max="3851" width="10.5546875" style="100" customWidth="1"/>
    <col min="3852" max="3852" width="10.6640625" style="100" customWidth="1"/>
    <col min="3853" max="3853" width="11.33203125" style="100" customWidth="1"/>
    <col min="3854" max="3854" width="10.6640625" style="100" customWidth="1"/>
    <col min="3855" max="3855" width="10.44140625" style="100" customWidth="1"/>
    <col min="3856" max="3856" width="5.109375" style="100" customWidth="1"/>
    <col min="3857" max="4099" width="25.6640625" style="100"/>
    <col min="4100" max="4100" width="14.109375" style="100" customWidth="1"/>
    <col min="4101" max="4101" width="10.88671875" style="100" customWidth="1"/>
    <col min="4102" max="4103" width="9.33203125" style="100" customWidth="1"/>
    <col min="4104" max="4104" width="10.44140625" style="100" customWidth="1"/>
    <col min="4105" max="4105" width="10.6640625" style="100" customWidth="1"/>
    <col min="4106" max="4106" width="9.6640625" style="100" customWidth="1"/>
    <col min="4107" max="4107" width="10.5546875" style="100" customWidth="1"/>
    <col min="4108" max="4108" width="10.6640625" style="100" customWidth="1"/>
    <col min="4109" max="4109" width="11.33203125" style="100" customWidth="1"/>
    <col min="4110" max="4110" width="10.6640625" style="100" customWidth="1"/>
    <col min="4111" max="4111" width="10.44140625" style="100" customWidth="1"/>
    <col min="4112" max="4112" width="5.109375" style="100" customWidth="1"/>
    <col min="4113" max="4355" width="25.6640625" style="100"/>
    <col min="4356" max="4356" width="14.109375" style="100" customWidth="1"/>
    <col min="4357" max="4357" width="10.88671875" style="100" customWidth="1"/>
    <col min="4358" max="4359" width="9.33203125" style="100" customWidth="1"/>
    <col min="4360" max="4360" width="10.44140625" style="100" customWidth="1"/>
    <col min="4361" max="4361" width="10.6640625" style="100" customWidth="1"/>
    <col min="4362" max="4362" width="9.6640625" style="100" customWidth="1"/>
    <col min="4363" max="4363" width="10.5546875" style="100" customWidth="1"/>
    <col min="4364" max="4364" width="10.6640625" style="100" customWidth="1"/>
    <col min="4365" max="4365" width="11.33203125" style="100" customWidth="1"/>
    <col min="4366" max="4366" width="10.6640625" style="100" customWidth="1"/>
    <col min="4367" max="4367" width="10.44140625" style="100" customWidth="1"/>
    <col min="4368" max="4368" width="5.109375" style="100" customWidth="1"/>
    <col min="4369" max="4611" width="25.6640625" style="100"/>
    <col min="4612" max="4612" width="14.109375" style="100" customWidth="1"/>
    <col min="4613" max="4613" width="10.88671875" style="100" customWidth="1"/>
    <col min="4614" max="4615" width="9.33203125" style="100" customWidth="1"/>
    <col min="4616" max="4616" width="10.44140625" style="100" customWidth="1"/>
    <col min="4617" max="4617" width="10.6640625" style="100" customWidth="1"/>
    <col min="4618" max="4618" width="9.6640625" style="100" customWidth="1"/>
    <col min="4619" max="4619" width="10.5546875" style="100" customWidth="1"/>
    <col min="4620" max="4620" width="10.6640625" style="100" customWidth="1"/>
    <col min="4621" max="4621" width="11.33203125" style="100" customWidth="1"/>
    <col min="4622" max="4622" width="10.6640625" style="100" customWidth="1"/>
    <col min="4623" max="4623" width="10.44140625" style="100" customWidth="1"/>
    <col min="4624" max="4624" width="5.109375" style="100" customWidth="1"/>
    <col min="4625" max="4867" width="25.6640625" style="100"/>
    <col min="4868" max="4868" width="14.109375" style="100" customWidth="1"/>
    <col min="4869" max="4869" width="10.88671875" style="100" customWidth="1"/>
    <col min="4870" max="4871" width="9.33203125" style="100" customWidth="1"/>
    <col min="4872" max="4872" width="10.44140625" style="100" customWidth="1"/>
    <col min="4873" max="4873" width="10.6640625" style="100" customWidth="1"/>
    <col min="4874" max="4874" width="9.6640625" style="100" customWidth="1"/>
    <col min="4875" max="4875" width="10.5546875" style="100" customWidth="1"/>
    <col min="4876" max="4876" width="10.6640625" style="100" customWidth="1"/>
    <col min="4877" max="4877" width="11.33203125" style="100" customWidth="1"/>
    <col min="4878" max="4878" width="10.6640625" style="100" customWidth="1"/>
    <col min="4879" max="4879" width="10.44140625" style="100" customWidth="1"/>
    <col min="4880" max="4880" width="5.109375" style="100" customWidth="1"/>
    <col min="4881" max="5123" width="25.6640625" style="100"/>
    <col min="5124" max="5124" width="14.109375" style="100" customWidth="1"/>
    <col min="5125" max="5125" width="10.88671875" style="100" customWidth="1"/>
    <col min="5126" max="5127" width="9.33203125" style="100" customWidth="1"/>
    <col min="5128" max="5128" width="10.44140625" style="100" customWidth="1"/>
    <col min="5129" max="5129" width="10.6640625" style="100" customWidth="1"/>
    <col min="5130" max="5130" width="9.6640625" style="100" customWidth="1"/>
    <col min="5131" max="5131" width="10.5546875" style="100" customWidth="1"/>
    <col min="5132" max="5132" width="10.6640625" style="100" customWidth="1"/>
    <col min="5133" max="5133" width="11.33203125" style="100" customWidth="1"/>
    <col min="5134" max="5134" width="10.6640625" style="100" customWidth="1"/>
    <col min="5135" max="5135" width="10.44140625" style="100" customWidth="1"/>
    <col min="5136" max="5136" width="5.109375" style="100" customWidth="1"/>
    <col min="5137" max="5379" width="25.6640625" style="100"/>
    <col min="5380" max="5380" width="14.109375" style="100" customWidth="1"/>
    <col min="5381" max="5381" width="10.88671875" style="100" customWidth="1"/>
    <col min="5382" max="5383" width="9.33203125" style="100" customWidth="1"/>
    <col min="5384" max="5384" width="10.44140625" style="100" customWidth="1"/>
    <col min="5385" max="5385" width="10.6640625" style="100" customWidth="1"/>
    <col min="5386" max="5386" width="9.6640625" style="100" customWidth="1"/>
    <col min="5387" max="5387" width="10.5546875" style="100" customWidth="1"/>
    <col min="5388" max="5388" width="10.6640625" style="100" customWidth="1"/>
    <col min="5389" max="5389" width="11.33203125" style="100" customWidth="1"/>
    <col min="5390" max="5390" width="10.6640625" style="100" customWidth="1"/>
    <col min="5391" max="5391" width="10.44140625" style="100" customWidth="1"/>
    <col min="5392" max="5392" width="5.109375" style="100" customWidth="1"/>
    <col min="5393" max="5635" width="25.6640625" style="100"/>
    <col min="5636" max="5636" width="14.109375" style="100" customWidth="1"/>
    <col min="5637" max="5637" width="10.88671875" style="100" customWidth="1"/>
    <col min="5638" max="5639" width="9.33203125" style="100" customWidth="1"/>
    <col min="5640" max="5640" width="10.44140625" style="100" customWidth="1"/>
    <col min="5641" max="5641" width="10.6640625" style="100" customWidth="1"/>
    <col min="5642" max="5642" width="9.6640625" style="100" customWidth="1"/>
    <col min="5643" max="5643" width="10.5546875" style="100" customWidth="1"/>
    <col min="5644" max="5644" width="10.6640625" style="100" customWidth="1"/>
    <col min="5645" max="5645" width="11.33203125" style="100" customWidth="1"/>
    <col min="5646" max="5646" width="10.6640625" style="100" customWidth="1"/>
    <col min="5647" max="5647" width="10.44140625" style="100" customWidth="1"/>
    <col min="5648" max="5648" width="5.109375" style="100" customWidth="1"/>
    <col min="5649" max="5891" width="25.6640625" style="100"/>
    <col min="5892" max="5892" width="14.109375" style="100" customWidth="1"/>
    <col min="5893" max="5893" width="10.88671875" style="100" customWidth="1"/>
    <col min="5894" max="5895" width="9.33203125" style="100" customWidth="1"/>
    <col min="5896" max="5896" width="10.44140625" style="100" customWidth="1"/>
    <col min="5897" max="5897" width="10.6640625" style="100" customWidth="1"/>
    <col min="5898" max="5898" width="9.6640625" style="100" customWidth="1"/>
    <col min="5899" max="5899" width="10.5546875" style="100" customWidth="1"/>
    <col min="5900" max="5900" width="10.6640625" style="100" customWidth="1"/>
    <col min="5901" max="5901" width="11.33203125" style="100" customWidth="1"/>
    <col min="5902" max="5902" width="10.6640625" style="100" customWidth="1"/>
    <col min="5903" max="5903" width="10.44140625" style="100" customWidth="1"/>
    <col min="5904" max="5904" width="5.109375" style="100" customWidth="1"/>
    <col min="5905" max="6147" width="25.6640625" style="100"/>
    <col min="6148" max="6148" width="14.109375" style="100" customWidth="1"/>
    <col min="6149" max="6149" width="10.88671875" style="100" customWidth="1"/>
    <col min="6150" max="6151" width="9.33203125" style="100" customWidth="1"/>
    <col min="6152" max="6152" width="10.44140625" style="100" customWidth="1"/>
    <col min="6153" max="6153" width="10.6640625" style="100" customWidth="1"/>
    <col min="6154" max="6154" width="9.6640625" style="100" customWidth="1"/>
    <col min="6155" max="6155" width="10.5546875" style="100" customWidth="1"/>
    <col min="6156" max="6156" width="10.6640625" style="100" customWidth="1"/>
    <col min="6157" max="6157" width="11.33203125" style="100" customWidth="1"/>
    <col min="6158" max="6158" width="10.6640625" style="100" customWidth="1"/>
    <col min="6159" max="6159" width="10.44140625" style="100" customWidth="1"/>
    <col min="6160" max="6160" width="5.109375" style="100" customWidth="1"/>
    <col min="6161" max="6403" width="25.6640625" style="100"/>
    <col min="6404" max="6404" width="14.109375" style="100" customWidth="1"/>
    <col min="6405" max="6405" width="10.88671875" style="100" customWidth="1"/>
    <col min="6406" max="6407" width="9.33203125" style="100" customWidth="1"/>
    <col min="6408" max="6408" width="10.44140625" style="100" customWidth="1"/>
    <col min="6409" max="6409" width="10.6640625" style="100" customWidth="1"/>
    <col min="6410" max="6410" width="9.6640625" style="100" customWidth="1"/>
    <col min="6411" max="6411" width="10.5546875" style="100" customWidth="1"/>
    <col min="6412" max="6412" width="10.6640625" style="100" customWidth="1"/>
    <col min="6413" max="6413" width="11.33203125" style="100" customWidth="1"/>
    <col min="6414" max="6414" width="10.6640625" style="100" customWidth="1"/>
    <col min="6415" max="6415" width="10.44140625" style="100" customWidth="1"/>
    <col min="6416" max="6416" width="5.109375" style="100" customWidth="1"/>
    <col min="6417" max="6659" width="25.6640625" style="100"/>
    <col min="6660" max="6660" width="14.109375" style="100" customWidth="1"/>
    <col min="6661" max="6661" width="10.88671875" style="100" customWidth="1"/>
    <col min="6662" max="6663" width="9.33203125" style="100" customWidth="1"/>
    <col min="6664" max="6664" width="10.44140625" style="100" customWidth="1"/>
    <col min="6665" max="6665" width="10.6640625" style="100" customWidth="1"/>
    <col min="6666" max="6666" width="9.6640625" style="100" customWidth="1"/>
    <col min="6667" max="6667" width="10.5546875" style="100" customWidth="1"/>
    <col min="6668" max="6668" width="10.6640625" style="100" customWidth="1"/>
    <col min="6669" max="6669" width="11.33203125" style="100" customWidth="1"/>
    <col min="6670" max="6670" width="10.6640625" style="100" customWidth="1"/>
    <col min="6671" max="6671" width="10.44140625" style="100" customWidth="1"/>
    <col min="6672" max="6672" width="5.109375" style="100" customWidth="1"/>
    <col min="6673" max="6915" width="25.6640625" style="100"/>
    <col min="6916" max="6916" width="14.109375" style="100" customWidth="1"/>
    <col min="6917" max="6917" width="10.88671875" style="100" customWidth="1"/>
    <col min="6918" max="6919" width="9.33203125" style="100" customWidth="1"/>
    <col min="6920" max="6920" width="10.44140625" style="100" customWidth="1"/>
    <col min="6921" max="6921" width="10.6640625" style="100" customWidth="1"/>
    <col min="6922" max="6922" width="9.6640625" style="100" customWidth="1"/>
    <col min="6923" max="6923" width="10.5546875" style="100" customWidth="1"/>
    <col min="6924" max="6924" width="10.6640625" style="100" customWidth="1"/>
    <col min="6925" max="6925" width="11.33203125" style="100" customWidth="1"/>
    <col min="6926" max="6926" width="10.6640625" style="100" customWidth="1"/>
    <col min="6927" max="6927" width="10.44140625" style="100" customWidth="1"/>
    <col min="6928" max="6928" width="5.109375" style="100" customWidth="1"/>
    <col min="6929" max="7171" width="25.6640625" style="100"/>
    <col min="7172" max="7172" width="14.109375" style="100" customWidth="1"/>
    <col min="7173" max="7173" width="10.88671875" style="100" customWidth="1"/>
    <col min="7174" max="7175" width="9.33203125" style="100" customWidth="1"/>
    <col min="7176" max="7176" width="10.44140625" style="100" customWidth="1"/>
    <col min="7177" max="7177" width="10.6640625" style="100" customWidth="1"/>
    <col min="7178" max="7178" width="9.6640625" style="100" customWidth="1"/>
    <col min="7179" max="7179" width="10.5546875" style="100" customWidth="1"/>
    <col min="7180" max="7180" width="10.6640625" style="100" customWidth="1"/>
    <col min="7181" max="7181" width="11.33203125" style="100" customWidth="1"/>
    <col min="7182" max="7182" width="10.6640625" style="100" customWidth="1"/>
    <col min="7183" max="7183" width="10.44140625" style="100" customWidth="1"/>
    <col min="7184" max="7184" width="5.109375" style="100" customWidth="1"/>
    <col min="7185" max="7427" width="25.6640625" style="100"/>
    <col min="7428" max="7428" width="14.109375" style="100" customWidth="1"/>
    <col min="7429" max="7429" width="10.88671875" style="100" customWidth="1"/>
    <col min="7430" max="7431" width="9.33203125" style="100" customWidth="1"/>
    <col min="7432" max="7432" width="10.44140625" style="100" customWidth="1"/>
    <col min="7433" max="7433" width="10.6640625" style="100" customWidth="1"/>
    <col min="7434" max="7434" width="9.6640625" style="100" customWidth="1"/>
    <col min="7435" max="7435" width="10.5546875" style="100" customWidth="1"/>
    <col min="7436" max="7436" width="10.6640625" style="100" customWidth="1"/>
    <col min="7437" max="7437" width="11.33203125" style="100" customWidth="1"/>
    <col min="7438" max="7438" width="10.6640625" style="100" customWidth="1"/>
    <col min="7439" max="7439" width="10.44140625" style="100" customWidth="1"/>
    <col min="7440" max="7440" width="5.109375" style="100" customWidth="1"/>
    <col min="7441" max="7683" width="25.6640625" style="100"/>
    <col min="7684" max="7684" width="14.109375" style="100" customWidth="1"/>
    <col min="7685" max="7685" width="10.88671875" style="100" customWidth="1"/>
    <col min="7686" max="7687" width="9.33203125" style="100" customWidth="1"/>
    <col min="7688" max="7688" width="10.44140625" style="100" customWidth="1"/>
    <col min="7689" max="7689" width="10.6640625" style="100" customWidth="1"/>
    <col min="7690" max="7690" width="9.6640625" style="100" customWidth="1"/>
    <col min="7691" max="7691" width="10.5546875" style="100" customWidth="1"/>
    <col min="7692" max="7692" width="10.6640625" style="100" customWidth="1"/>
    <col min="7693" max="7693" width="11.33203125" style="100" customWidth="1"/>
    <col min="7694" max="7694" width="10.6640625" style="100" customWidth="1"/>
    <col min="7695" max="7695" width="10.44140625" style="100" customWidth="1"/>
    <col min="7696" max="7696" width="5.109375" style="100" customWidth="1"/>
    <col min="7697" max="7939" width="25.6640625" style="100"/>
    <col min="7940" max="7940" width="14.109375" style="100" customWidth="1"/>
    <col min="7941" max="7941" width="10.88671875" style="100" customWidth="1"/>
    <col min="7942" max="7943" width="9.33203125" style="100" customWidth="1"/>
    <col min="7944" max="7944" width="10.44140625" style="100" customWidth="1"/>
    <col min="7945" max="7945" width="10.6640625" style="100" customWidth="1"/>
    <col min="7946" max="7946" width="9.6640625" style="100" customWidth="1"/>
    <col min="7947" max="7947" width="10.5546875" style="100" customWidth="1"/>
    <col min="7948" max="7948" width="10.6640625" style="100" customWidth="1"/>
    <col min="7949" max="7949" width="11.33203125" style="100" customWidth="1"/>
    <col min="7950" max="7950" width="10.6640625" style="100" customWidth="1"/>
    <col min="7951" max="7951" width="10.44140625" style="100" customWidth="1"/>
    <col min="7952" max="7952" width="5.109375" style="100" customWidth="1"/>
    <col min="7953" max="8195" width="25.6640625" style="100"/>
    <col min="8196" max="8196" width="14.109375" style="100" customWidth="1"/>
    <col min="8197" max="8197" width="10.88671875" style="100" customWidth="1"/>
    <col min="8198" max="8199" width="9.33203125" style="100" customWidth="1"/>
    <col min="8200" max="8200" width="10.44140625" style="100" customWidth="1"/>
    <col min="8201" max="8201" width="10.6640625" style="100" customWidth="1"/>
    <col min="8202" max="8202" width="9.6640625" style="100" customWidth="1"/>
    <col min="8203" max="8203" width="10.5546875" style="100" customWidth="1"/>
    <col min="8204" max="8204" width="10.6640625" style="100" customWidth="1"/>
    <col min="8205" max="8205" width="11.33203125" style="100" customWidth="1"/>
    <col min="8206" max="8206" width="10.6640625" style="100" customWidth="1"/>
    <col min="8207" max="8207" width="10.44140625" style="100" customWidth="1"/>
    <col min="8208" max="8208" width="5.109375" style="100" customWidth="1"/>
    <col min="8209" max="8451" width="25.6640625" style="100"/>
    <col min="8452" max="8452" width="14.109375" style="100" customWidth="1"/>
    <col min="8453" max="8453" width="10.88671875" style="100" customWidth="1"/>
    <col min="8454" max="8455" width="9.33203125" style="100" customWidth="1"/>
    <col min="8456" max="8456" width="10.44140625" style="100" customWidth="1"/>
    <col min="8457" max="8457" width="10.6640625" style="100" customWidth="1"/>
    <col min="8458" max="8458" width="9.6640625" style="100" customWidth="1"/>
    <col min="8459" max="8459" width="10.5546875" style="100" customWidth="1"/>
    <col min="8460" max="8460" width="10.6640625" style="100" customWidth="1"/>
    <col min="8461" max="8461" width="11.33203125" style="100" customWidth="1"/>
    <col min="8462" max="8462" width="10.6640625" style="100" customWidth="1"/>
    <col min="8463" max="8463" width="10.44140625" style="100" customWidth="1"/>
    <col min="8464" max="8464" width="5.109375" style="100" customWidth="1"/>
    <col min="8465" max="8707" width="25.6640625" style="100"/>
    <col min="8708" max="8708" width="14.109375" style="100" customWidth="1"/>
    <col min="8709" max="8709" width="10.88671875" style="100" customWidth="1"/>
    <col min="8710" max="8711" width="9.33203125" style="100" customWidth="1"/>
    <col min="8712" max="8712" width="10.44140625" style="100" customWidth="1"/>
    <col min="8713" max="8713" width="10.6640625" style="100" customWidth="1"/>
    <col min="8714" max="8714" width="9.6640625" style="100" customWidth="1"/>
    <col min="8715" max="8715" width="10.5546875" style="100" customWidth="1"/>
    <col min="8716" max="8716" width="10.6640625" style="100" customWidth="1"/>
    <col min="8717" max="8717" width="11.33203125" style="100" customWidth="1"/>
    <col min="8718" max="8718" width="10.6640625" style="100" customWidth="1"/>
    <col min="8719" max="8719" width="10.44140625" style="100" customWidth="1"/>
    <col min="8720" max="8720" width="5.109375" style="100" customWidth="1"/>
    <col min="8721" max="8963" width="25.6640625" style="100"/>
    <col min="8964" max="8964" width="14.109375" style="100" customWidth="1"/>
    <col min="8965" max="8965" width="10.88671875" style="100" customWidth="1"/>
    <col min="8966" max="8967" width="9.33203125" style="100" customWidth="1"/>
    <col min="8968" max="8968" width="10.44140625" style="100" customWidth="1"/>
    <col min="8969" max="8969" width="10.6640625" style="100" customWidth="1"/>
    <col min="8970" max="8970" width="9.6640625" style="100" customWidth="1"/>
    <col min="8971" max="8971" width="10.5546875" style="100" customWidth="1"/>
    <col min="8972" max="8972" width="10.6640625" style="100" customWidth="1"/>
    <col min="8973" max="8973" width="11.33203125" style="100" customWidth="1"/>
    <col min="8974" max="8974" width="10.6640625" style="100" customWidth="1"/>
    <col min="8975" max="8975" width="10.44140625" style="100" customWidth="1"/>
    <col min="8976" max="8976" width="5.109375" style="100" customWidth="1"/>
    <col min="8977" max="9219" width="25.6640625" style="100"/>
    <col min="9220" max="9220" width="14.109375" style="100" customWidth="1"/>
    <col min="9221" max="9221" width="10.88671875" style="100" customWidth="1"/>
    <col min="9222" max="9223" width="9.33203125" style="100" customWidth="1"/>
    <col min="9224" max="9224" width="10.44140625" style="100" customWidth="1"/>
    <col min="9225" max="9225" width="10.6640625" style="100" customWidth="1"/>
    <col min="9226" max="9226" width="9.6640625" style="100" customWidth="1"/>
    <col min="9227" max="9227" width="10.5546875" style="100" customWidth="1"/>
    <col min="9228" max="9228" width="10.6640625" style="100" customWidth="1"/>
    <col min="9229" max="9229" width="11.33203125" style="100" customWidth="1"/>
    <col min="9230" max="9230" width="10.6640625" style="100" customWidth="1"/>
    <col min="9231" max="9231" width="10.44140625" style="100" customWidth="1"/>
    <col min="9232" max="9232" width="5.109375" style="100" customWidth="1"/>
    <col min="9233" max="9475" width="25.6640625" style="100"/>
    <col min="9476" max="9476" width="14.109375" style="100" customWidth="1"/>
    <col min="9477" max="9477" width="10.88671875" style="100" customWidth="1"/>
    <col min="9478" max="9479" width="9.33203125" style="100" customWidth="1"/>
    <col min="9480" max="9480" width="10.44140625" style="100" customWidth="1"/>
    <col min="9481" max="9481" width="10.6640625" style="100" customWidth="1"/>
    <col min="9482" max="9482" width="9.6640625" style="100" customWidth="1"/>
    <col min="9483" max="9483" width="10.5546875" style="100" customWidth="1"/>
    <col min="9484" max="9484" width="10.6640625" style="100" customWidth="1"/>
    <col min="9485" max="9485" width="11.33203125" style="100" customWidth="1"/>
    <col min="9486" max="9486" width="10.6640625" style="100" customWidth="1"/>
    <col min="9487" max="9487" width="10.44140625" style="100" customWidth="1"/>
    <col min="9488" max="9488" width="5.109375" style="100" customWidth="1"/>
    <col min="9489" max="9731" width="25.6640625" style="100"/>
    <col min="9732" max="9732" width="14.109375" style="100" customWidth="1"/>
    <col min="9733" max="9733" width="10.88671875" style="100" customWidth="1"/>
    <col min="9734" max="9735" width="9.33203125" style="100" customWidth="1"/>
    <col min="9736" max="9736" width="10.44140625" style="100" customWidth="1"/>
    <col min="9737" max="9737" width="10.6640625" style="100" customWidth="1"/>
    <col min="9738" max="9738" width="9.6640625" style="100" customWidth="1"/>
    <col min="9739" max="9739" width="10.5546875" style="100" customWidth="1"/>
    <col min="9740" max="9740" width="10.6640625" style="100" customWidth="1"/>
    <col min="9741" max="9741" width="11.33203125" style="100" customWidth="1"/>
    <col min="9742" max="9742" width="10.6640625" style="100" customWidth="1"/>
    <col min="9743" max="9743" width="10.44140625" style="100" customWidth="1"/>
    <col min="9744" max="9744" width="5.109375" style="100" customWidth="1"/>
    <col min="9745" max="9987" width="25.6640625" style="100"/>
    <col min="9988" max="9988" width="14.109375" style="100" customWidth="1"/>
    <col min="9989" max="9989" width="10.88671875" style="100" customWidth="1"/>
    <col min="9990" max="9991" width="9.33203125" style="100" customWidth="1"/>
    <col min="9992" max="9992" width="10.44140625" style="100" customWidth="1"/>
    <col min="9993" max="9993" width="10.6640625" style="100" customWidth="1"/>
    <col min="9994" max="9994" width="9.6640625" style="100" customWidth="1"/>
    <col min="9995" max="9995" width="10.5546875" style="100" customWidth="1"/>
    <col min="9996" max="9996" width="10.6640625" style="100" customWidth="1"/>
    <col min="9997" max="9997" width="11.33203125" style="100" customWidth="1"/>
    <col min="9998" max="9998" width="10.6640625" style="100" customWidth="1"/>
    <col min="9999" max="9999" width="10.44140625" style="100" customWidth="1"/>
    <col min="10000" max="10000" width="5.109375" style="100" customWidth="1"/>
    <col min="10001" max="10243" width="25.6640625" style="100"/>
    <col min="10244" max="10244" width="14.109375" style="100" customWidth="1"/>
    <col min="10245" max="10245" width="10.88671875" style="100" customWidth="1"/>
    <col min="10246" max="10247" width="9.33203125" style="100" customWidth="1"/>
    <col min="10248" max="10248" width="10.44140625" style="100" customWidth="1"/>
    <col min="10249" max="10249" width="10.6640625" style="100" customWidth="1"/>
    <col min="10250" max="10250" width="9.6640625" style="100" customWidth="1"/>
    <col min="10251" max="10251" width="10.5546875" style="100" customWidth="1"/>
    <col min="10252" max="10252" width="10.6640625" style="100" customWidth="1"/>
    <col min="10253" max="10253" width="11.33203125" style="100" customWidth="1"/>
    <col min="10254" max="10254" width="10.6640625" style="100" customWidth="1"/>
    <col min="10255" max="10255" width="10.44140625" style="100" customWidth="1"/>
    <col min="10256" max="10256" width="5.109375" style="100" customWidth="1"/>
    <col min="10257" max="10499" width="25.6640625" style="100"/>
    <col min="10500" max="10500" width="14.109375" style="100" customWidth="1"/>
    <col min="10501" max="10501" width="10.88671875" style="100" customWidth="1"/>
    <col min="10502" max="10503" width="9.33203125" style="100" customWidth="1"/>
    <col min="10504" max="10504" width="10.44140625" style="100" customWidth="1"/>
    <col min="10505" max="10505" width="10.6640625" style="100" customWidth="1"/>
    <col min="10506" max="10506" width="9.6640625" style="100" customWidth="1"/>
    <col min="10507" max="10507" width="10.5546875" style="100" customWidth="1"/>
    <col min="10508" max="10508" width="10.6640625" style="100" customWidth="1"/>
    <col min="10509" max="10509" width="11.33203125" style="100" customWidth="1"/>
    <col min="10510" max="10510" width="10.6640625" style="100" customWidth="1"/>
    <col min="10511" max="10511" width="10.44140625" style="100" customWidth="1"/>
    <col min="10512" max="10512" width="5.109375" style="100" customWidth="1"/>
    <col min="10513" max="10755" width="25.6640625" style="100"/>
    <col min="10756" max="10756" width="14.109375" style="100" customWidth="1"/>
    <col min="10757" max="10757" width="10.88671875" style="100" customWidth="1"/>
    <col min="10758" max="10759" width="9.33203125" style="100" customWidth="1"/>
    <col min="10760" max="10760" width="10.44140625" style="100" customWidth="1"/>
    <col min="10761" max="10761" width="10.6640625" style="100" customWidth="1"/>
    <col min="10762" max="10762" width="9.6640625" style="100" customWidth="1"/>
    <col min="10763" max="10763" width="10.5546875" style="100" customWidth="1"/>
    <col min="10764" max="10764" width="10.6640625" style="100" customWidth="1"/>
    <col min="10765" max="10765" width="11.33203125" style="100" customWidth="1"/>
    <col min="10766" max="10766" width="10.6640625" style="100" customWidth="1"/>
    <col min="10767" max="10767" width="10.44140625" style="100" customWidth="1"/>
    <col min="10768" max="10768" width="5.109375" style="100" customWidth="1"/>
    <col min="10769" max="11011" width="25.6640625" style="100"/>
    <col min="11012" max="11012" width="14.109375" style="100" customWidth="1"/>
    <col min="11013" max="11013" width="10.88671875" style="100" customWidth="1"/>
    <col min="11014" max="11015" width="9.33203125" style="100" customWidth="1"/>
    <col min="11016" max="11016" width="10.44140625" style="100" customWidth="1"/>
    <col min="11017" max="11017" width="10.6640625" style="100" customWidth="1"/>
    <col min="11018" max="11018" width="9.6640625" style="100" customWidth="1"/>
    <col min="11019" max="11019" width="10.5546875" style="100" customWidth="1"/>
    <col min="11020" max="11020" width="10.6640625" style="100" customWidth="1"/>
    <col min="11021" max="11021" width="11.33203125" style="100" customWidth="1"/>
    <col min="11022" max="11022" width="10.6640625" style="100" customWidth="1"/>
    <col min="11023" max="11023" width="10.44140625" style="100" customWidth="1"/>
    <col min="11024" max="11024" width="5.109375" style="100" customWidth="1"/>
    <col min="11025" max="11267" width="25.6640625" style="100"/>
    <col min="11268" max="11268" width="14.109375" style="100" customWidth="1"/>
    <col min="11269" max="11269" width="10.88671875" style="100" customWidth="1"/>
    <col min="11270" max="11271" width="9.33203125" style="100" customWidth="1"/>
    <col min="11272" max="11272" width="10.44140625" style="100" customWidth="1"/>
    <col min="11273" max="11273" width="10.6640625" style="100" customWidth="1"/>
    <col min="11274" max="11274" width="9.6640625" style="100" customWidth="1"/>
    <col min="11275" max="11275" width="10.5546875" style="100" customWidth="1"/>
    <col min="11276" max="11276" width="10.6640625" style="100" customWidth="1"/>
    <col min="11277" max="11277" width="11.33203125" style="100" customWidth="1"/>
    <col min="11278" max="11278" width="10.6640625" style="100" customWidth="1"/>
    <col min="11279" max="11279" width="10.44140625" style="100" customWidth="1"/>
    <col min="11280" max="11280" width="5.109375" style="100" customWidth="1"/>
    <col min="11281" max="11523" width="25.6640625" style="100"/>
    <col min="11524" max="11524" width="14.109375" style="100" customWidth="1"/>
    <col min="11525" max="11525" width="10.88671875" style="100" customWidth="1"/>
    <col min="11526" max="11527" width="9.33203125" style="100" customWidth="1"/>
    <col min="11528" max="11528" width="10.44140625" style="100" customWidth="1"/>
    <col min="11529" max="11529" width="10.6640625" style="100" customWidth="1"/>
    <col min="11530" max="11530" width="9.6640625" style="100" customWidth="1"/>
    <col min="11531" max="11531" width="10.5546875" style="100" customWidth="1"/>
    <col min="11532" max="11532" width="10.6640625" style="100" customWidth="1"/>
    <col min="11533" max="11533" width="11.33203125" style="100" customWidth="1"/>
    <col min="11534" max="11534" width="10.6640625" style="100" customWidth="1"/>
    <col min="11535" max="11535" width="10.44140625" style="100" customWidth="1"/>
    <col min="11536" max="11536" width="5.109375" style="100" customWidth="1"/>
    <col min="11537" max="11779" width="25.6640625" style="100"/>
    <col min="11780" max="11780" width="14.109375" style="100" customWidth="1"/>
    <col min="11781" max="11781" width="10.88671875" style="100" customWidth="1"/>
    <col min="11782" max="11783" width="9.33203125" style="100" customWidth="1"/>
    <col min="11784" max="11784" width="10.44140625" style="100" customWidth="1"/>
    <col min="11785" max="11785" width="10.6640625" style="100" customWidth="1"/>
    <col min="11786" max="11786" width="9.6640625" style="100" customWidth="1"/>
    <col min="11787" max="11787" width="10.5546875" style="100" customWidth="1"/>
    <col min="11788" max="11788" width="10.6640625" style="100" customWidth="1"/>
    <col min="11789" max="11789" width="11.33203125" style="100" customWidth="1"/>
    <col min="11790" max="11790" width="10.6640625" style="100" customWidth="1"/>
    <col min="11791" max="11791" width="10.44140625" style="100" customWidth="1"/>
    <col min="11792" max="11792" width="5.109375" style="100" customWidth="1"/>
    <col min="11793" max="12035" width="25.6640625" style="100"/>
    <col min="12036" max="12036" width="14.109375" style="100" customWidth="1"/>
    <col min="12037" max="12037" width="10.88671875" style="100" customWidth="1"/>
    <col min="12038" max="12039" width="9.33203125" style="100" customWidth="1"/>
    <col min="12040" max="12040" width="10.44140625" style="100" customWidth="1"/>
    <col min="12041" max="12041" width="10.6640625" style="100" customWidth="1"/>
    <col min="12042" max="12042" width="9.6640625" style="100" customWidth="1"/>
    <col min="12043" max="12043" width="10.5546875" style="100" customWidth="1"/>
    <col min="12044" max="12044" width="10.6640625" style="100" customWidth="1"/>
    <col min="12045" max="12045" width="11.33203125" style="100" customWidth="1"/>
    <col min="12046" max="12046" width="10.6640625" style="100" customWidth="1"/>
    <col min="12047" max="12047" width="10.44140625" style="100" customWidth="1"/>
    <col min="12048" max="12048" width="5.109375" style="100" customWidth="1"/>
    <col min="12049" max="12291" width="25.6640625" style="100"/>
    <col min="12292" max="12292" width="14.109375" style="100" customWidth="1"/>
    <col min="12293" max="12293" width="10.88671875" style="100" customWidth="1"/>
    <col min="12294" max="12295" width="9.33203125" style="100" customWidth="1"/>
    <col min="12296" max="12296" width="10.44140625" style="100" customWidth="1"/>
    <col min="12297" max="12297" width="10.6640625" style="100" customWidth="1"/>
    <col min="12298" max="12298" width="9.6640625" style="100" customWidth="1"/>
    <col min="12299" max="12299" width="10.5546875" style="100" customWidth="1"/>
    <col min="12300" max="12300" width="10.6640625" style="100" customWidth="1"/>
    <col min="12301" max="12301" width="11.33203125" style="100" customWidth="1"/>
    <col min="12302" max="12302" width="10.6640625" style="100" customWidth="1"/>
    <col min="12303" max="12303" width="10.44140625" style="100" customWidth="1"/>
    <col min="12304" max="12304" width="5.109375" style="100" customWidth="1"/>
    <col min="12305" max="12547" width="25.6640625" style="100"/>
    <col min="12548" max="12548" width="14.109375" style="100" customWidth="1"/>
    <col min="12549" max="12549" width="10.88671875" style="100" customWidth="1"/>
    <col min="12550" max="12551" width="9.33203125" style="100" customWidth="1"/>
    <col min="12552" max="12552" width="10.44140625" style="100" customWidth="1"/>
    <col min="12553" max="12553" width="10.6640625" style="100" customWidth="1"/>
    <col min="12554" max="12554" width="9.6640625" style="100" customWidth="1"/>
    <col min="12555" max="12555" width="10.5546875" style="100" customWidth="1"/>
    <col min="12556" max="12556" width="10.6640625" style="100" customWidth="1"/>
    <col min="12557" max="12557" width="11.33203125" style="100" customWidth="1"/>
    <col min="12558" max="12558" width="10.6640625" style="100" customWidth="1"/>
    <col min="12559" max="12559" width="10.44140625" style="100" customWidth="1"/>
    <col min="12560" max="12560" width="5.109375" style="100" customWidth="1"/>
    <col min="12561" max="12803" width="25.6640625" style="100"/>
    <col min="12804" max="12804" width="14.109375" style="100" customWidth="1"/>
    <col min="12805" max="12805" width="10.88671875" style="100" customWidth="1"/>
    <col min="12806" max="12807" width="9.33203125" style="100" customWidth="1"/>
    <col min="12808" max="12808" width="10.44140625" style="100" customWidth="1"/>
    <col min="12809" max="12809" width="10.6640625" style="100" customWidth="1"/>
    <col min="12810" max="12810" width="9.6640625" style="100" customWidth="1"/>
    <col min="12811" max="12811" width="10.5546875" style="100" customWidth="1"/>
    <col min="12812" max="12812" width="10.6640625" style="100" customWidth="1"/>
    <col min="12813" max="12813" width="11.33203125" style="100" customWidth="1"/>
    <col min="12814" max="12814" width="10.6640625" style="100" customWidth="1"/>
    <col min="12815" max="12815" width="10.44140625" style="100" customWidth="1"/>
    <col min="12816" max="12816" width="5.109375" style="100" customWidth="1"/>
    <col min="12817" max="13059" width="25.6640625" style="100"/>
    <col min="13060" max="13060" width="14.109375" style="100" customWidth="1"/>
    <col min="13061" max="13061" width="10.88671875" style="100" customWidth="1"/>
    <col min="13062" max="13063" width="9.33203125" style="100" customWidth="1"/>
    <col min="13064" max="13064" width="10.44140625" style="100" customWidth="1"/>
    <col min="13065" max="13065" width="10.6640625" style="100" customWidth="1"/>
    <col min="13066" max="13066" width="9.6640625" style="100" customWidth="1"/>
    <col min="13067" max="13067" width="10.5546875" style="100" customWidth="1"/>
    <col min="13068" max="13068" width="10.6640625" style="100" customWidth="1"/>
    <col min="13069" max="13069" width="11.33203125" style="100" customWidth="1"/>
    <col min="13070" max="13070" width="10.6640625" style="100" customWidth="1"/>
    <col min="13071" max="13071" width="10.44140625" style="100" customWidth="1"/>
    <col min="13072" max="13072" width="5.109375" style="100" customWidth="1"/>
    <col min="13073" max="13315" width="25.6640625" style="100"/>
    <col min="13316" max="13316" width="14.109375" style="100" customWidth="1"/>
    <col min="13317" max="13317" width="10.88671875" style="100" customWidth="1"/>
    <col min="13318" max="13319" width="9.33203125" style="100" customWidth="1"/>
    <col min="13320" max="13320" width="10.44140625" style="100" customWidth="1"/>
    <col min="13321" max="13321" width="10.6640625" style="100" customWidth="1"/>
    <col min="13322" max="13322" width="9.6640625" style="100" customWidth="1"/>
    <col min="13323" max="13323" width="10.5546875" style="100" customWidth="1"/>
    <col min="13324" max="13324" width="10.6640625" style="100" customWidth="1"/>
    <col min="13325" max="13325" width="11.33203125" style="100" customWidth="1"/>
    <col min="13326" max="13326" width="10.6640625" style="100" customWidth="1"/>
    <col min="13327" max="13327" width="10.44140625" style="100" customWidth="1"/>
    <col min="13328" max="13328" width="5.109375" style="100" customWidth="1"/>
    <col min="13329" max="13571" width="25.6640625" style="100"/>
    <col min="13572" max="13572" width="14.109375" style="100" customWidth="1"/>
    <col min="13573" max="13573" width="10.88671875" style="100" customWidth="1"/>
    <col min="13574" max="13575" width="9.33203125" style="100" customWidth="1"/>
    <col min="13576" max="13576" width="10.44140625" style="100" customWidth="1"/>
    <col min="13577" max="13577" width="10.6640625" style="100" customWidth="1"/>
    <col min="13578" max="13578" width="9.6640625" style="100" customWidth="1"/>
    <col min="13579" max="13579" width="10.5546875" style="100" customWidth="1"/>
    <col min="13580" max="13580" width="10.6640625" style="100" customWidth="1"/>
    <col min="13581" max="13581" width="11.33203125" style="100" customWidth="1"/>
    <col min="13582" max="13582" width="10.6640625" style="100" customWidth="1"/>
    <col min="13583" max="13583" width="10.44140625" style="100" customWidth="1"/>
    <col min="13584" max="13584" width="5.109375" style="100" customWidth="1"/>
    <col min="13585" max="13827" width="25.6640625" style="100"/>
    <col min="13828" max="13828" width="14.109375" style="100" customWidth="1"/>
    <col min="13829" max="13829" width="10.88671875" style="100" customWidth="1"/>
    <col min="13830" max="13831" width="9.33203125" style="100" customWidth="1"/>
    <col min="13832" max="13832" width="10.44140625" style="100" customWidth="1"/>
    <col min="13833" max="13833" width="10.6640625" style="100" customWidth="1"/>
    <col min="13834" max="13834" width="9.6640625" style="100" customWidth="1"/>
    <col min="13835" max="13835" width="10.5546875" style="100" customWidth="1"/>
    <col min="13836" max="13836" width="10.6640625" style="100" customWidth="1"/>
    <col min="13837" max="13837" width="11.33203125" style="100" customWidth="1"/>
    <col min="13838" max="13838" width="10.6640625" style="100" customWidth="1"/>
    <col min="13839" max="13839" width="10.44140625" style="100" customWidth="1"/>
    <col min="13840" max="13840" width="5.109375" style="100" customWidth="1"/>
    <col min="13841" max="14083" width="25.6640625" style="100"/>
    <col min="14084" max="14084" width="14.109375" style="100" customWidth="1"/>
    <col min="14085" max="14085" width="10.88671875" style="100" customWidth="1"/>
    <col min="14086" max="14087" width="9.33203125" style="100" customWidth="1"/>
    <col min="14088" max="14088" width="10.44140625" style="100" customWidth="1"/>
    <col min="14089" max="14089" width="10.6640625" style="100" customWidth="1"/>
    <col min="14090" max="14090" width="9.6640625" style="100" customWidth="1"/>
    <col min="14091" max="14091" width="10.5546875" style="100" customWidth="1"/>
    <col min="14092" max="14092" width="10.6640625" style="100" customWidth="1"/>
    <col min="14093" max="14093" width="11.33203125" style="100" customWidth="1"/>
    <col min="14094" max="14094" width="10.6640625" style="100" customWidth="1"/>
    <col min="14095" max="14095" width="10.44140625" style="100" customWidth="1"/>
    <col min="14096" max="14096" width="5.109375" style="100" customWidth="1"/>
    <col min="14097" max="14339" width="25.6640625" style="100"/>
    <col min="14340" max="14340" width="14.109375" style="100" customWidth="1"/>
    <col min="14341" max="14341" width="10.88671875" style="100" customWidth="1"/>
    <col min="14342" max="14343" width="9.33203125" style="100" customWidth="1"/>
    <col min="14344" max="14344" width="10.44140625" style="100" customWidth="1"/>
    <col min="14345" max="14345" width="10.6640625" style="100" customWidth="1"/>
    <col min="14346" max="14346" width="9.6640625" style="100" customWidth="1"/>
    <col min="14347" max="14347" width="10.5546875" style="100" customWidth="1"/>
    <col min="14348" max="14348" width="10.6640625" style="100" customWidth="1"/>
    <col min="14349" max="14349" width="11.33203125" style="100" customWidth="1"/>
    <col min="14350" max="14350" width="10.6640625" style="100" customWidth="1"/>
    <col min="14351" max="14351" width="10.44140625" style="100" customWidth="1"/>
    <col min="14352" max="14352" width="5.109375" style="100" customWidth="1"/>
    <col min="14353" max="14595" width="25.6640625" style="100"/>
    <col min="14596" max="14596" width="14.109375" style="100" customWidth="1"/>
    <col min="14597" max="14597" width="10.88671875" style="100" customWidth="1"/>
    <col min="14598" max="14599" width="9.33203125" style="100" customWidth="1"/>
    <col min="14600" max="14600" width="10.44140625" style="100" customWidth="1"/>
    <col min="14601" max="14601" width="10.6640625" style="100" customWidth="1"/>
    <col min="14602" max="14602" width="9.6640625" style="100" customWidth="1"/>
    <col min="14603" max="14603" width="10.5546875" style="100" customWidth="1"/>
    <col min="14604" max="14604" width="10.6640625" style="100" customWidth="1"/>
    <col min="14605" max="14605" width="11.33203125" style="100" customWidth="1"/>
    <col min="14606" max="14606" width="10.6640625" style="100" customWidth="1"/>
    <col min="14607" max="14607" width="10.44140625" style="100" customWidth="1"/>
    <col min="14608" max="14608" width="5.109375" style="100" customWidth="1"/>
    <col min="14609" max="14851" width="25.6640625" style="100"/>
    <col min="14852" max="14852" width="14.109375" style="100" customWidth="1"/>
    <col min="14853" max="14853" width="10.88671875" style="100" customWidth="1"/>
    <col min="14854" max="14855" width="9.33203125" style="100" customWidth="1"/>
    <col min="14856" max="14856" width="10.44140625" style="100" customWidth="1"/>
    <col min="14857" max="14857" width="10.6640625" style="100" customWidth="1"/>
    <col min="14858" max="14858" width="9.6640625" style="100" customWidth="1"/>
    <col min="14859" max="14859" width="10.5546875" style="100" customWidth="1"/>
    <col min="14860" max="14860" width="10.6640625" style="100" customWidth="1"/>
    <col min="14861" max="14861" width="11.33203125" style="100" customWidth="1"/>
    <col min="14862" max="14862" width="10.6640625" style="100" customWidth="1"/>
    <col min="14863" max="14863" width="10.44140625" style="100" customWidth="1"/>
    <col min="14864" max="14864" width="5.109375" style="100" customWidth="1"/>
    <col min="14865" max="15107" width="25.6640625" style="100"/>
    <col min="15108" max="15108" width="14.109375" style="100" customWidth="1"/>
    <col min="15109" max="15109" width="10.88671875" style="100" customWidth="1"/>
    <col min="15110" max="15111" width="9.33203125" style="100" customWidth="1"/>
    <col min="15112" max="15112" width="10.44140625" style="100" customWidth="1"/>
    <col min="15113" max="15113" width="10.6640625" style="100" customWidth="1"/>
    <col min="15114" max="15114" width="9.6640625" style="100" customWidth="1"/>
    <col min="15115" max="15115" width="10.5546875" style="100" customWidth="1"/>
    <col min="15116" max="15116" width="10.6640625" style="100" customWidth="1"/>
    <col min="15117" max="15117" width="11.33203125" style="100" customWidth="1"/>
    <col min="15118" max="15118" width="10.6640625" style="100" customWidth="1"/>
    <col min="15119" max="15119" width="10.44140625" style="100" customWidth="1"/>
    <col min="15120" max="15120" width="5.109375" style="100" customWidth="1"/>
    <col min="15121" max="15363" width="25.6640625" style="100"/>
    <col min="15364" max="15364" width="14.109375" style="100" customWidth="1"/>
    <col min="15365" max="15365" width="10.88671875" style="100" customWidth="1"/>
    <col min="15366" max="15367" width="9.33203125" style="100" customWidth="1"/>
    <col min="15368" max="15368" width="10.44140625" style="100" customWidth="1"/>
    <col min="15369" max="15369" width="10.6640625" style="100" customWidth="1"/>
    <col min="15370" max="15370" width="9.6640625" style="100" customWidth="1"/>
    <col min="15371" max="15371" width="10.5546875" style="100" customWidth="1"/>
    <col min="15372" max="15372" width="10.6640625" style="100" customWidth="1"/>
    <col min="15373" max="15373" width="11.33203125" style="100" customWidth="1"/>
    <col min="15374" max="15374" width="10.6640625" style="100" customWidth="1"/>
    <col min="15375" max="15375" width="10.44140625" style="100" customWidth="1"/>
    <col min="15376" max="15376" width="5.109375" style="100" customWidth="1"/>
    <col min="15377" max="15619" width="25.6640625" style="100"/>
    <col min="15620" max="15620" width="14.109375" style="100" customWidth="1"/>
    <col min="15621" max="15621" width="10.88671875" style="100" customWidth="1"/>
    <col min="15622" max="15623" width="9.33203125" style="100" customWidth="1"/>
    <col min="15624" max="15624" width="10.44140625" style="100" customWidth="1"/>
    <col min="15625" max="15625" width="10.6640625" style="100" customWidth="1"/>
    <col min="15626" max="15626" width="9.6640625" style="100" customWidth="1"/>
    <col min="15627" max="15627" width="10.5546875" style="100" customWidth="1"/>
    <col min="15628" max="15628" width="10.6640625" style="100" customWidth="1"/>
    <col min="15629" max="15629" width="11.33203125" style="100" customWidth="1"/>
    <col min="15630" max="15630" width="10.6640625" style="100" customWidth="1"/>
    <col min="15631" max="15631" width="10.44140625" style="100" customWidth="1"/>
    <col min="15632" max="15632" width="5.109375" style="100" customWidth="1"/>
    <col min="15633" max="15875" width="25.6640625" style="100"/>
    <col min="15876" max="15876" width="14.109375" style="100" customWidth="1"/>
    <col min="15877" max="15877" width="10.88671875" style="100" customWidth="1"/>
    <col min="15878" max="15879" width="9.33203125" style="100" customWidth="1"/>
    <col min="15880" max="15880" width="10.44140625" style="100" customWidth="1"/>
    <col min="15881" max="15881" width="10.6640625" style="100" customWidth="1"/>
    <col min="15882" max="15882" width="9.6640625" style="100" customWidth="1"/>
    <col min="15883" max="15883" width="10.5546875" style="100" customWidth="1"/>
    <col min="15884" max="15884" width="10.6640625" style="100" customWidth="1"/>
    <col min="15885" max="15885" width="11.33203125" style="100" customWidth="1"/>
    <col min="15886" max="15886" width="10.6640625" style="100" customWidth="1"/>
    <col min="15887" max="15887" width="10.44140625" style="100" customWidth="1"/>
    <col min="15888" max="15888" width="5.109375" style="100" customWidth="1"/>
    <col min="15889" max="16131" width="25.6640625" style="100"/>
    <col min="16132" max="16132" width="14.109375" style="100" customWidth="1"/>
    <col min="16133" max="16133" width="10.88671875" style="100" customWidth="1"/>
    <col min="16134" max="16135" width="9.33203125" style="100" customWidth="1"/>
    <col min="16136" max="16136" width="10.44140625" style="100" customWidth="1"/>
    <col min="16137" max="16137" width="10.6640625" style="100" customWidth="1"/>
    <col min="16138" max="16138" width="9.6640625" style="100" customWidth="1"/>
    <col min="16139" max="16139" width="10.5546875" style="100" customWidth="1"/>
    <col min="16140" max="16140" width="10.6640625" style="100" customWidth="1"/>
    <col min="16141" max="16141" width="11.33203125" style="100" customWidth="1"/>
    <col min="16142" max="16142" width="10.6640625" style="100" customWidth="1"/>
    <col min="16143" max="16143" width="10.44140625" style="100" customWidth="1"/>
    <col min="16144" max="16144" width="5.109375" style="100" customWidth="1"/>
    <col min="16145" max="16384" width="25.6640625" style="100"/>
  </cols>
  <sheetData>
    <row r="1" spans="1:17" ht="13.5" customHeight="1" x14ac:dyDescent="0.2">
      <c r="A1" s="545" t="s">
        <v>1</v>
      </c>
      <c r="B1" s="551" t="s">
        <v>582</v>
      </c>
      <c r="C1" s="377"/>
      <c r="D1" s="377"/>
      <c r="E1" s="377"/>
      <c r="F1" s="377"/>
      <c r="G1" s="553" t="s">
        <v>132</v>
      </c>
      <c r="H1" s="553"/>
      <c r="I1" s="553"/>
      <c r="J1" s="553"/>
      <c r="K1" s="553"/>
      <c r="L1" s="378"/>
      <c r="M1" s="378"/>
      <c r="N1" s="554" t="s">
        <v>549</v>
      </c>
      <c r="O1" s="545" t="s">
        <v>550</v>
      </c>
      <c r="P1" s="545" t="s">
        <v>551</v>
      </c>
      <c r="Q1" s="545" t="s">
        <v>134</v>
      </c>
    </row>
    <row r="2" spans="1:17" ht="42.75" customHeight="1" x14ac:dyDescent="0.2">
      <c r="A2" s="556"/>
      <c r="B2" s="557"/>
      <c r="C2" s="418" t="s">
        <v>579</v>
      </c>
      <c r="D2" s="418" t="s">
        <v>580</v>
      </c>
      <c r="E2" s="418" t="s">
        <v>581</v>
      </c>
      <c r="F2" s="418" t="s">
        <v>122</v>
      </c>
      <c r="G2" s="417" t="s">
        <v>615</v>
      </c>
      <c r="H2" s="419" t="s">
        <v>137</v>
      </c>
      <c r="I2" s="419" t="s">
        <v>616</v>
      </c>
      <c r="J2" s="419" t="s">
        <v>525</v>
      </c>
      <c r="K2" s="417" t="s">
        <v>136</v>
      </c>
      <c r="L2" s="417"/>
      <c r="M2" s="417"/>
      <c r="N2" s="558"/>
      <c r="O2" s="556"/>
      <c r="P2" s="556"/>
      <c r="Q2" s="556"/>
    </row>
    <row r="3" spans="1:17" x14ac:dyDescent="0.2">
      <c r="A3" s="385" t="s">
        <v>143</v>
      </c>
      <c r="B3" s="386">
        <f>+B4+B51</f>
        <v>181422291556.42645</v>
      </c>
      <c r="C3" s="386">
        <f>+C4+C51</f>
        <v>13331419409.615368</v>
      </c>
      <c r="D3" s="386">
        <f>+D4+D51</f>
        <v>6328685371.4246302</v>
      </c>
      <c r="E3" s="386">
        <f>+E4+E51</f>
        <v>14924005397.908792</v>
      </c>
      <c r="F3" s="424"/>
      <c r="G3" s="386">
        <f>G4+G56</f>
        <v>40133412058</v>
      </c>
      <c r="H3" s="386"/>
      <c r="I3" s="386">
        <f>I4+I56</f>
        <v>8427423646</v>
      </c>
      <c r="J3" s="386"/>
      <c r="K3" s="386">
        <f>+K4+K51</f>
        <v>17131457250</v>
      </c>
      <c r="L3" s="386"/>
      <c r="M3" s="386"/>
      <c r="N3" s="386">
        <f>+N4+N51</f>
        <v>0</v>
      </c>
      <c r="O3" s="386">
        <f>+O4+O51</f>
        <v>12744231380.358557</v>
      </c>
      <c r="P3" s="386">
        <f>P4+P56+P52</f>
        <v>2652676320.4420643</v>
      </c>
      <c r="Q3" s="386">
        <f t="shared" ref="Q3:Q9" si="0">+B3-C3-D3-E3-G3-I3-K3-N3-O3-P3</f>
        <v>65748980722.677071</v>
      </c>
    </row>
    <row r="4" spans="1:17" x14ac:dyDescent="0.2">
      <c r="A4" s="385" t="s">
        <v>5</v>
      </c>
      <c r="B4" s="386">
        <f>+B5+B9</f>
        <v>180838414076.80963</v>
      </c>
      <c r="C4" s="386">
        <f>+C5+C9</f>
        <v>13331419409.615368</v>
      </c>
      <c r="D4" s="386">
        <f>+D5+D9</f>
        <v>6328685371.4246302</v>
      </c>
      <c r="E4" s="386">
        <f>+E5+E9</f>
        <v>14865617649.947111</v>
      </c>
      <c r="F4" s="408"/>
      <c r="G4" s="386">
        <f>+G5+G9</f>
        <v>40133412058</v>
      </c>
      <c r="H4" s="386">
        <f>H5+H21</f>
        <v>0</v>
      </c>
      <c r="I4" s="386">
        <f>+I5+I9</f>
        <v>8427423646</v>
      </c>
      <c r="J4" s="386"/>
      <c r="K4" s="386">
        <f>+K5+K9</f>
        <v>17131457250</v>
      </c>
      <c r="L4" s="386"/>
      <c r="M4" s="386"/>
      <c r="N4" s="386">
        <f>+N5+N9</f>
        <v>0</v>
      </c>
      <c r="O4" s="386">
        <f>+O5+O9</f>
        <v>12744231380.358557</v>
      </c>
      <c r="P4" s="386">
        <f>+P5+P9</f>
        <v>2652676320.4420643</v>
      </c>
      <c r="Q4" s="386">
        <f t="shared" si="0"/>
        <v>65223490991.021919</v>
      </c>
    </row>
    <row r="5" spans="1:17" x14ac:dyDescent="0.2">
      <c r="A5" s="385" t="s">
        <v>144</v>
      </c>
      <c r="B5" s="386">
        <f>+B6</f>
        <v>28608514000.049919</v>
      </c>
      <c r="C5" s="386"/>
      <c r="D5" s="386"/>
      <c r="E5" s="386">
        <f>+E6</f>
        <v>2860851400.004992</v>
      </c>
      <c r="F5" s="408"/>
      <c r="G5" s="386">
        <f t="shared" ref="G5:H5" si="1">G6</f>
        <v>0</v>
      </c>
      <c r="H5" s="386">
        <f t="shared" si="1"/>
        <v>0</v>
      </c>
      <c r="I5" s="386"/>
      <c r="J5" s="386"/>
      <c r="K5" s="386">
        <f>+K6</f>
        <v>0</v>
      </c>
      <c r="L5" s="386"/>
      <c r="M5" s="386"/>
      <c r="N5" s="386">
        <f>+N6</f>
        <v>0</v>
      </c>
      <c r="O5" s="386"/>
      <c r="P5" s="386"/>
      <c r="Q5" s="386">
        <f t="shared" si="0"/>
        <v>25747662600.044926</v>
      </c>
    </row>
    <row r="6" spans="1:17" x14ac:dyDescent="0.2">
      <c r="A6" s="388" t="s">
        <v>145</v>
      </c>
      <c r="B6" s="389">
        <f>+B7+B8</f>
        <v>28608514000.049919</v>
      </c>
      <c r="C6" s="389"/>
      <c r="D6" s="389"/>
      <c r="E6" s="389">
        <f>+B6*10%</f>
        <v>2860851400.004992</v>
      </c>
      <c r="F6" s="409">
        <v>0.1</v>
      </c>
      <c r="G6" s="389"/>
      <c r="H6" s="389"/>
      <c r="I6" s="389"/>
      <c r="J6" s="389"/>
      <c r="K6" s="389"/>
      <c r="L6" s="389">
        <f>+B6-G6-H6-K6</f>
        <v>28608514000.049919</v>
      </c>
      <c r="M6" s="391">
        <f>+L6/$L$61</f>
        <v>0.24722764514646445</v>
      </c>
      <c r="N6" s="389">
        <f>+'DESTINACIONES 2026'!N6*0.8</f>
        <v>0</v>
      </c>
      <c r="O6" s="389"/>
      <c r="P6" s="389"/>
      <c r="Q6" s="389">
        <f t="shared" si="0"/>
        <v>25747662600.044926</v>
      </c>
    </row>
    <row r="7" spans="1:17" x14ac:dyDescent="0.2">
      <c r="A7" s="385" t="s">
        <v>575</v>
      </c>
      <c r="B7" s="386">
        <f>+'Proyeccion Ingresos 2024-2027'!E8</f>
        <v>22949503392.332005</v>
      </c>
      <c r="C7" s="386"/>
      <c r="D7" s="386"/>
      <c r="E7" s="386"/>
      <c r="F7" s="408"/>
      <c r="G7" s="386"/>
      <c r="H7" s="386"/>
      <c r="I7" s="386"/>
      <c r="J7" s="386"/>
      <c r="K7" s="386"/>
      <c r="L7" s="386"/>
      <c r="M7" s="392"/>
      <c r="N7" s="386"/>
      <c r="O7" s="386"/>
      <c r="P7" s="386"/>
      <c r="Q7" s="386">
        <f t="shared" si="0"/>
        <v>22949503392.332005</v>
      </c>
    </row>
    <row r="8" spans="1:17" x14ac:dyDescent="0.2">
      <c r="A8" s="385" t="s">
        <v>576</v>
      </c>
      <c r="B8" s="386">
        <f>+'Proyeccion Ingresos 2024-2027'!E9</f>
        <v>5659010607.7179146</v>
      </c>
      <c r="C8" s="386"/>
      <c r="D8" s="386"/>
      <c r="E8" s="386"/>
      <c r="F8" s="408"/>
      <c r="G8" s="386"/>
      <c r="H8" s="386"/>
      <c r="I8" s="386"/>
      <c r="J8" s="386"/>
      <c r="K8" s="386"/>
      <c r="L8" s="386"/>
      <c r="M8" s="392"/>
      <c r="N8" s="386"/>
      <c r="O8" s="386"/>
      <c r="P8" s="386"/>
      <c r="Q8" s="386">
        <f t="shared" si="0"/>
        <v>5659010607.7179146</v>
      </c>
    </row>
    <row r="9" spans="1:17" x14ac:dyDescent="0.2">
      <c r="A9" s="388" t="s">
        <v>17</v>
      </c>
      <c r="B9" s="389">
        <f>+B10+B21+B42+B46</f>
        <v>152229900076.7597</v>
      </c>
      <c r="C9" s="389">
        <f>+C10+C21+C42+C46</f>
        <v>13331419409.615368</v>
      </c>
      <c r="D9" s="389">
        <f>+D10+D21+D42+D46</f>
        <v>6328685371.4246302</v>
      </c>
      <c r="E9" s="389">
        <f>+E10+E21+E42+E46</f>
        <v>12004766249.94212</v>
      </c>
      <c r="F9" s="408"/>
      <c r="G9" s="389">
        <f>+G10+G21+G42+G46</f>
        <v>40133412058</v>
      </c>
      <c r="H9" s="389"/>
      <c r="I9" s="389">
        <f>+I10+I21+I42+I46</f>
        <v>8427423646</v>
      </c>
      <c r="J9" s="389"/>
      <c r="K9" s="389">
        <f>+K10+K21+K42+K46</f>
        <v>17131457250</v>
      </c>
      <c r="L9" s="389"/>
      <c r="M9" s="393"/>
      <c r="N9" s="389">
        <f>+N10+N21+N42+N46</f>
        <v>0</v>
      </c>
      <c r="O9" s="389">
        <f>+O10+O21+O42+O46</f>
        <v>12744231380.358557</v>
      </c>
      <c r="P9" s="389">
        <f>+P10+P21+P42+P46</f>
        <v>2652676320.4420643</v>
      </c>
      <c r="Q9" s="389">
        <f t="shared" si="0"/>
        <v>39475828390.976967</v>
      </c>
    </row>
    <row r="10" spans="1:17" x14ac:dyDescent="0.2">
      <c r="A10" s="385" t="s">
        <v>19</v>
      </c>
      <c r="B10" s="386">
        <f>+B11</f>
        <v>19443998637.486607</v>
      </c>
      <c r="C10" s="386">
        <f>+C11</f>
        <v>1944399863.7486608</v>
      </c>
      <c r="D10" s="386">
        <f>+D11</f>
        <v>3888799727.4973216</v>
      </c>
      <c r="E10" s="386">
        <f>+E11</f>
        <v>0</v>
      </c>
      <c r="F10" s="408"/>
      <c r="G10" s="386"/>
      <c r="H10" s="386"/>
      <c r="I10" s="386">
        <f>+I11</f>
        <v>8427423646</v>
      </c>
      <c r="J10" s="386"/>
      <c r="K10" s="386">
        <f>+K11</f>
        <v>0</v>
      </c>
      <c r="L10" s="386"/>
      <c r="M10" s="394"/>
      <c r="N10" s="386">
        <f>+N11</f>
        <v>0</v>
      </c>
      <c r="O10" s="386">
        <f>+O11</f>
        <v>2530699079.7985592</v>
      </c>
      <c r="P10" s="386">
        <f>+P11</f>
        <v>2652676320.4420643</v>
      </c>
      <c r="Q10" s="386">
        <v>0</v>
      </c>
    </row>
    <row r="11" spans="1:17" x14ac:dyDescent="0.2">
      <c r="A11" s="385" t="s">
        <v>146</v>
      </c>
      <c r="B11" s="386">
        <f>+B12+B15+B18</f>
        <v>19443998637.486607</v>
      </c>
      <c r="C11" s="386">
        <f>+C12+C15+C18</f>
        <v>1944399863.7486608</v>
      </c>
      <c r="D11" s="386">
        <f>+D12+D15+D18</f>
        <v>3888799727.4973216</v>
      </c>
      <c r="E11" s="386">
        <f>+E12+E15+E18</f>
        <v>0</v>
      </c>
      <c r="F11" s="408"/>
      <c r="G11" s="386"/>
      <c r="H11" s="386"/>
      <c r="I11" s="386">
        <f>+I12</f>
        <v>8427423646</v>
      </c>
      <c r="J11" s="386"/>
      <c r="K11" s="386"/>
      <c r="L11" s="386"/>
      <c r="M11" s="394"/>
      <c r="N11" s="386">
        <f>+N12+N15+N18</f>
        <v>0</v>
      </c>
      <c r="O11" s="386">
        <f>+O12+O15+O18</f>
        <v>2530699079.7985592</v>
      </c>
      <c r="P11" s="386">
        <f>+P12+P15+P18</f>
        <v>2652676320.4420643</v>
      </c>
      <c r="Q11" s="386">
        <v>0</v>
      </c>
    </row>
    <row r="12" spans="1:17" x14ac:dyDescent="0.2">
      <c r="A12" s="388" t="s">
        <v>163</v>
      </c>
      <c r="B12" s="389">
        <f>+B13+B14</f>
        <v>15828714237.774378</v>
      </c>
      <c r="C12" s="389">
        <f>+B12*10%</f>
        <v>1582871423.7774379</v>
      </c>
      <c r="D12" s="389">
        <f>+B12*20%</f>
        <v>3165742847.5548759</v>
      </c>
      <c r="E12" s="389">
        <f>+B12*0%</f>
        <v>0</v>
      </c>
      <c r="F12" s="409">
        <v>0</v>
      </c>
      <c r="G12" s="389"/>
      <c r="H12" s="389"/>
      <c r="I12" s="389">
        <v>8427423646</v>
      </c>
      <c r="J12" s="389"/>
      <c r="K12" s="389"/>
      <c r="L12" s="389">
        <f>+B12-I12</f>
        <v>7401290591.7743778</v>
      </c>
      <c r="M12" s="395">
        <f>+L12/L61</f>
        <v>6.3960107961073015E-2</v>
      </c>
      <c r="N12" s="396">
        <f>+'DESTINACIONES 2026'!N12*0.8</f>
        <v>0</v>
      </c>
      <c r="O12" s="396"/>
      <c r="P12" s="396">
        <f>+B12-C12-D12-E12-I12-N12</f>
        <v>2652676320.4420643</v>
      </c>
      <c r="Q12" s="396">
        <v>0</v>
      </c>
    </row>
    <row r="13" spans="1:17" x14ac:dyDescent="0.2">
      <c r="A13" s="385" t="s">
        <v>575</v>
      </c>
      <c r="B13" s="386">
        <f>+'Proyeccion Ingresos 2024-2027'!E16</f>
        <v>13988300203.119377</v>
      </c>
      <c r="C13" s="386"/>
      <c r="D13" s="386"/>
      <c r="E13" s="386"/>
      <c r="F13" s="408"/>
      <c r="G13" s="386"/>
      <c r="H13" s="386"/>
      <c r="I13" s="386"/>
      <c r="J13" s="386"/>
      <c r="K13" s="386"/>
      <c r="L13" s="386"/>
      <c r="M13" s="397"/>
      <c r="N13" s="398"/>
      <c r="O13" s="398"/>
      <c r="P13" s="398"/>
      <c r="Q13" s="398">
        <v>0</v>
      </c>
    </row>
    <row r="14" spans="1:17" x14ac:dyDescent="0.2">
      <c r="A14" s="385" t="s">
        <v>576</v>
      </c>
      <c r="B14" s="386">
        <f>+'Proyeccion Ingresos 2024-2027'!E17</f>
        <v>1840414034.6550002</v>
      </c>
      <c r="C14" s="386"/>
      <c r="D14" s="386"/>
      <c r="E14" s="386"/>
      <c r="F14" s="408"/>
      <c r="G14" s="386"/>
      <c r="H14" s="386"/>
      <c r="I14" s="386"/>
      <c r="J14" s="386"/>
      <c r="K14" s="386"/>
      <c r="L14" s="386"/>
      <c r="M14" s="397"/>
      <c r="N14" s="398"/>
      <c r="O14" s="398"/>
      <c r="P14" s="398"/>
      <c r="Q14" s="398">
        <v>0</v>
      </c>
    </row>
    <row r="15" spans="1:17" x14ac:dyDescent="0.2">
      <c r="A15" s="388" t="s">
        <v>164</v>
      </c>
      <c r="B15" s="389">
        <f>+B16+B17</f>
        <v>3442254399.7122278</v>
      </c>
      <c r="C15" s="389">
        <f>+B15*10%</f>
        <v>344225439.97122282</v>
      </c>
      <c r="D15" s="389">
        <f>+B15*20%</f>
        <v>688450879.94244564</v>
      </c>
      <c r="E15" s="389">
        <f>+B15*0%</f>
        <v>0</v>
      </c>
      <c r="F15" s="409">
        <v>0</v>
      </c>
      <c r="G15" s="389"/>
      <c r="H15" s="389"/>
      <c r="I15" s="389"/>
      <c r="J15" s="389"/>
      <c r="K15" s="389"/>
      <c r="L15" s="389">
        <f>+B15</f>
        <v>3442254399.7122278</v>
      </c>
      <c r="M15" s="395">
        <f>+L15/$L$61</f>
        <v>2.9747104279321382E-2</v>
      </c>
      <c r="N15" s="396">
        <f>+'DESTINACIONES 2026'!N15*0.8</f>
        <v>0</v>
      </c>
      <c r="O15" s="396">
        <f>+B15-C15-D15-E15-N15</f>
        <v>2409578079.7985592</v>
      </c>
      <c r="P15" s="396"/>
      <c r="Q15" s="396">
        <v>0</v>
      </c>
    </row>
    <row r="16" spans="1:17" x14ac:dyDescent="0.2">
      <c r="A16" s="385" t="s">
        <v>575</v>
      </c>
      <c r="B16" s="386">
        <f>+'Proyeccion Ingresos 2024-2027'!E19</f>
        <v>3155399866.4028754</v>
      </c>
      <c r="C16" s="386"/>
      <c r="D16" s="386"/>
      <c r="E16" s="386"/>
      <c r="F16" s="408"/>
      <c r="G16" s="386"/>
      <c r="H16" s="386"/>
      <c r="I16" s="386"/>
      <c r="J16" s="386"/>
      <c r="K16" s="386"/>
      <c r="L16" s="386"/>
      <c r="M16" s="397"/>
      <c r="N16" s="398"/>
      <c r="O16" s="398"/>
      <c r="P16" s="398"/>
      <c r="Q16" s="398">
        <f>+B16-C16-D16-E16-G16-I16-K16-N16-O16-P16</f>
        <v>3155399866.4028754</v>
      </c>
    </row>
    <row r="17" spans="1:17" x14ac:dyDescent="0.2">
      <c r="A17" s="385" t="s">
        <v>576</v>
      </c>
      <c r="B17" s="386">
        <f>+'Proyeccion Ingresos 2024-2027'!E20</f>
        <v>286854533.30935234</v>
      </c>
      <c r="C17" s="386"/>
      <c r="D17" s="386"/>
      <c r="E17" s="386"/>
      <c r="F17" s="408"/>
      <c r="G17" s="386"/>
      <c r="H17" s="386"/>
      <c r="I17" s="386"/>
      <c r="J17" s="386"/>
      <c r="K17" s="386"/>
      <c r="L17" s="386"/>
      <c r="M17" s="397"/>
      <c r="N17" s="398"/>
      <c r="O17" s="398"/>
      <c r="P17" s="398"/>
      <c r="Q17" s="398">
        <f>+B17-C17-D17-E17-G17-I17-K17-N17-O17-P17</f>
        <v>286854533.30935234</v>
      </c>
    </row>
    <row r="18" spans="1:17" x14ac:dyDescent="0.2">
      <c r="A18" s="388" t="s">
        <v>577</v>
      </c>
      <c r="B18" s="389">
        <f>+B19+B20</f>
        <v>173030000.00000006</v>
      </c>
      <c r="C18" s="389">
        <f>+B18*10%</f>
        <v>17303000.000000007</v>
      </c>
      <c r="D18" s="389">
        <f>+B18*20%</f>
        <v>34606000.000000015</v>
      </c>
      <c r="E18" s="389">
        <f>+B18*0%</f>
        <v>0</v>
      </c>
      <c r="F18" s="410">
        <v>0</v>
      </c>
      <c r="G18" s="386"/>
      <c r="H18" s="386"/>
      <c r="I18" s="386"/>
      <c r="J18" s="386"/>
      <c r="K18" s="386"/>
      <c r="L18" s="386">
        <f>+B18-G18-H18-K18</f>
        <v>173030000.00000006</v>
      </c>
      <c r="M18" s="397">
        <f>+L18/$L$61</f>
        <v>1.4952821191488001E-3</v>
      </c>
      <c r="N18" s="398">
        <f>+'DESTINACIONES 2026'!N18*0.8</f>
        <v>0</v>
      </c>
      <c r="O18" s="398">
        <f>+B18-C18-D18-E18-N18</f>
        <v>121121000.00000004</v>
      </c>
      <c r="P18" s="398"/>
      <c r="Q18" s="398">
        <f>+B18-C18-D18-E18-G18-I18-K18-N18-O18-P18</f>
        <v>0</v>
      </c>
    </row>
    <row r="19" spans="1:17" x14ac:dyDescent="0.2">
      <c r="A19" s="385" t="s">
        <v>575</v>
      </c>
      <c r="B19" s="386">
        <f>+'Proyeccion Ingresos 2024-2027'!E23</f>
        <v>159720000.00000006</v>
      </c>
      <c r="C19" s="386"/>
      <c r="D19" s="386"/>
      <c r="E19" s="386"/>
      <c r="F19" s="408"/>
      <c r="G19" s="386"/>
      <c r="H19" s="386"/>
      <c r="I19" s="386"/>
      <c r="J19" s="386"/>
      <c r="K19" s="386"/>
      <c r="L19" s="386"/>
      <c r="M19" s="397"/>
      <c r="N19" s="398"/>
      <c r="O19" s="398"/>
      <c r="P19" s="398"/>
      <c r="Q19" s="398">
        <f>+B19-C19-D19-E19-G19-I19-K19-N19-O19-P19</f>
        <v>159720000.00000006</v>
      </c>
    </row>
    <row r="20" spans="1:17" x14ac:dyDescent="0.2">
      <c r="A20" s="385" t="s">
        <v>576</v>
      </c>
      <c r="B20" s="386">
        <f>+'Proyeccion Ingresos 2024-2027'!E24</f>
        <v>13310000.000000004</v>
      </c>
      <c r="C20" s="386"/>
      <c r="D20" s="386"/>
      <c r="E20" s="386"/>
      <c r="F20" s="408"/>
      <c r="G20" s="386"/>
      <c r="H20" s="386"/>
      <c r="I20" s="386"/>
      <c r="J20" s="386"/>
      <c r="K20" s="386"/>
      <c r="L20" s="386"/>
      <c r="M20" s="397"/>
      <c r="N20" s="398"/>
      <c r="O20" s="398"/>
      <c r="P20" s="398"/>
      <c r="Q20" s="398">
        <f>+B20-C20-D20-E20-G20-I20-K20-N20-O20-P20</f>
        <v>13310000.000000004</v>
      </c>
    </row>
    <row r="21" spans="1:17" x14ac:dyDescent="0.2">
      <c r="A21" s="388" t="s">
        <v>147</v>
      </c>
      <c r="B21" s="389">
        <f>+B22+B24+B27+B30+B33+B36+B39</f>
        <v>23987542050.452751</v>
      </c>
      <c r="C21" s="389">
        <f t="shared" ref="C21:E21" si="2">+C22+C24+C27+C30+C33+C36+C39</f>
        <v>11016836595.928406</v>
      </c>
      <c r="D21" s="389">
        <f t="shared" si="2"/>
        <v>2398754205.0452747</v>
      </c>
      <c r="E21" s="389">
        <f t="shared" si="2"/>
        <v>1174661249.9421189</v>
      </c>
      <c r="F21" s="408"/>
      <c r="G21" s="389">
        <f t="shared" ref="G21:K21" si="3">+G22+G24+G27+G30+G33+G36+G39</f>
        <v>0</v>
      </c>
      <c r="H21" s="389">
        <f t="shared" si="3"/>
        <v>0</v>
      </c>
      <c r="I21" s="389">
        <f t="shared" si="3"/>
        <v>0</v>
      </c>
      <c r="J21" s="389">
        <f t="shared" si="3"/>
        <v>0</v>
      </c>
      <c r="K21" s="389">
        <f t="shared" si="3"/>
        <v>886299750</v>
      </c>
      <c r="L21" s="389"/>
      <c r="M21" s="393"/>
      <c r="N21" s="389">
        <f t="shared" ref="N21:Q21" si="4">+N22+N24+N27+N30+N33+N36+N39</f>
        <v>0</v>
      </c>
      <c r="O21" s="389">
        <f t="shared" si="4"/>
        <v>0</v>
      </c>
      <c r="P21" s="389">
        <f t="shared" si="4"/>
        <v>0</v>
      </c>
      <c r="Q21" s="389">
        <f t="shared" si="4"/>
        <v>8510990249.5369511</v>
      </c>
    </row>
    <row r="22" spans="1:17" x14ac:dyDescent="0.2">
      <c r="A22" s="388" t="s">
        <v>148</v>
      </c>
      <c r="B22" s="389">
        <f>+B23</f>
        <v>255217152.54218403</v>
      </c>
      <c r="C22" s="389">
        <f>+B22*90%</f>
        <v>229695437.28796563</v>
      </c>
      <c r="D22" s="389">
        <f>+B22*10%</f>
        <v>25521715.254218403</v>
      </c>
      <c r="E22" s="389"/>
      <c r="F22" s="408"/>
      <c r="G22" s="386">
        <f t="shared" ref="G22" si="5">SUM(G24:G42)</f>
        <v>0</v>
      </c>
      <c r="H22" s="386"/>
      <c r="I22" s="386"/>
      <c r="J22" s="386"/>
      <c r="K22" s="389">
        <f>+K23</f>
        <v>0</v>
      </c>
      <c r="L22" s="386">
        <f>+B22-G22-H22-K22</f>
        <v>255217152.54218403</v>
      </c>
      <c r="M22" s="394"/>
      <c r="N22" s="386"/>
      <c r="O22" s="386"/>
      <c r="P22" s="386"/>
      <c r="Q22" s="386">
        <f t="shared" ref="Q22:Q27" si="6">+B22-C22-D22-E22-G22-I22-K22-N22-O22-P22</f>
        <v>-3.7252902984619141E-9</v>
      </c>
    </row>
    <row r="23" spans="1:17" x14ac:dyDescent="0.2">
      <c r="A23" s="385" t="s">
        <v>578</v>
      </c>
      <c r="B23" s="386">
        <f>+'Proyeccion Ingresos 2024-2027'!E27</f>
        <v>255217152.54218403</v>
      </c>
      <c r="C23" s="386"/>
      <c r="D23" s="386"/>
      <c r="E23" s="386"/>
      <c r="F23" s="408"/>
      <c r="G23" s="386"/>
      <c r="H23" s="386"/>
      <c r="I23" s="386"/>
      <c r="J23" s="386"/>
      <c r="K23" s="386"/>
      <c r="L23" s="386"/>
      <c r="M23" s="394"/>
      <c r="N23" s="386"/>
      <c r="O23" s="386"/>
      <c r="P23" s="386"/>
      <c r="Q23" s="386">
        <f t="shared" si="6"/>
        <v>255217152.54218403</v>
      </c>
    </row>
    <row r="24" spans="1:17" x14ac:dyDescent="0.2">
      <c r="A24" s="388" t="s">
        <v>149</v>
      </c>
      <c r="B24" s="389">
        <f>+B25+B26</f>
        <v>2601708076.6346254</v>
      </c>
      <c r="C24" s="389">
        <f>+B24*90%</f>
        <v>2341537268.9711628</v>
      </c>
      <c r="D24" s="389">
        <f>+B24*10%</f>
        <v>260170807.66346255</v>
      </c>
      <c r="E24" s="389"/>
      <c r="F24" s="408"/>
      <c r="G24" s="386"/>
      <c r="H24" s="386"/>
      <c r="I24" s="386"/>
      <c r="J24" s="386"/>
      <c r="K24" s="389">
        <f>+K25+K26</f>
        <v>0</v>
      </c>
      <c r="L24" s="386">
        <f>+B24-G24-H24-K24</f>
        <v>2601708076.6346254</v>
      </c>
      <c r="M24" s="394"/>
      <c r="N24" s="398"/>
      <c r="O24" s="398"/>
      <c r="P24" s="398"/>
      <c r="Q24" s="398">
        <f t="shared" si="6"/>
        <v>8.9406967163085938E-8</v>
      </c>
    </row>
    <row r="25" spans="1:17" x14ac:dyDescent="0.2">
      <c r="A25" s="385" t="s">
        <v>575</v>
      </c>
      <c r="B25" s="386">
        <f>+'Proyeccion Ingresos 2024-2027'!E29</f>
        <v>2230035494.2582502</v>
      </c>
      <c r="C25" s="386"/>
      <c r="D25" s="386"/>
      <c r="E25" s="386"/>
      <c r="F25" s="408"/>
      <c r="G25" s="386"/>
      <c r="H25" s="386"/>
      <c r="I25" s="386"/>
      <c r="J25" s="386"/>
      <c r="K25" s="386"/>
      <c r="L25" s="386"/>
      <c r="M25" s="394"/>
      <c r="N25" s="398"/>
      <c r="O25" s="398"/>
      <c r="P25" s="398"/>
      <c r="Q25" s="398">
        <f t="shared" si="6"/>
        <v>2230035494.2582502</v>
      </c>
    </row>
    <row r="26" spans="1:17" x14ac:dyDescent="0.2">
      <c r="A26" s="385" t="s">
        <v>576</v>
      </c>
      <c r="B26" s="386">
        <f>+'Proyeccion Ingresos 2024-2027'!E30</f>
        <v>371672582.37637502</v>
      </c>
      <c r="C26" s="386"/>
      <c r="D26" s="386"/>
      <c r="E26" s="386"/>
      <c r="F26" s="408"/>
      <c r="G26" s="386"/>
      <c r="H26" s="386"/>
      <c r="I26" s="386"/>
      <c r="J26" s="386"/>
      <c r="K26" s="386"/>
      <c r="L26" s="386"/>
      <c r="M26" s="394"/>
      <c r="N26" s="398"/>
      <c r="O26" s="398"/>
      <c r="P26" s="398"/>
      <c r="Q26" s="398">
        <f t="shared" si="6"/>
        <v>371672582.37637502</v>
      </c>
    </row>
    <row r="27" spans="1:17" ht="15.75" customHeight="1" x14ac:dyDescent="0.2">
      <c r="A27" s="400" t="s">
        <v>150</v>
      </c>
      <c r="B27" s="389">
        <f>+B28+B29</f>
        <v>9384004321.8547516</v>
      </c>
      <c r="C27" s="389">
        <f>+B27*90%</f>
        <v>8445603889.6692762</v>
      </c>
      <c r="D27" s="389">
        <f>+B27*10%</f>
        <v>938400432.18547523</v>
      </c>
      <c r="E27" s="389"/>
      <c r="F27" s="408"/>
      <c r="G27" s="386">
        <v>0</v>
      </c>
      <c r="H27" s="386"/>
      <c r="I27" s="386"/>
      <c r="J27" s="386"/>
      <c r="K27" s="389">
        <f>+K28+K29</f>
        <v>0</v>
      </c>
      <c r="L27" s="386">
        <f>+B27-G27-H27-K27</f>
        <v>9384004321.8547516</v>
      </c>
      <c r="M27" s="394"/>
      <c r="N27" s="398"/>
      <c r="O27" s="398"/>
      <c r="P27" s="398"/>
      <c r="Q27" s="398">
        <f t="shared" si="6"/>
        <v>1.1920928955078125E-7</v>
      </c>
    </row>
    <row r="28" spans="1:17" ht="15.75" customHeight="1" x14ac:dyDescent="0.2">
      <c r="A28" s="385" t="s">
        <v>575</v>
      </c>
      <c r="B28" s="386">
        <f>+'Proyeccion Ingresos 2024-2027'!E32</f>
        <v>8662157835.8253765</v>
      </c>
      <c r="C28" s="386"/>
      <c r="D28" s="386"/>
      <c r="E28" s="386"/>
      <c r="F28" s="408"/>
      <c r="G28" s="386"/>
      <c r="H28" s="386"/>
      <c r="I28" s="386"/>
      <c r="J28" s="386"/>
      <c r="K28" s="386"/>
      <c r="L28" s="386"/>
      <c r="M28" s="394"/>
      <c r="N28" s="398"/>
      <c r="O28" s="398"/>
      <c r="P28" s="398"/>
      <c r="Q28" s="398">
        <v>0</v>
      </c>
    </row>
    <row r="29" spans="1:17" ht="15.75" customHeight="1" x14ac:dyDescent="0.2">
      <c r="A29" s="385" t="s">
        <v>576</v>
      </c>
      <c r="B29" s="386">
        <f>+'Proyeccion Ingresos 2024-2027'!E33</f>
        <v>721846486.02937496</v>
      </c>
      <c r="C29" s="386"/>
      <c r="D29" s="386"/>
      <c r="E29" s="386"/>
      <c r="F29" s="408"/>
      <c r="G29" s="386"/>
      <c r="H29" s="386"/>
      <c r="I29" s="386"/>
      <c r="J29" s="386"/>
      <c r="K29" s="386"/>
      <c r="L29" s="386"/>
      <c r="M29" s="394"/>
      <c r="N29" s="398"/>
      <c r="O29" s="398"/>
      <c r="P29" s="398"/>
      <c r="Q29" s="398">
        <v>0</v>
      </c>
    </row>
    <row r="30" spans="1:17" x14ac:dyDescent="0.2">
      <c r="A30" s="388" t="s">
        <v>151</v>
      </c>
      <c r="B30" s="389">
        <f>+B31+B32</f>
        <v>2662537499.4211884</v>
      </c>
      <c r="C30" s="389"/>
      <c r="D30" s="389">
        <f>+B30*10%</f>
        <v>266253749.94211885</v>
      </c>
      <c r="E30" s="389">
        <f>+B30*10%</f>
        <v>266253749.94211885</v>
      </c>
      <c r="F30" s="409">
        <v>0.1</v>
      </c>
      <c r="G30" s="389">
        <v>0</v>
      </c>
      <c r="H30" s="389"/>
      <c r="I30" s="389"/>
      <c r="J30" s="389"/>
      <c r="K30" s="389">
        <f>+K31+K32</f>
        <v>0</v>
      </c>
      <c r="L30" s="389">
        <f>+B30-G30-H30-K30</f>
        <v>2662537499.4211884</v>
      </c>
      <c r="M30" s="401">
        <f>+L30/$L$61</f>
        <v>2.3008985230582327E-2</v>
      </c>
      <c r="N30" s="396">
        <f>+'DESTINACIONES 2026'!N30*0.8</f>
        <v>0</v>
      </c>
      <c r="O30" s="396"/>
      <c r="P30" s="396"/>
      <c r="Q30" s="396">
        <f>+B30-C30-D30-E30-G30-I30-K30-N30-O30-P30</f>
        <v>2130029999.5369508</v>
      </c>
    </row>
    <row r="31" spans="1:17" x14ac:dyDescent="0.2">
      <c r="A31" s="385" t="s">
        <v>575</v>
      </c>
      <c r="B31" s="386">
        <f>+'Proyeccion Ingresos 2024-2027'!E35</f>
        <v>2594329000.9717507</v>
      </c>
      <c r="C31" s="386"/>
      <c r="D31" s="386"/>
      <c r="E31" s="386"/>
      <c r="F31" s="408"/>
      <c r="G31" s="386"/>
      <c r="H31" s="386"/>
      <c r="I31" s="386"/>
      <c r="J31" s="386"/>
      <c r="K31" s="386"/>
      <c r="L31" s="386"/>
      <c r="M31" s="402"/>
      <c r="N31" s="398"/>
      <c r="O31" s="398"/>
      <c r="P31" s="398"/>
      <c r="Q31" s="398">
        <v>0</v>
      </c>
    </row>
    <row r="32" spans="1:17" x14ac:dyDescent="0.2">
      <c r="A32" s="385" t="s">
        <v>576</v>
      </c>
      <c r="B32" s="386">
        <f>+'Proyeccion Ingresos 2024-2027'!E36</f>
        <v>68208498.449437529</v>
      </c>
      <c r="C32" s="386"/>
      <c r="D32" s="386"/>
      <c r="E32" s="386"/>
      <c r="F32" s="408"/>
      <c r="G32" s="386"/>
      <c r="H32" s="386"/>
      <c r="I32" s="386"/>
      <c r="J32" s="386"/>
      <c r="K32" s="386"/>
      <c r="L32" s="386"/>
      <c r="M32" s="402"/>
      <c r="N32" s="398"/>
      <c r="O32" s="398"/>
      <c r="P32" s="398"/>
      <c r="Q32" s="398">
        <v>0</v>
      </c>
    </row>
    <row r="33" spans="1:18" x14ac:dyDescent="0.2">
      <c r="A33" s="388" t="s">
        <v>152</v>
      </c>
      <c r="B33" s="389">
        <f>+B34+B35</f>
        <v>8862997500</v>
      </c>
      <c r="C33" s="389"/>
      <c r="D33" s="389">
        <f>+B33*10%</f>
        <v>886299750</v>
      </c>
      <c r="E33" s="389">
        <f>+B33*10%</f>
        <v>886299750</v>
      </c>
      <c r="F33" s="410">
        <v>0.1</v>
      </c>
      <c r="G33" s="386">
        <v>0</v>
      </c>
      <c r="H33" s="386"/>
      <c r="I33" s="386"/>
      <c r="J33" s="386"/>
      <c r="K33" s="389">
        <f>+K34+K35</f>
        <v>886299750</v>
      </c>
      <c r="L33" s="389">
        <f>+B33-K33</f>
        <v>7976697750</v>
      </c>
      <c r="M33" s="401">
        <f>+L33/$L$61</f>
        <v>6.8932633158582099E-2</v>
      </c>
      <c r="N33" s="396">
        <f>+'DESTINACIONES 2026'!N33*0.8</f>
        <v>0</v>
      </c>
      <c r="O33" s="396"/>
      <c r="P33" s="396"/>
      <c r="Q33" s="396">
        <f>+B33-C33-D33-E33-G33-I33-K33-N33-O33-P33</f>
        <v>6204098250</v>
      </c>
    </row>
    <row r="34" spans="1:18" x14ac:dyDescent="0.2">
      <c r="A34" s="385" t="s">
        <v>575</v>
      </c>
      <c r="B34" s="386">
        <f>+'Proyeccion Ingresos 2024-2027'!E38</f>
        <v>7976697750</v>
      </c>
      <c r="C34" s="386"/>
      <c r="D34" s="386"/>
      <c r="E34" s="386"/>
      <c r="F34" s="408"/>
      <c r="G34" s="386"/>
      <c r="H34" s="386"/>
      <c r="I34" s="386"/>
      <c r="J34" s="386"/>
      <c r="K34" s="386">
        <f>+B34*0.1</f>
        <v>797669775</v>
      </c>
      <c r="L34" s="386"/>
      <c r="M34" s="402"/>
      <c r="N34" s="398"/>
      <c r="O34" s="398"/>
      <c r="P34" s="398"/>
      <c r="Q34" s="398">
        <v>0</v>
      </c>
    </row>
    <row r="35" spans="1:18" x14ac:dyDescent="0.2">
      <c r="A35" s="385" t="s">
        <v>576</v>
      </c>
      <c r="B35" s="386">
        <f>+'Proyeccion Ingresos 2024-2027'!E39</f>
        <v>886299750</v>
      </c>
      <c r="C35" s="386"/>
      <c r="D35" s="386"/>
      <c r="E35" s="386"/>
      <c r="F35" s="408"/>
      <c r="G35" s="386"/>
      <c r="H35" s="386"/>
      <c r="I35" s="386"/>
      <c r="J35" s="386"/>
      <c r="K35" s="386">
        <f>+B35*0.1</f>
        <v>88629975</v>
      </c>
      <c r="L35" s="386"/>
      <c r="M35" s="402"/>
      <c r="N35" s="398"/>
      <c r="O35" s="398"/>
      <c r="P35" s="398"/>
      <c r="Q35" s="398">
        <v>0</v>
      </c>
    </row>
    <row r="36" spans="1:18" x14ac:dyDescent="0.2">
      <c r="A36" s="388" t="s">
        <v>153</v>
      </c>
      <c r="B36" s="389">
        <f>+B37+B38</f>
        <v>208372500.00000003</v>
      </c>
      <c r="C36" s="389"/>
      <c r="D36" s="389">
        <f>+B36*10%</f>
        <v>20837250.000000004</v>
      </c>
      <c r="E36" s="389">
        <f>+B36*10%</f>
        <v>20837250.000000004</v>
      </c>
      <c r="F36" s="410">
        <v>0.1</v>
      </c>
      <c r="G36" s="386">
        <v>0</v>
      </c>
      <c r="H36" s="386"/>
      <c r="I36" s="386"/>
      <c r="J36" s="386"/>
      <c r="K36" s="386"/>
      <c r="L36" s="386">
        <f>+B36-G36-H36-K36</f>
        <v>208372500.00000003</v>
      </c>
      <c r="M36" s="402">
        <f>+L36/$L$61</f>
        <v>1.8007031923500739E-3</v>
      </c>
      <c r="N36" s="398">
        <f>+'DESTINACIONES 2026'!N36*0.8</f>
        <v>0</v>
      </c>
      <c r="O36" s="398"/>
      <c r="P36" s="398"/>
      <c r="Q36" s="398">
        <f>+B36-C36-D36-E36-G36-I36-K36-N36-O36-P36</f>
        <v>166698000.00000003</v>
      </c>
    </row>
    <row r="37" spans="1:18" x14ac:dyDescent="0.2">
      <c r="A37" s="385" t="s">
        <v>575</v>
      </c>
      <c r="B37" s="386">
        <f>+'Proyeccion Ingresos 2024-2027'!E41</f>
        <v>202222045.32075003</v>
      </c>
      <c r="C37" s="386"/>
      <c r="D37" s="386"/>
      <c r="E37" s="386"/>
      <c r="F37" s="408"/>
      <c r="G37" s="386"/>
      <c r="H37" s="386"/>
      <c r="I37" s="386"/>
      <c r="J37" s="386"/>
      <c r="K37" s="386"/>
      <c r="L37" s="386"/>
      <c r="M37" s="402"/>
      <c r="N37" s="398"/>
      <c r="O37" s="398"/>
      <c r="P37" s="398"/>
      <c r="Q37" s="398">
        <v>0</v>
      </c>
    </row>
    <row r="38" spans="1:18" x14ac:dyDescent="0.2">
      <c r="A38" s="385" t="s">
        <v>576</v>
      </c>
      <c r="B38" s="386">
        <f>+'Proyeccion Ingresos 2024-2027'!E42</f>
        <v>6150454.679250001</v>
      </c>
      <c r="C38" s="386"/>
      <c r="D38" s="386"/>
      <c r="E38" s="386"/>
      <c r="F38" s="408"/>
      <c r="G38" s="386"/>
      <c r="H38" s="386"/>
      <c r="I38" s="386"/>
      <c r="J38" s="386"/>
      <c r="K38" s="386"/>
      <c r="L38" s="386"/>
      <c r="M38" s="402"/>
      <c r="N38" s="398"/>
      <c r="O38" s="398"/>
      <c r="P38" s="398"/>
      <c r="Q38" s="398">
        <v>0</v>
      </c>
    </row>
    <row r="39" spans="1:18" x14ac:dyDescent="0.2">
      <c r="A39" s="388" t="s">
        <v>601</v>
      </c>
      <c r="B39" s="386">
        <f>+B40+B41</f>
        <v>12705000.000000002</v>
      </c>
      <c r="C39" s="386"/>
      <c r="D39" s="386">
        <f>+B39*0.1</f>
        <v>1270500.0000000002</v>
      </c>
      <c r="E39" s="386">
        <f>+B39*0.1</f>
        <v>1270500.0000000002</v>
      </c>
      <c r="F39" s="408"/>
      <c r="G39" s="386"/>
      <c r="H39" s="386"/>
      <c r="I39" s="386"/>
      <c r="J39" s="386"/>
      <c r="K39" s="386"/>
      <c r="L39" s="386"/>
      <c r="M39" s="402"/>
      <c r="N39" s="398"/>
      <c r="O39" s="398"/>
      <c r="P39" s="398"/>
      <c r="Q39" s="398">
        <f>+B39*0.8</f>
        <v>10164000.000000002</v>
      </c>
    </row>
    <row r="40" spans="1:18" x14ac:dyDescent="0.2">
      <c r="A40" s="385" t="s">
        <v>575</v>
      </c>
      <c r="B40" s="386">
        <f>+'Proyeccion Ingresos 2024-2027'!E44</f>
        <v>12100000.000000002</v>
      </c>
      <c r="C40" s="386"/>
      <c r="D40" s="386"/>
      <c r="E40" s="386"/>
      <c r="F40" s="408"/>
      <c r="G40" s="386"/>
      <c r="H40" s="386"/>
      <c r="I40" s="386"/>
      <c r="J40" s="386"/>
      <c r="K40" s="386"/>
      <c r="L40" s="386"/>
      <c r="M40" s="402"/>
      <c r="N40" s="398"/>
      <c r="O40" s="398"/>
      <c r="P40" s="398"/>
      <c r="Q40" s="398"/>
    </row>
    <row r="41" spans="1:18" x14ac:dyDescent="0.2">
      <c r="A41" s="385" t="s">
        <v>576</v>
      </c>
      <c r="B41" s="386">
        <f>+'Proyeccion Ingresos 2024-2027'!E45</f>
        <v>605000</v>
      </c>
      <c r="C41" s="386"/>
      <c r="D41" s="386"/>
      <c r="E41" s="386"/>
      <c r="F41" s="408"/>
      <c r="G41" s="386"/>
      <c r="H41" s="386"/>
      <c r="I41" s="386"/>
      <c r="J41" s="386"/>
      <c r="K41" s="386"/>
      <c r="L41" s="386"/>
      <c r="M41" s="402"/>
      <c r="N41" s="398"/>
      <c r="O41" s="398"/>
      <c r="P41" s="398"/>
      <c r="Q41" s="398"/>
    </row>
    <row r="42" spans="1:18" x14ac:dyDescent="0.2">
      <c r="A42" s="388" t="s">
        <v>154</v>
      </c>
      <c r="B42" s="389">
        <f>+B43</f>
        <v>411314388.82033515</v>
      </c>
      <c r="C42" s="389">
        <f>+B42*90%</f>
        <v>370182949.93830162</v>
      </c>
      <c r="D42" s="389">
        <f>+B42*10%</f>
        <v>41131438.882033519</v>
      </c>
      <c r="E42" s="389"/>
      <c r="F42" s="408"/>
      <c r="G42" s="386"/>
      <c r="H42" s="386"/>
      <c r="I42" s="386"/>
      <c r="J42" s="386"/>
      <c r="K42" s="386"/>
      <c r="L42" s="386"/>
      <c r="M42" s="394"/>
      <c r="N42" s="398">
        <f>+N43</f>
        <v>0</v>
      </c>
      <c r="O42" s="398"/>
      <c r="P42" s="398"/>
      <c r="Q42" s="398">
        <v>0</v>
      </c>
    </row>
    <row r="43" spans="1:18" x14ac:dyDescent="0.2">
      <c r="A43" s="388" t="s">
        <v>155</v>
      </c>
      <c r="B43" s="389">
        <f>+B44+B45</f>
        <v>411314388.82033515</v>
      </c>
      <c r="C43" s="389"/>
      <c r="D43" s="389"/>
      <c r="E43" s="389"/>
      <c r="F43" s="408"/>
      <c r="G43" s="386"/>
      <c r="H43" s="386"/>
      <c r="I43" s="386"/>
      <c r="J43" s="386"/>
      <c r="K43" s="386"/>
      <c r="L43" s="386">
        <f>+B43-G43-H43-K43</f>
        <v>411314388.82033515</v>
      </c>
      <c r="M43" s="394"/>
      <c r="N43" s="386"/>
      <c r="O43" s="386"/>
      <c r="P43" s="386"/>
      <c r="Q43" s="386">
        <f>+B43-C43-D43-E43-G43-I43-K43-N43-O43-P43</f>
        <v>411314388.82033515</v>
      </c>
    </row>
    <row r="44" spans="1:18" x14ac:dyDescent="0.2">
      <c r="A44" s="385" t="s">
        <v>575</v>
      </c>
      <c r="B44" s="386">
        <f>+'Proyeccion Ingresos 2024-2027'!E49</f>
        <v>348035252.07874513</v>
      </c>
      <c r="C44" s="386"/>
      <c r="D44" s="386"/>
      <c r="E44" s="386"/>
      <c r="F44" s="408"/>
      <c r="G44" s="386"/>
      <c r="H44" s="386"/>
      <c r="I44" s="386"/>
      <c r="J44" s="386"/>
      <c r="K44" s="386"/>
      <c r="L44" s="386"/>
      <c r="M44" s="394"/>
      <c r="N44" s="386"/>
      <c r="O44" s="386"/>
      <c r="P44" s="386"/>
      <c r="Q44" s="398">
        <v>0</v>
      </c>
    </row>
    <row r="45" spans="1:18" x14ac:dyDescent="0.2">
      <c r="A45" s="385" t="s">
        <v>576</v>
      </c>
      <c r="B45" s="386">
        <f>+'Proyeccion Ingresos 2024-2027'!E50</f>
        <v>63279136.741590016</v>
      </c>
      <c r="C45" s="386"/>
      <c r="D45" s="386"/>
      <c r="E45" s="386"/>
      <c r="F45" s="408"/>
      <c r="G45" s="386"/>
      <c r="H45" s="386"/>
      <c r="I45" s="386"/>
      <c r="J45" s="386"/>
      <c r="K45" s="386"/>
      <c r="L45" s="386"/>
      <c r="M45" s="394"/>
      <c r="N45" s="386"/>
      <c r="O45" s="386"/>
      <c r="P45" s="386"/>
      <c r="Q45" s="398">
        <v>0</v>
      </c>
    </row>
    <row r="46" spans="1:18" x14ac:dyDescent="0.2">
      <c r="A46" s="385" t="s">
        <v>156</v>
      </c>
      <c r="B46" s="386">
        <f>+B47+B50</f>
        <v>108387045000</v>
      </c>
      <c r="C46" s="386"/>
      <c r="D46" s="386"/>
      <c r="E46" s="386">
        <f>+E47+E50</f>
        <v>10830105000</v>
      </c>
      <c r="F46" s="408"/>
      <c r="G46" s="386">
        <f>+G47</f>
        <v>40133412058</v>
      </c>
      <c r="H46" s="386"/>
      <c r="I46" s="386"/>
      <c r="J46" s="386"/>
      <c r="K46" s="386">
        <f>+K47+K50</f>
        <v>16245157500</v>
      </c>
      <c r="L46" s="386"/>
      <c r="M46" s="394"/>
      <c r="N46" s="398">
        <f>+N47</f>
        <v>0</v>
      </c>
      <c r="O46" s="386">
        <f>+O47+O50</f>
        <v>10213532300.559998</v>
      </c>
      <c r="P46" s="398"/>
      <c r="Q46" s="398">
        <f>+B46-C46-D46-E46-G46-I46-K46-N46-O46-P46</f>
        <v>30964838141.440002</v>
      </c>
    </row>
    <row r="47" spans="1:18" x14ac:dyDescent="0.2">
      <c r="A47" s="388" t="s">
        <v>157</v>
      </c>
      <c r="B47" s="389">
        <f>+B48+B49</f>
        <v>108301050000</v>
      </c>
      <c r="C47" s="389"/>
      <c r="D47" s="389"/>
      <c r="E47" s="389">
        <f>+B47*10%</f>
        <v>10830105000</v>
      </c>
      <c r="F47" s="411">
        <v>0.1</v>
      </c>
      <c r="G47" s="386">
        <f>+G48+G49</f>
        <v>40133412058</v>
      </c>
      <c r="H47" s="386"/>
      <c r="I47" s="386"/>
      <c r="J47" s="386"/>
      <c r="K47" s="386">
        <f>+K48+K49</f>
        <v>16245157500</v>
      </c>
      <c r="L47" s="386">
        <f>+B47-G47-K47</f>
        <v>51922480442</v>
      </c>
      <c r="M47" s="402">
        <f>+L47/$L$61</f>
        <v>0.44870113036338122</v>
      </c>
      <c r="N47" s="398">
        <f>+N48+N49</f>
        <v>0</v>
      </c>
      <c r="O47" s="389">
        <f>+O48+O49</f>
        <v>10213532300.559998</v>
      </c>
      <c r="P47" s="398"/>
      <c r="Q47" s="398">
        <f>+B47-C47-D47-E47-G47-I47-K47-N47-O47-P47</f>
        <v>30878843141.440002</v>
      </c>
      <c r="R47" s="126"/>
    </row>
    <row r="48" spans="1:18" x14ac:dyDescent="0.2">
      <c r="A48" s="385" t="s">
        <v>575</v>
      </c>
      <c r="B48" s="386">
        <f>+'Proyeccion Ingresos 2024-2027'!E55</f>
        <v>88245300000</v>
      </c>
      <c r="C48" s="386"/>
      <c r="D48" s="386"/>
      <c r="E48" s="386"/>
      <c r="F48" s="408"/>
      <c r="G48" s="386">
        <f>40133412058*0.8</f>
        <v>32106729646.400002</v>
      </c>
      <c r="H48" s="386"/>
      <c r="I48" s="386"/>
      <c r="J48" s="386"/>
      <c r="K48" s="386">
        <f>+B48*0.15</f>
        <v>13236795000</v>
      </c>
      <c r="L48" s="386"/>
      <c r="M48" s="402"/>
      <c r="N48" s="398">
        <f>+'DESTINACIONES 2026'!N48*0.8</f>
        <v>0</v>
      </c>
      <c r="O48" s="398">
        <f>+((B48*0.5)-G48)*0.85</f>
        <v>10213532300.559998</v>
      </c>
      <c r="P48" s="398"/>
      <c r="Q48" s="398">
        <f>+B48-G48-K48-N48-O48</f>
        <v>32688243053.040001</v>
      </c>
    </row>
    <row r="49" spans="1:17" x14ac:dyDescent="0.2">
      <c r="A49" s="385" t="s">
        <v>576</v>
      </c>
      <c r="B49" s="386">
        <f>+'Proyeccion Ingresos 2024-2027'!E56</f>
        <v>20055750000</v>
      </c>
      <c r="C49" s="386"/>
      <c r="D49" s="386"/>
      <c r="E49" s="386"/>
      <c r="F49" s="408"/>
      <c r="G49" s="386">
        <f>40133412058*0.2</f>
        <v>8026682411.6000004</v>
      </c>
      <c r="H49" s="386"/>
      <c r="I49" s="386"/>
      <c r="J49" s="386"/>
      <c r="K49" s="386">
        <f>+B49*0.15</f>
        <v>3008362500</v>
      </c>
      <c r="L49" s="386"/>
      <c r="M49" s="402"/>
      <c r="N49" s="398"/>
      <c r="O49" s="398">
        <v>0</v>
      </c>
      <c r="P49" s="398"/>
      <c r="Q49" s="398">
        <f>+B49-G49-K49-N49-O49</f>
        <v>9020705088.3999996</v>
      </c>
    </row>
    <row r="50" spans="1:17" x14ac:dyDescent="0.2">
      <c r="A50" s="388" t="s">
        <v>158</v>
      </c>
      <c r="B50" s="389">
        <f>+'Proyeccion Ingresos 2024-2027'!E57</f>
        <v>85995000</v>
      </c>
      <c r="C50" s="389"/>
      <c r="D50" s="389"/>
      <c r="E50" s="389"/>
      <c r="F50" s="408"/>
      <c r="G50" s="386"/>
      <c r="H50" s="386"/>
      <c r="I50" s="386"/>
      <c r="J50" s="386"/>
      <c r="K50" s="386"/>
      <c r="L50" s="386">
        <f>+B50</f>
        <v>85995000</v>
      </c>
      <c r="M50" s="386"/>
      <c r="N50" s="398">
        <v>0</v>
      </c>
      <c r="O50" s="398"/>
      <c r="P50" s="398"/>
      <c r="Q50" s="398">
        <f>+B50-C50-D50-E50-G50-I50-K50-N50-O50-P50</f>
        <v>85995000</v>
      </c>
    </row>
    <row r="51" spans="1:17" x14ac:dyDescent="0.2">
      <c r="A51" s="385" t="s">
        <v>86</v>
      </c>
      <c r="B51" s="386">
        <f>+B52+B54+B56</f>
        <v>583877479.61681473</v>
      </c>
      <c r="C51" s="386"/>
      <c r="D51" s="386"/>
      <c r="E51" s="386">
        <f>+E52+E54</f>
        <v>58387747.961681478</v>
      </c>
      <c r="F51" s="408"/>
      <c r="G51" s="386"/>
      <c r="H51" s="386"/>
      <c r="I51" s="386"/>
      <c r="J51" s="386"/>
      <c r="K51" s="386"/>
      <c r="L51" s="386">
        <f>+L52+L54+L56</f>
        <v>0</v>
      </c>
      <c r="M51" s="386"/>
      <c r="N51" s="386">
        <f t="shared" ref="N51:Q51" si="7">+N52+N54</f>
        <v>0</v>
      </c>
      <c r="O51" s="386">
        <f t="shared" si="7"/>
        <v>0</v>
      </c>
      <c r="P51" s="386">
        <f t="shared" si="7"/>
        <v>0</v>
      </c>
      <c r="Q51" s="386">
        <f t="shared" si="7"/>
        <v>525489731.65513325</v>
      </c>
    </row>
    <row r="52" spans="1:17" x14ac:dyDescent="0.2">
      <c r="A52" s="385" t="s">
        <v>88</v>
      </c>
      <c r="B52" s="386">
        <f>+B53</f>
        <v>583877479.61681473</v>
      </c>
      <c r="C52" s="386"/>
      <c r="D52" s="386"/>
      <c r="E52" s="386">
        <f>+E53</f>
        <v>58387747.961681478</v>
      </c>
      <c r="F52" s="408"/>
      <c r="G52" s="386"/>
      <c r="H52" s="386"/>
      <c r="I52" s="386"/>
      <c r="J52" s="386"/>
      <c r="K52" s="386"/>
      <c r="L52" s="386"/>
      <c r="M52" s="404"/>
      <c r="N52" s="398">
        <f>+N53</f>
        <v>0</v>
      </c>
      <c r="O52" s="398"/>
      <c r="P52" s="398"/>
      <c r="Q52" s="398">
        <f>+Q53</f>
        <v>525489731.65513325</v>
      </c>
    </row>
    <row r="53" spans="1:17" x14ac:dyDescent="0.2">
      <c r="A53" s="385" t="s">
        <v>159</v>
      </c>
      <c r="B53" s="386">
        <f>+'Proyeccion Ingresos 2024-2027'!E61</f>
        <v>583877479.61681473</v>
      </c>
      <c r="C53" s="386"/>
      <c r="D53" s="386"/>
      <c r="E53" s="386">
        <f>+B53*10%</f>
        <v>58387747.961681478</v>
      </c>
      <c r="F53" s="411">
        <v>0.1</v>
      </c>
      <c r="G53" s="386"/>
      <c r="H53" s="386"/>
      <c r="I53" s="386"/>
      <c r="J53" s="386"/>
      <c r="K53" s="386"/>
      <c r="L53" s="386">
        <f>+B53</f>
        <v>583877479.61681473</v>
      </c>
      <c r="M53" s="402">
        <f>+L53/$L$61</f>
        <v>5.0457236031017207E-3</v>
      </c>
      <c r="N53" s="398">
        <v>0</v>
      </c>
      <c r="O53" s="398"/>
      <c r="P53" s="398"/>
      <c r="Q53" s="398">
        <f>+B53-E53-N53</f>
        <v>525489731.65513325</v>
      </c>
    </row>
    <row r="54" spans="1:17" hidden="1" x14ac:dyDescent="0.2">
      <c r="A54" s="385" t="s">
        <v>160</v>
      </c>
      <c r="B54" s="386">
        <f>+B55</f>
        <v>0</v>
      </c>
      <c r="C54" s="386"/>
      <c r="D54" s="386"/>
      <c r="E54" s="386"/>
      <c r="F54" s="408"/>
      <c r="G54" s="386"/>
      <c r="H54" s="386"/>
      <c r="I54" s="386"/>
      <c r="J54" s="386"/>
      <c r="K54" s="386"/>
      <c r="L54" s="386">
        <f>+L55</f>
        <v>0</v>
      </c>
      <c r="M54" s="386"/>
      <c r="N54" s="398">
        <v>0</v>
      </c>
      <c r="O54" s="398"/>
      <c r="P54" s="398"/>
      <c r="Q54" s="398">
        <f>+B54-C54-D54-E54-G54-I54-K54-N54-O54-P54</f>
        <v>0</v>
      </c>
    </row>
    <row r="55" spans="1:17" hidden="1" x14ac:dyDescent="0.2">
      <c r="A55" s="385" t="s">
        <v>161</v>
      </c>
      <c r="B55" s="386">
        <f>+'INGRESOS 2024'!Q64</f>
        <v>0</v>
      </c>
      <c r="C55" s="386"/>
      <c r="D55" s="386"/>
      <c r="E55" s="386"/>
      <c r="F55" s="408"/>
      <c r="G55" s="386"/>
      <c r="H55" s="386"/>
      <c r="I55" s="386"/>
      <c r="J55" s="386">
        <f>+B55</f>
        <v>0</v>
      </c>
      <c r="K55" s="386"/>
      <c r="L55" s="386"/>
      <c r="M55" s="386"/>
      <c r="N55" s="398"/>
      <c r="O55" s="398"/>
      <c r="P55" s="398"/>
      <c r="Q55" s="398">
        <f>+B55-C55-D55-E55-G55-I55-K55-N55-O55-P55</f>
        <v>0</v>
      </c>
    </row>
    <row r="56" spans="1:17" hidden="1" x14ac:dyDescent="0.2">
      <c r="A56" s="385" t="s">
        <v>162</v>
      </c>
      <c r="B56" s="386">
        <f>+'INGRESOS 2024'!Q62</f>
        <v>0</v>
      </c>
      <c r="C56" s="386"/>
      <c r="D56" s="386"/>
      <c r="E56" s="386"/>
      <c r="F56" s="408"/>
      <c r="G56" s="386">
        <f t="shared" ref="G56:N56" si="8">SUM(G57:G58)</f>
        <v>0</v>
      </c>
      <c r="H56" s="386"/>
      <c r="I56" s="386"/>
      <c r="J56" s="386"/>
      <c r="K56" s="386"/>
      <c r="L56" s="386">
        <f>+'INGRESOS 2024'!V62</f>
        <v>0</v>
      </c>
      <c r="M56" s="386"/>
      <c r="N56" s="386">
        <f t="shared" si="8"/>
        <v>0</v>
      </c>
      <c r="O56" s="386"/>
      <c r="P56" s="386"/>
      <c r="Q56" s="386">
        <f>+B56-C56-D56-E56-G56-I56-K56-N56-O56-P56</f>
        <v>0</v>
      </c>
    </row>
    <row r="57" spans="1:17" hidden="1" x14ac:dyDescent="0.2">
      <c r="A57" s="385"/>
      <c r="B57" s="386"/>
      <c r="C57" s="386"/>
      <c r="D57" s="386"/>
      <c r="E57" s="386"/>
      <c r="F57" s="408"/>
      <c r="G57" s="386"/>
      <c r="H57" s="386"/>
      <c r="I57" s="386"/>
      <c r="J57" s="386"/>
      <c r="K57" s="386"/>
      <c r="L57" s="386"/>
      <c r="M57" s="386"/>
      <c r="N57" s="398"/>
      <c r="O57" s="398"/>
      <c r="P57" s="398"/>
      <c r="Q57" s="398">
        <f>+B57-C57-D57-E57-G57-I57-K57-N57-O57-P57</f>
        <v>0</v>
      </c>
    </row>
    <row r="58" spans="1:17" x14ac:dyDescent="0.2">
      <c r="A58" s="388" t="s">
        <v>101</v>
      </c>
      <c r="B58" s="389">
        <f>+B59+B60</f>
        <v>2676417192.2249999</v>
      </c>
      <c r="C58" s="389">
        <f>+C59</f>
        <v>2676417192.2249999</v>
      </c>
      <c r="D58" s="389"/>
      <c r="E58" s="389"/>
      <c r="F58" s="408"/>
      <c r="G58" s="386"/>
      <c r="H58" s="386"/>
      <c r="I58" s="386"/>
      <c r="J58" s="386"/>
      <c r="K58" s="386"/>
      <c r="L58" s="386">
        <f>+L59+L60</f>
        <v>0</v>
      </c>
      <c r="M58" s="386"/>
      <c r="N58" s="398"/>
      <c r="O58" s="398"/>
      <c r="P58" s="398"/>
      <c r="Q58" s="398">
        <f>+B58-C58-D58-E58-G58-I58-K58-N58-O58-P58</f>
        <v>0</v>
      </c>
    </row>
    <row r="59" spans="1:17" x14ac:dyDescent="0.2">
      <c r="A59" s="385" t="s">
        <v>138</v>
      </c>
      <c r="B59" s="386">
        <f>+'Proyeccion Ingresos 2024-2027'!E70</f>
        <v>2676417192.2249999</v>
      </c>
      <c r="C59" s="386">
        <f>+B59</f>
        <v>2676417192.2249999</v>
      </c>
      <c r="D59" s="386"/>
      <c r="E59" s="386"/>
      <c r="F59" s="408"/>
      <c r="G59" s="386"/>
      <c r="H59" s="386"/>
      <c r="I59" s="386"/>
      <c r="J59" s="386"/>
      <c r="K59" s="386"/>
      <c r="L59" s="386"/>
      <c r="M59" s="386"/>
      <c r="N59" s="398"/>
      <c r="O59" s="398"/>
      <c r="P59" s="398"/>
      <c r="Q59" s="398">
        <v>0</v>
      </c>
    </row>
    <row r="60" spans="1:17" x14ac:dyDescent="0.2">
      <c r="A60" s="385" t="s">
        <v>139</v>
      </c>
      <c r="B60" s="386"/>
      <c r="C60" s="386"/>
      <c r="D60" s="386"/>
      <c r="E60" s="386"/>
      <c r="F60" s="408"/>
      <c r="G60" s="405"/>
      <c r="H60" s="405"/>
      <c r="I60" s="405"/>
      <c r="J60" s="405"/>
      <c r="K60" s="405"/>
      <c r="L60" s="386"/>
      <c r="M60" s="405"/>
      <c r="N60" s="398"/>
      <c r="O60" s="398"/>
      <c r="P60" s="398"/>
      <c r="Q60" s="398">
        <f>+B60-C60-D60-E60-G60-I60-K60-N60-O60-P60</f>
        <v>0</v>
      </c>
    </row>
    <row r="61" spans="1:17" x14ac:dyDescent="0.2">
      <c r="A61" s="414" t="s">
        <v>140</v>
      </c>
      <c r="B61" s="415">
        <f>+B58+B3</f>
        <v>184098708748.65146</v>
      </c>
      <c r="C61" s="415">
        <f>+C58+C3</f>
        <v>16007836601.840368</v>
      </c>
      <c r="D61" s="415">
        <f>+D58+D3</f>
        <v>6328685371.4246302</v>
      </c>
      <c r="E61" s="415">
        <f>+E58+E3</f>
        <v>14924005397.908792</v>
      </c>
      <c r="F61" s="420"/>
      <c r="G61" s="415">
        <f>G3</f>
        <v>40133412058</v>
      </c>
      <c r="H61" s="415">
        <f>+H12</f>
        <v>0</v>
      </c>
      <c r="I61" s="415">
        <f>+I12</f>
        <v>8427423646</v>
      </c>
      <c r="J61" s="415">
        <f>+J55</f>
        <v>0</v>
      </c>
      <c r="K61" s="415">
        <f>+K33+K47</f>
        <v>17131457250</v>
      </c>
      <c r="L61" s="415">
        <f>SUM(L3:L58)</f>
        <v>115717293602.42642</v>
      </c>
      <c r="M61" s="415"/>
      <c r="N61" s="415">
        <f>+N58+N3</f>
        <v>0</v>
      </c>
      <c r="O61" s="415">
        <f>+O58+O3</f>
        <v>12744231380.358557</v>
      </c>
      <c r="P61" s="415">
        <f>+P58+P3</f>
        <v>2652676320.4420643</v>
      </c>
      <c r="Q61" s="415">
        <f>+Q58+Q3</f>
        <v>65748980722.677071</v>
      </c>
    </row>
    <row r="62" spans="1:17" ht="11.25" customHeight="1" x14ac:dyDescent="0.2">
      <c r="B62" s="115"/>
      <c r="C62" s="115"/>
      <c r="D62" s="115"/>
      <c r="E62" s="115"/>
      <c r="F62" s="127"/>
      <c r="G62" s="547" t="s">
        <v>141</v>
      </c>
      <c r="H62" s="548"/>
      <c r="I62" s="548"/>
      <c r="J62" s="548"/>
      <c r="K62" s="549"/>
      <c r="L62" s="127"/>
      <c r="M62" s="127"/>
      <c r="N62" s="117"/>
      <c r="O62" s="117"/>
      <c r="P62" s="117"/>
      <c r="Q62" s="109"/>
    </row>
    <row r="63" spans="1:17" ht="52.5" hidden="1" customHeight="1" thickBot="1" x14ac:dyDescent="0.25">
      <c r="A63" s="118" t="s">
        <v>142</v>
      </c>
      <c r="B63" s="119" t="e">
        <f>SUM(#REF!+#REF!)</f>
        <v>#REF!</v>
      </c>
      <c r="C63" s="119"/>
      <c r="D63" s="119"/>
      <c r="E63" s="119"/>
      <c r="F63" s="412"/>
      <c r="G63" s="120"/>
      <c r="H63" s="120"/>
      <c r="I63" s="120"/>
      <c r="J63" s="120"/>
    </row>
    <row r="64" spans="1:17" ht="11.25" customHeight="1" x14ac:dyDescent="0.2">
      <c r="B64" s="122"/>
      <c r="C64" s="122"/>
      <c r="D64" s="122"/>
      <c r="E64" s="122"/>
      <c r="L64" s="126"/>
      <c r="Q64" s="291"/>
    </row>
    <row r="65" spans="2:17" hidden="1" x14ac:dyDescent="0.2">
      <c r="Q65" s="291"/>
    </row>
    <row r="66" spans="2:17" hidden="1" x14ac:dyDescent="0.2">
      <c r="N66" s="121" t="s">
        <v>128</v>
      </c>
      <c r="Q66" s="291"/>
    </row>
    <row r="67" spans="2:17" hidden="1" x14ac:dyDescent="0.2">
      <c r="N67" s="121" t="s">
        <v>540</v>
      </c>
      <c r="Q67" s="291"/>
    </row>
    <row r="68" spans="2:17" hidden="1" x14ac:dyDescent="0.2">
      <c r="Q68" s="291"/>
    </row>
    <row r="69" spans="2:17" hidden="1" x14ac:dyDescent="0.2">
      <c r="Q69" s="291"/>
    </row>
    <row r="70" spans="2:17" hidden="1" x14ac:dyDescent="0.2">
      <c r="Q70" s="291"/>
    </row>
    <row r="71" spans="2:17" hidden="1" x14ac:dyDescent="0.2">
      <c r="N71" s="121" t="s">
        <v>542</v>
      </c>
      <c r="Q71" s="291"/>
    </row>
    <row r="72" spans="2:17" x14ac:dyDescent="0.2">
      <c r="G72" s="126"/>
      <c r="Q72" s="291"/>
    </row>
    <row r="73" spans="2:17" x14ac:dyDescent="0.2">
      <c r="L73" s="126"/>
      <c r="Q73" s="291">
        <f>+Q61+P61+O61+N61+K61+I61+G61+E61+D61+C61</f>
        <v>184098708748.65146</v>
      </c>
    </row>
    <row r="74" spans="2:17" x14ac:dyDescent="0.2">
      <c r="D74" s="351"/>
      <c r="E74" s="351"/>
      <c r="F74" s="413"/>
      <c r="G74" s="352">
        <v>35678457181</v>
      </c>
      <c r="L74" s="126"/>
      <c r="Q74" s="291"/>
    </row>
    <row r="75" spans="2:17" x14ac:dyDescent="0.2">
      <c r="D75" s="351">
        <f>+'RESUMEN PRESUPUESTAL '!AA9</f>
        <v>3957791223.8999996</v>
      </c>
      <c r="E75" s="351"/>
      <c r="F75" s="413"/>
      <c r="G75" s="352">
        <v>37107595468</v>
      </c>
      <c r="L75" s="126"/>
      <c r="Q75" s="291"/>
    </row>
    <row r="76" spans="2:17" x14ac:dyDescent="0.2">
      <c r="B76" s="359"/>
      <c r="D76" s="351"/>
      <c r="E76" s="351"/>
      <c r="F76" s="413"/>
      <c r="G76" s="360">
        <v>38589819286</v>
      </c>
      <c r="Q76" s="292"/>
    </row>
    <row r="77" spans="2:17" x14ac:dyDescent="0.2">
      <c r="G77" s="360">
        <v>40133412058</v>
      </c>
      <c r="Q77" s="231"/>
    </row>
    <row r="78" spans="2:17" x14ac:dyDescent="0.2">
      <c r="G78" s="352">
        <f>SUM(G74:G77)</f>
        <v>151509283993</v>
      </c>
      <c r="Q78" s="231"/>
    </row>
    <row r="86" spans="17:17" x14ac:dyDescent="0.2">
      <c r="Q86" s="126"/>
    </row>
    <row r="88" spans="17:17" x14ac:dyDescent="0.2">
      <c r="Q88" s="126"/>
    </row>
    <row r="89" spans="17:17" x14ac:dyDescent="0.2">
      <c r="Q89" s="207"/>
    </row>
    <row r="90" spans="17:17" x14ac:dyDescent="0.2">
      <c r="Q90" s="126"/>
    </row>
    <row r="91" spans="17:17" x14ac:dyDescent="0.2">
      <c r="Q91" s="111"/>
    </row>
    <row r="93" spans="17:17" x14ac:dyDescent="0.2">
      <c r="Q93" s="231"/>
    </row>
    <row r="94" spans="17:17" x14ac:dyDescent="0.2">
      <c r="Q94" s="207"/>
    </row>
    <row r="95" spans="17:17" x14ac:dyDescent="0.2">
      <c r="Q95" s="126"/>
    </row>
    <row r="96" spans="17:17" x14ac:dyDescent="0.2">
      <c r="Q96" s="126"/>
    </row>
    <row r="97" spans="15:17" x14ac:dyDescent="0.2">
      <c r="O97" s="559"/>
      <c r="P97" s="361"/>
      <c r="Q97" s="362"/>
    </row>
    <row r="98" spans="15:17" x14ac:dyDescent="0.2">
      <c r="O98" s="559"/>
      <c r="P98" s="361"/>
      <c r="Q98" s="362"/>
    </row>
    <row r="99" spans="15:17" x14ac:dyDescent="0.2">
      <c r="O99" s="559"/>
      <c r="P99" s="361"/>
      <c r="Q99" s="362"/>
    </row>
    <row r="100" spans="15:17" x14ac:dyDescent="0.2">
      <c r="O100" s="559"/>
      <c r="P100" s="361"/>
      <c r="Q100" s="362"/>
    </row>
    <row r="101" spans="15:17" x14ac:dyDescent="0.2">
      <c r="O101" s="559"/>
      <c r="P101" s="361"/>
      <c r="Q101" s="362"/>
    </row>
    <row r="102" spans="15:17" x14ac:dyDescent="0.2">
      <c r="O102" s="559"/>
      <c r="P102" s="361"/>
      <c r="Q102" s="362"/>
    </row>
    <row r="103" spans="15:17" x14ac:dyDescent="0.2">
      <c r="O103" s="559"/>
      <c r="P103" s="361"/>
      <c r="Q103" s="362"/>
    </row>
    <row r="104" spans="15:17" x14ac:dyDescent="0.2">
      <c r="O104" s="363"/>
      <c r="P104" s="363"/>
      <c r="Q104" s="362"/>
    </row>
    <row r="105" spans="15:17" x14ac:dyDescent="0.2">
      <c r="O105" s="363"/>
      <c r="P105" s="363"/>
      <c r="Q105" s="364"/>
    </row>
    <row r="106" spans="15:17" x14ac:dyDescent="0.2">
      <c r="O106" s="361"/>
      <c r="P106" s="361"/>
      <c r="Q106" s="362"/>
    </row>
    <row r="109" spans="15:17" x14ac:dyDescent="0.2">
      <c r="Q109" s="126"/>
    </row>
  </sheetData>
  <mergeCells count="9">
    <mergeCell ref="Q1:Q2"/>
    <mergeCell ref="G62:K62"/>
    <mergeCell ref="O97:O103"/>
    <mergeCell ref="A1:A2"/>
    <mergeCell ref="B1:B2"/>
    <mergeCell ref="G1:K1"/>
    <mergeCell ref="N1:N2"/>
    <mergeCell ref="O1:O2"/>
    <mergeCell ref="P1:P2"/>
  </mergeCells>
  <pageMargins left="0.7" right="0.7" top="0.75" bottom="0.75" header="0.3" footer="0.3"/>
  <ignoredErrors>
    <ignoredError sqref="Q21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8D899-DF91-4BFF-B2B0-A8A800C5E1DE}">
  <sheetPr>
    <pageSetUpPr fitToPage="1"/>
  </sheetPr>
  <dimension ref="A1:CD87"/>
  <sheetViews>
    <sheetView topLeftCell="C20" zoomScaleNormal="100" workbookViewId="0">
      <selection activeCell="G74" sqref="G74:S74"/>
    </sheetView>
  </sheetViews>
  <sheetFormatPr baseColWidth="10" defaultRowHeight="13.2" x14ac:dyDescent="0.25"/>
  <cols>
    <col min="1" max="2" width="16.44140625" style="62" hidden="1" customWidth="1"/>
    <col min="3" max="3" width="37.5546875" style="79" customWidth="1"/>
    <col min="4" max="4" width="18.109375" style="62" customWidth="1"/>
    <col min="5" max="5" width="17.33203125" style="62" customWidth="1"/>
    <col min="6" max="6" width="8.88671875" style="62" hidden="1" customWidth="1"/>
    <col min="7" max="7" width="17.33203125" style="62" customWidth="1"/>
    <col min="8" max="8" width="9.33203125" style="62" hidden="1" customWidth="1"/>
    <col min="9" max="9" width="16.6640625" style="62" hidden="1" customWidth="1"/>
    <col min="10" max="10" width="8.88671875" style="62" hidden="1" customWidth="1"/>
    <col min="11" max="11" width="19" style="62" hidden="1" customWidth="1"/>
    <col min="12" max="12" width="7.33203125" style="62" hidden="1" customWidth="1"/>
    <col min="13" max="13" width="20.109375" style="62" hidden="1" customWidth="1"/>
    <col min="14" max="14" width="6.33203125" style="62" hidden="1" customWidth="1"/>
    <col min="15" max="15" width="17.5546875" style="62" hidden="1" customWidth="1"/>
    <col min="16" max="16" width="6.33203125" style="62" hidden="1" customWidth="1"/>
    <col min="17" max="17" width="18" style="62" hidden="1" customWidth="1"/>
    <col min="18" max="18" width="7.33203125" style="62" hidden="1" customWidth="1"/>
    <col min="19" max="19" width="11.5546875" style="62" customWidth="1"/>
    <col min="20" max="20" width="14.88671875" style="62" customWidth="1"/>
    <col min="21" max="71" width="11.5546875" style="62" customWidth="1"/>
    <col min="72" max="250" width="11.5546875" style="62"/>
    <col min="251" max="251" width="0" style="62" hidden="1" customWidth="1"/>
    <col min="252" max="252" width="31.5546875" style="62" customWidth="1"/>
    <col min="253" max="253" width="14.6640625" style="62" customWidth="1"/>
    <col min="254" max="506" width="11.5546875" style="62"/>
    <col min="507" max="507" width="0" style="62" hidden="1" customWidth="1"/>
    <col min="508" max="508" width="31.5546875" style="62" customWidth="1"/>
    <col min="509" max="509" width="14.6640625" style="62" customWidth="1"/>
    <col min="510" max="762" width="11.5546875" style="62"/>
    <col min="763" max="763" width="0" style="62" hidden="1" customWidth="1"/>
    <col min="764" max="764" width="31.5546875" style="62" customWidth="1"/>
    <col min="765" max="765" width="14.6640625" style="62" customWidth="1"/>
    <col min="766" max="1018" width="11.5546875" style="62"/>
    <col min="1019" max="1019" width="0" style="62" hidden="1" customWidth="1"/>
    <col min="1020" max="1020" width="31.5546875" style="62" customWidth="1"/>
    <col min="1021" max="1021" width="14.6640625" style="62" customWidth="1"/>
    <col min="1022" max="1274" width="11.5546875" style="62"/>
    <col min="1275" max="1275" width="0" style="62" hidden="1" customWidth="1"/>
    <col min="1276" max="1276" width="31.5546875" style="62" customWidth="1"/>
    <col min="1277" max="1277" width="14.6640625" style="62" customWidth="1"/>
    <col min="1278" max="1530" width="11.5546875" style="62"/>
    <col min="1531" max="1531" width="0" style="62" hidden="1" customWidth="1"/>
    <col min="1532" max="1532" width="31.5546875" style="62" customWidth="1"/>
    <col min="1533" max="1533" width="14.6640625" style="62" customWidth="1"/>
    <col min="1534" max="1786" width="11.5546875" style="62"/>
    <col min="1787" max="1787" width="0" style="62" hidden="1" customWidth="1"/>
    <col min="1788" max="1788" width="31.5546875" style="62" customWidth="1"/>
    <col min="1789" max="1789" width="14.6640625" style="62" customWidth="1"/>
    <col min="1790" max="2042" width="11.5546875" style="62"/>
    <col min="2043" max="2043" width="0" style="62" hidden="1" customWidth="1"/>
    <col min="2044" max="2044" width="31.5546875" style="62" customWidth="1"/>
    <col min="2045" max="2045" width="14.6640625" style="62" customWidth="1"/>
    <col min="2046" max="2298" width="11.5546875" style="62"/>
    <col min="2299" max="2299" width="0" style="62" hidden="1" customWidth="1"/>
    <col min="2300" max="2300" width="31.5546875" style="62" customWidth="1"/>
    <col min="2301" max="2301" width="14.6640625" style="62" customWidth="1"/>
    <col min="2302" max="2554" width="11.5546875" style="62"/>
    <col min="2555" max="2555" width="0" style="62" hidden="1" customWidth="1"/>
    <col min="2556" max="2556" width="31.5546875" style="62" customWidth="1"/>
    <col min="2557" max="2557" width="14.6640625" style="62" customWidth="1"/>
    <col min="2558" max="2810" width="11.5546875" style="62"/>
    <col min="2811" max="2811" width="0" style="62" hidden="1" customWidth="1"/>
    <col min="2812" max="2812" width="31.5546875" style="62" customWidth="1"/>
    <col min="2813" max="2813" width="14.6640625" style="62" customWidth="1"/>
    <col min="2814" max="3066" width="11.5546875" style="62"/>
    <col min="3067" max="3067" width="0" style="62" hidden="1" customWidth="1"/>
    <col min="3068" max="3068" width="31.5546875" style="62" customWidth="1"/>
    <col min="3069" max="3069" width="14.6640625" style="62" customWidth="1"/>
    <col min="3070" max="3322" width="11.5546875" style="62"/>
    <col min="3323" max="3323" width="0" style="62" hidden="1" customWidth="1"/>
    <col min="3324" max="3324" width="31.5546875" style="62" customWidth="1"/>
    <col min="3325" max="3325" width="14.6640625" style="62" customWidth="1"/>
    <col min="3326" max="3578" width="11.5546875" style="62"/>
    <col min="3579" max="3579" width="0" style="62" hidden="1" customWidth="1"/>
    <col min="3580" max="3580" width="31.5546875" style="62" customWidth="1"/>
    <col min="3581" max="3581" width="14.6640625" style="62" customWidth="1"/>
    <col min="3582" max="3834" width="11.5546875" style="62"/>
    <col min="3835" max="3835" width="0" style="62" hidden="1" customWidth="1"/>
    <col min="3836" max="3836" width="31.5546875" style="62" customWidth="1"/>
    <col min="3837" max="3837" width="14.6640625" style="62" customWidth="1"/>
    <col min="3838" max="4090" width="11.5546875" style="62"/>
    <col min="4091" max="4091" width="0" style="62" hidden="1" customWidth="1"/>
    <col min="4092" max="4092" width="31.5546875" style="62" customWidth="1"/>
    <col min="4093" max="4093" width="14.6640625" style="62" customWidth="1"/>
    <col min="4094" max="4346" width="11.5546875" style="62"/>
    <col min="4347" max="4347" width="0" style="62" hidden="1" customWidth="1"/>
    <col min="4348" max="4348" width="31.5546875" style="62" customWidth="1"/>
    <col min="4349" max="4349" width="14.6640625" style="62" customWidth="1"/>
    <col min="4350" max="4602" width="11.5546875" style="62"/>
    <col min="4603" max="4603" width="0" style="62" hidden="1" customWidth="1"/>
    <col min="4604" max="4604" width="31.5546875" style="62" customWidth="1"/>
    <col min="4605" max="4605" width="14.6640625" style="62" customWidth="1"/>
    <col min="4606" max="4858" width="11.5546875" style="62"/>
    <col min="4859" max="4859" width="0" style="62" hidden="1" customWidth="1"/>
    <col min="4860" max="4860" width="31.5546875" style="62" customWidth="1"/>
    <col min="4861" max="4861" width="14.6640625" style="62" customWidth="1"/>
    <col min="4862" max="5114" width="11.5546875" style="62"/>
    <col min="5115" max="5115" width="0" style="62" hidden="1" customWidth="1"/>
    <col min="5116" max="5116" width="31.5546875" style="62" customWidth="1"/>
    <col min="5117" max="5117" width="14.6640625" style="62" customWidth="1"/>
    <col min="5118" max="5370" width="11.5546875" style="62"/>
    <col min="5371" max="5371" width="0" style="62" hidden="1" customWidth="1"/>
    <col min="5372" max="5372" width="31.5546875" style="62" customWidth="1"/>
    <col min="5373" max="5373" width="14.6640625" style="62" customWidth="1"/>
    <col min="5374" max="5626" width="11.5546875" style="62"/>
    <col min="5627" max="5627" width="0" style="62" hidden="1" customWidth="1"/>
    <col min="5628" max="5628" width="31.5546875" style="62" customWidth="1"/>
    <col min="5629" max="5629" width="14.6640625" style="62" customWidth="1"/>
    <col min="5630" max="5882" width="11.5546875" style="62"/>
    <col min="5883" max="5883" width="0" style="62" hidden="1" customWidth="1"/>
    <col min="5884" max="5884" width="31.5546875" style="62" customWidth="1"/>
    <col min="5885" max="5885" width="14.6640625" style="62" customWidth="1"/>
    <col min="5886" max="6138" width="11.5546875" style="62"/>
    <col min="6139" max="6139" width="0" style="62" hidden="1" customWidth="1"/>
    <col min="6140" max="6140" width="31.5546875" style="62" customWidth="1"/>
    <col min="6141" max="6141" width="14.6640625" style="62" customWidth="1"/>
    <col min="6142" max="6394" width="11.5546875" style="62"/>
    <col min="6395" max="6395" width="0" style="62" hidden="1" customWidth="1"/>
    <col min="6396" max="6396" width="31.5546875" style="62" customWidth="1"/>
    <col min="6397" max="6397" width="14.6640625" style="62" customWidth="1"/>
    <col min="6398" max="6650" width="11.5546875" style="62"/>
    <col min="6651" max="6651" width="0" style="62" hidden="1" customWidth="1"/>
    <col min="6652" max="6652" width="31.5546875" style="62" customWidth="1"/>
    <col min="6653" max="6653" width="14.6640625" style="62" customWidth="1"/>
    <col min="6654" max="6906" width="11.5546875" style="62"/>
    <col min="6907" max="6907" width="0" style="62" hidden="1" customWidth="1"/>
    <col min="6908" max="6908" width="31.5546875" style="62" customWidth="1"/>
    <col min="6909" max="6909" width="14.6640625" style="62" customWidth="1"/>
    <col min="6910" max="7162" width="11.5546875" style="62"/>
    <col min="7163" max="7163" width="0" style="62" hidden="1" customWidth="1"/>
    <col min="7164" max="7164" width="31.5546875" style="62" customWidth="1"/>
    <col min="7165" max="7165" width="14.6640625" style="62" customWidth="1"/>
    <col min="7166" max="7418" width="11.5546875" style="62"/>
    <col min="7419" max="7419" width="0" style="62" hidden="1" customWidth="1"/>
    <col min="7420" max="7420" width="31.5546875" style="62" customWidth="1"/>
    <col min="7421" max="7421" width="14.6640625" style="62" customWidth="1"/>
    <col min="7422" max="7674" width="11.5546875" style="62"/>
    <col min="7675" max="7675" width="0" style="62" hidden="1" customWidth="1"/>
    <col min="7676" max="7676" width="31.5546875" style="62" customWidth="1"/>
    <col min="7677" max="7677" width="14.6640625" style="62" customWidth="1"/>
    <col min="7678" max="7930" width="11.5546875" style="62"/>
    <col min="7931" max="7931" width="0" style="62" hidden="1" customWidth="1"/>
    <col min="7932" max="7932" width="31.5546875" style="62" customWidth="1"/>
    <col min="7933" max="7933" width="14.6640625" style="62" customWidth="1"/>
    <col min="7934" max="8186" width="11.5546875" style="62"/>
    <col min="8187" max="8187" width="0" style="62" hidden="1" customWidth="1"/>
    <col min="8188" max="8188" width="31.5546875" style="62" customWidth="1"/>
    <col min="8189" max="8189" width="14.6640625" style="62" customWidth="1"/>
    <col min="8190" max="8442" width="11.5546875" style="62"/>
    <col min="8443" max="8443" width="0" style="62" hidden="1" customWidth="1"/>
    <col min="8444" max="8444" width="31.5546875" style="62" customWidth="1"/>
    <col min="8445" max="8445" width="14.6640625" style="62" customWidth="1"/>
    <col min="8446" max="8698" width="11.5546875" style="62"/>
    <col min="8699" max="8699" width="0" style="62" hidden="1" customWidth="1"/>
    <col min="8700" max="8700" width="31.5546875" style="62" customWidth="1"/>
    <col min="8701" max="8701" width="14.6640625" style="62" customWidth="1"/>
    <col min="8702" max="8954" width="11.5546875" style="62"/>
    <col min="8955" max="8955" width="0" style="62" hidden="1" customWidth="1"/>
    <col min="8956" max="8956" width="31.5546875" style="62" customWidth="1"/>
    <col min="8957" max="8957" width="14.6640625" style="62" customWidth="1"/>
    <col min="8958" max="9210" width="11.5546875" style="62"/>
    <col min="9211" max="9211" width="0" style="62" hidden="1" customWidth="1"/>
    <col min="9212" max="9212" width="31.5546875" style="62" customWidth="1"/>
    <col min="9213" max="9213" width="14.6640625" style="62" customWidth="1"/>
    <col min="9214" max="9466" width="11.5546875" style="62"/>
    <col min="9467" max="9467" width="0" style="62" hidden="1" customWidth="1"/>
    <col min="9468" max="9468" width="31.5546875" style="62" customWidth="1"/>
    <col min="9469" max="9469" width="14.6640625" style="62" customWidth="1"/>
    <col min="9470" max="9722" width="11.5546875" style="62"/>
    <col min="9723" max="9723" width="0" style="62" hidden="1" customWidth="1"/>
    <col min="9724" max="9724" width="31.5546875" style="62" customWidth="1"/>
    <col min="9725" max="9725" width="14.6640625" style="62" customWidth="1"/>
    <col min="9726" max="9978" width="11.5546875" style="62"/>
    <col min="9979" max="9979" width="0" style="62" hidden="1" customWidth="1"/>
    <col min="9980" max="9980" width="31.5546875" style="62" customWidth="1"/>
    <col min="9981" max="9981" width="14.6640625" style="62" customWidth="1"/>
    <col min="9982" max="10234" width="11.5546875" style="62"/>
    <col min="10235" max="10235" width="0" style="62" hidden="1" customWidth="1"/>
    <col min="10236" max="10236" width="31.5546875" style="62" customWidth="1"/>
    <col min="10237" max="10237" width="14.6640625" style="62" customWidth="1"/>
    <col min="10238" max="10490" width="11.5546875" style="62"/>
    <col min="10491" max="10491" width="0" style="62" hidden="1" customWidth="1"/>
    <col min="10492" max="10492" width="31.5546875" style="62" customWidth="1"/>
    <col min="10493" max="10493" width="14.6640625" style="62" customWidth="1"/>
    <col min="10494" max="10746" width="11.5546875" style="62"/>
    <col min="10747" max="10747" width="0" style="62" hidden="1" customWidth="1"/>
    <col min="10748" max="10748" width="31.5546875" style="62" customWidth="1"/>
    <col min="10749" max="10749" width="14.6640625" style="62" customWidth="1"/>
    <col min="10750" max="11002" width="11.5546875" style="62"/>
    <col min="11003" max="11003" width="0" style="62" hidden="1" customWidth="1"/>
    <col min="11004" max="11004" width="31.5546875" style="62" customWidth="1"/>
    <col min="11005" max="11005" width="14.6640625" style="62" customWidth="1"/>
    <col min="11006" max="11258" width="11.5546875" style="62"/>
    <col min="11259" max="11259" width="0" style="62" hidden="1" customWidth="1"/>
    <col min="11260" max="11260" width="31.5546875" style="62" customWidth="1"/>
    <col min="11261" max="11261" width="14.6640625" style="62" customWidth="1"/>
    <col min="11262" max="11514" width="11.5546875" style="62"/>
    <col min="11515" max="11515" width="0" style="62" hidden="1" customWidth="1"/>
    <col min="11516" max="11516" width="31.5546875" style="62" customWidth="1"/>
    <col min="11517" max="11517" width="14.6640625" style="62" customWidth="1"/>
    <col min="11518" max="11770" width="11.5546875" style="62"/>
    <col min="11771" max="11771" width="0" style="62" hidden="1" customWidth="1"/>
    <col min="11772" max="11772" width="31.5546875" style="62" customWidth="1"/>
    <col min="11773" max="11773" width="14.6640625" style="62" customWidth="1"/>
    <col min="11774" max="12026" width="11.5546875" style="62"/>
    <col min="12027" max="12027" width="0" style="62" hidden="1" customWidth="1"/>
    <col min="12028" max="12028" width="31.5546875" style="62" customWidth="1"/>
    <col min="12029" max="12029" width="14.6640625" style="62" customWidth="1"/>
    <col min="12030" max="12282" width="11.5546875" style="62"/>
    <col min="12283" max="12283" width="0" style="62" hidden="1" customWidth="1"/>
    <col min="12284" max="12284" width="31.5546875" style="62" customWidth="1"/>
    <col min="12285" max="12285" width="14.6640625" style="62" customWidth="1"/>
    <col min="12286" max="12538" width="11.5546875" style="62"/>
    <col min="12539" max="12539" width="0" style="62" hidden="1" customWidth="1"/>
    <col min="12540" max="12540" width="31.5546875" style="62" customWidth="1"/>
    <col min="12541" max="12541" width="14.6640625" style="62" customWidth="1"/>
    <col min="12542" max="12794" width="11.5546875" style="62"/>
    <col min="12795" max="12795" width="0" style="62" hidden="1" customWidth="1"/>
    <col min="12796" max="12796" width="31.5546875" style="62" customWidth="1"/>
    <col min="12797" max="12797" width="14.6640625" style="62" customWidth="1"/>
    <col min="12798" max="13050" width="11.5546875" style="62"/>
    <col min="13051" max="13051" width="0" style="62" hidden="1" customWidth="1"/>
    <col min="13052" max="13052" width="31.5546875" style="62" customWidth="1"/>
    <col min="13053" max="13053" width="14.6640625" style="62" customWidth="1"/>
    <col min="13054" max="13306" width="11.5546875" style="62"/>
    <col min="13307" max="13307" width="0" style="62" hidden="1" customWidth="1"/>
    <col min="13308" max="13308" width="31.5546875" style="62" customWidth="1"/>
    <col min="13309" max="13309" width="14.6640625" style="62" customWidth="1"/>
    <col min="13310" max="13562" width="11.5546875" style="62"/>
    <col min="13563" max="13563" width="0" style="62" hidden="1" customWidth="1"/>
    <col min="13564" max="13564" width="31.5546875" style="62" customWidth="1"/>
    <col min="13565" max="13565" width="14.6640625" style="62" customWidth="1"/>
    <col min="13566" max="13818" width="11.5546875" style="62"/>
    <col min="13819" max="13819" width="0" style="62" hidden="1" customWidth="1"/>
    <col min="13820" max="13820" width="31.5546875" style="62" customWidth="1"/>
    <col min="13821" max="13821" width="14.6640625" style="62" customWidth="1"/>
    <col min="13822" max="14074" width="11.5546875" style="62"/>
    <col min="14075" max="14075" width="0" style="62" hidden="1" customWidth="1"/>
    <col min="14076" max="14076" width="31.5546875" style="62" customWidth="1"/>
    <col min="14077" max="14077" width="14.6640625" style="62" customWidth="1"/>
    <col min="14078" max="14330" width="11.5546875" style="62"/>
    <col min="14331" max="14331" width="0" style="62" hidden="1" customWidth="1"/>
    <col min="14332" max="14332" width="31.5546875" style="62" customWidth="1"/>
    <col min="14333" max="14333" width="14.6640625" style="62" customWidth="1"/>
    <col min="14334" max="14586" width="11.5546875" style="62"/>
    <col min="14587" max="14587" width="0" style="62" hidden="1" customWidth="1"/>
    <col min="14588" max="14588" width="31.5546875" style="62" customWidth="1"/>
    <col min="14589" max="14589" width="14.6640625" style="62" customWidth="1"/>
    <col min="14590" max="14842" width="11.5546875" style="62"/>
    <col min="14843" max="14843" width="0" style="62" hidden="1" customWidth="1"/>
    <col min="14844" max="14844" width="31.5546875" style="62" customWidth="1"/>
    <col min="14845" max="14845" width="14.6640625" style="62" customWidth="1"/>
    <col min="14846" max="15098" width="11.5546875" style="62"/>
    <col min="15099" max="15099" width="0" style="62" hidden="1" customWidth="1"/>
    <col min="15100" max="15100" width="31.5546875" style="62" customWidth="1"/>
    <col min="15101" max="15101" width="14.6640625" style="62" customWidth="1"/>
    <col min="15102" max="15354" width="11.5546875" style="62"/>
    <col min="15355" max="15355" width="0" style="62" hidden="1" customWidth="1"/>
    <col min="15356" max="15356" width="31.5546875" style="62" customWidth="1"/>
    <col min="15357" max="15357" width="14.6640625" style="62" customWidth="1"/>
    <col min="15358" max="15610" width="11.5546875" style="62"/>
    <col min="15611" max="15611" width="0" style="62" hidden="1" customWidth="1"/>
    <col min="15612" max="15612" width="31.5546875" style="62" customWidth="1"/>
    <col min="15613" max="15613" width="14.6640625" style="62" customWidth="1"/>
    <col min="15614" max="15866" width="11.5546875" style="62"/>
    <col min="15867" max="15867" width="0" style="62" hidden="1" customWidth="1"/>
    <col min="15868" max="15868" width="31.5546875" style="62" customWidth="1"/>
    <col min="15869" max="15869" width="14.6640625" style="62" customWidth="1"/>
    <col min="15870" max="16122" width="11.5546875" style="62"/>
    <col min="16123" max="16123" width="0" style="62" hidden="1" customWidth="1"/>
    <col min="16124" max="16124" width="31.5546875" style="62" customWidth="1"/>
    <col min="16125" max="16125" width="14.6640625" style="62" customWidth="1"/>
    <col min="16126" max="16384" width="11.5546875" style="62"/>
  </cols>
  <sheetData>
    <row r="1" spans="1:82" s="94" customFormat="1" ht="22.5" customHeight="1" x14ac:dyDescent="0.2">
      <c r="A1" s="527" t="s">
        <v>0</v>
      </c>
      <c r="B1" s="527" t="s">
        <v>543</v>
      </c>
      <c r="C1" s="535" t="s">
        <v>1</v>
      </c>
      <c r="D1" s="526" t="s">
        <v>584</v>
      </c>
      <c r="E1" s="526" t="s">
        <v>547</v>
      </c>
      <c r="F1" s="536" t="s">
        <v>122</v>
      </c>
      <c r="G1" s="526" t="s">
        <v>568</v>
      </c>
      <c r="H1" s="534" t="s">
        <v>122</v>
      </c>
      <c r="I1" s="526" t="s">
        <v>548</v>
      </c>
      <c r="J1" s="530" t="s">
        <v>124</v>
      </c>
      <c r="K1" s="537" t="s">
        <v>125</v>
      </c>
      <c r="L1" s="538"/>
      <c r="M1" s="538"/>
      <c r="N1" s="538"/>
      <c r="O1" s="538"/>
      <c r="P1" s="538"/>
      <c r="Q1" s="538"/>
      <c r="R1" s="539"/>
      <c r="S1" s="526" t="s">
        <v>587</v>
      </c>
      <c r="T1" s="334"/>
      <c r="U1" s="334"/>
      <c r="V1" s="334"/>
      <c r="W1" s="334"/>
      <c r="X1" s="334"/>
      <c r="Y1" s="334"/>
      <c r="Z1" s="334"/>
      <c r="AA1" s="334"/>
      <c r="AB1" s="334"/>
      <c r="AC1" s="334"/>
      <c r="AD1" s="334"/>
      <c r="AE1" s="334"/>
      <c r="AF1" s="334"/>
      <c r="AG1" s="334"/>
      <c r="AH1" s="334"/>
      <c r="AI1" s="334"/>
      <c r="AJ1" s="334"/>
      <c r="AK1" s="334"/>
      <c r="AL1" s="334"/>
      <c r="AM1" s="334"/>
      <c r="AN1" s="334"/>
      <c r="AO1" s="334"/>
      <c r="AP1" s="334"/>
      <c r="AQ1" s="334"/>
      <c r="AR1" s="334"/>
      <c r="AS1" s="334"/>
      <c r="AT1" s="334"/>
      <c r="AU1" s="334"/>
      <c r="AV1" s="334"/>
      <c r="AW1" s="334"/>
      <c r="AX1" s="334"/>
      <c r="AY1" s="334"/>
      <c r="AZ1" s="334"/>
      <c r="BA1" s="334"/>
      <c r="BB1" s="334"/>
      <c r="BC1" s="334"/>
      <c r="BD1" s="334"/>
      <c r="BE1" s="334"/>
      <c r="BF1" s="334"/>
      <c r="BG1" s="334"/>
      <c r="BH1" s="334"/>
      <c r="BI1" s="334"/>
      <c r="BJ1" s="334"/>
      <c r="BK1" s="334"/>
      <c r="BL1" s="334"/>
      <c r="BM1" s="334"/>
      <c r="BN1" s="334"/>
      <c r="BO1" s="334"/>
      <c r="BP1" s="334"/>
      <c r="BQ1" s="334"/>
      <c r="BR1" s="334"/>
      <c r="BS1" s="334"/>
      <c r="BT1" s="334"/>
      <c r="BU1" s="334"/>
      <c r="BV1" s="334"/>
      <c r="BW1" s="334"/>
      <c r="BX1" s="334"/>
      <c r="BY1" s="334"/>
      <c r="BZ1" s="334"/>
      <c r="CA1" s="334"/>
      <c r="CB1" s="334"/>
      <c r="CC1" s="334"/>
      <c r="CD1" s="334"/>
    </row>
    <row r="2" spans="1:82" s="94" customFormat="1" ht="22.5" customHeight="1" x14ac:dyDescent="0.2">
      <c r="A2" s="528"/>
      <c r="B2" s="528"/>
      <c r="C2" s="535"/>
      <c r="D2" s="526"/>
      <c r="E2" s="526"/>
      <c r="F2" s="536"/>
      <c r="G2" s="526"/>
      <c r="H2" s="534"/>
      <c r="I2" s="526"/>
      <c r="J2" s="531"/>
      <c r="K2" s="533" t="s">
        <v>126</v>
      </c>
      <c r="L2" s="533"/>
      <c r="M2" s="533" t="s">
        <v>127</v>
      </c>
      <c r="N2" s="533"/>
      <c r="O2" s="533" t="s">
        <v>128</v>
      </c>
      <c r="P2" s="533"/>
      <c r="Q2" s="533"/>
      <c r="R2" s="533"/>
      <c r="S2" s="526"/>
      <c r="T2" s="334"/>
      <c r="U2" s="334"/>
      <c r="V2" s="334"/>
      <c r="W2" s="334"/>
      <c r="X2" s="334"/>
      <c r="Y2" s="334"/>
      <c r="Z2" s="334"/>
      <c r="AA2" s="334"/>
      <c r="AB2" s="334"/>
      <c r="AC2" s="334"/>
      <c r="AD2" s="334"/>
      <c r="AE2" s="334"/>
      <c r="AF2" s="334"/>
      <c r="AG2" s="334"/>
      <c r="AH2" s="334"/>
      <c r="AI2" s="334"/>
      <c r="AJ2" s="334"/>
      <c r="AK2" s="334"/>
      <c r="AL2" s="334"/>
      <c r="AM2" s="334"/>
      <c r="AN2" s="334"/>
      <c r="AO2" s="334"/>
      <c r="AP2" s="334"/>
      <c r="AQ2" s="334"/>
      <c r="AR2" s="334"/>
      <c r="AS2" s="334"/>
      <c r="AT2" s="334"/>
      <c r="AU2" s="334"/>
      <c r="AV2" s="334"/>
      <c r="AW2" s="334"/>
      <c r="AX2" s="334"/>
      <c r="AY2" s="334"/>
      <c r="AZ2" s="334"/>
      <c r="BA2" s="334"/>
      <c r="BB2" s="334"/>
      <c r="BC2" s="334"/>
      <c r="BD2" s="334"/>
      <c r="BE2" s="334"/>
      <c r="BF2" s="334"/>
      <c r="BG2" s="334"/>
      <c r="BH2" s="334"/>
      <c r="BI2" s="334"/>
      <c r="BJ2" s="334"/>
      <c r="BK2" s="334"/>
      <c r="BL2" s="334"/>
      <c r="BM2" s="334"/>
      <c r="BN2" s="334"/>
      <c r="BO2" s="334"/>
      <c r="BP2" s="334"/>
      <c r="BQ2" s="334"/>
      <c r="BR2" s="334"/>
      <c r="BS2" s="334"/>
      <c r="BT2" s="334"/>
      <c r="BU2" s="334"/>
      <c r="BV2" s="334"/>
      <c r="BW2" s="334"/>
      <c r="BX2" s="334"/>
      <c r="BY2" s="334"/>
      <c r="BZ2" s="334"/>
      <c r="CA2" s="334"/>
      <c r="CB2" s="334"/>
      <c r="CC2" s="334"/>
      <c r="CD2" s="334"/>
    </row>
    <row r="3" spans="1:82" s="94" customFormat="1" ht="18.75" customHeight="1" x14ac:dyDescent="0.2">
      <c r="A3" s="529"/>
      <c r="B3" s="529"/>
      <c r="C3" s="535"/>
      <c r="D3" s="526"/>
      <c r="E3" s="526"/>
      <c r="F3" s="536"/>
      <c r="G3" s="526"/>
      <c r="H3" s="534"/>
      <c r="I3" s="526"/>
      <c r="J3" s="532"/>
      <c r="K3" s="527" t="s">
        <v>129</v>
      </c>
      <c r="L3" s="540" t="s">
        <v>122</v>
      </c>
      <c r="M3" s="527" t="s">
        <v>129</v>
      </c>
      <c r="N3" s="540" t="s">
        <v>122</v>
      </c>
      <c r="O3" s="533" t="s">
        <v>130</v>
      </c>
      <c r="P3" s="533"/>
      <c r="Q3" s="533" t="s">
        <v>131</v>
      </c>
      <c r="R3" s="533"/>
      <c r="S3" s="526"/>
      <c r="T3" s="334"/>
      <c r="U3" s="334"/>
      <c r="V3" s="334"/>
      <c r="W3" s="334"/>
      <c r="X3" s="334"/>
      <c r="Y3" s="334"/>
      <c r="Z3" s="334"/>
      <c r="AA3" s="334"/>
      <c r="AB3" s="334"/>
      <c r="AC3" s="334"/>
      <c r="AD3" s="334"/>
      <c r="AE3" s="334"/>
      <c r="AF3" s="334"/>
      <c r="AG3" s="334"/>
      <c r="AH3" s="334"/>
      <c r="AI3" s="334"/>
      <c r="AJ3" s="334"/>
      <c r="AK3" s="334"/>
      <c r="AL3" s="334"/>
      <c r="AM3" s="334"/>
      <c r="AN3" s="334"/>
      <c r="AO3" s="334"/>
      <c r="AP3" s="334"/>
      <c r="AQ3" s="334"/>
      <c r="AR3" s="334"/>
      <c r="AS3" s="334"/>
      <c r="AT3" s="334"/>
      <c r="AU3" s="334"/>
      <c r="AV3" s="334"/>
      <c r="AW3" s="334"/>
      <c r="AX3" s="334"/>
      <c r="AY3" s="334"/>
      <c r="AZ3" s="334"/>
      <c r="BA3" s="334"/>
      <c r="BB3" s="334"/>
      <c r="BC3" s="334"/>
      <c r="BD3" s="334"/>
      <c r="BE3" s="334"/>
      <c r="BF3" s="334"/>
      <c r="BG3" s="334"/>
      <c r="BH3" s="334"/>
      <c r="BI3" s="334"/>
      <c r="BJ3" s="334"/>
      <c r="BK3" s="334"/>
      <c r="BL3" s="334"/>
      <c r="BM3" s="334"/>
      <c r="BN3" s="334"/>
      <c r="BO3" s="334"/>
      <c r="BP3" s="334"/>
      <c r="BQ3" s="334"/>
      <c r="BR3" s="334"/>
      <c r="BS3" s="334"/>
      <c r="BT3" s="334"/>
      <c r="BU3" s="334"/>
      <c r="BV3" s="334"/>
      <c r="BW3" s="334"/>
      <c r="BX3" s="334"/>
      <c r="BY3" s="334"/>
      <c r="BZ3" s="334"/>
      <c r="CA3" s="334"/>
      <c r="CB3" s="334"/>
      <c r="CC3" s="334"/>
      <c r="CD3" s="334"/>
    </row>
    <row r="4" spans="1:82" s="94" customFormat="1" ht="18.75" hidden="1" customHeight="1" x14ac:dyDescent="0.2">
      <c r="A4" s="93"/>
      <c r="B4" s="221"/>
      <c r="C4" s="251"/>
      <c r="D4" s="252"/>
      <c r="E4" s="252"/>
      <c r="F4" s="253"/>
      <c r="G4" s="252"/>
      <c r="H4" s="254"/>
      <c r="I4" s="252"/>
      <c r="J4" s="96"/>
      <c r="K4" s="529"/>
      <c r="L4" s="541"/>
      <c r="M4" s="529"/>
      <c r="N4" s="541"/>
      <c r="O4" s="95" t="s">
        <v>129</v>
      </c>
      <c r="P4" s="99" t="s">
        <v>122</v>
      </c>
      <c r="Q4" s="95" t="s">
        <v>129</v>
      </c>
      <c r="R4" s="99" t="s">
        <v>122</v>
      </c>
      <c r="S4" s="252"/>
      <c r="T4" s="334"/>
      <c r="U4" s="334"/>
      <c r="V4" s="334"/>
      <c r="W4" s="334"/>
      <c r="X4" s="334"/>
      <c r="Y4" s="334"/>
      <c r="Z4" s="334"/>
      <c r="AA4" s="334"/>
      <c r="AB4" s="334"/>
      <c r="AC4" s="334"/>
      <c r="AD4" s="334"/>
      <c r="AE4" s="334"/>
      <c r="AF4" s="334"/>
      <c r="AG4" s="334"/>
      <c r="AH4" s="334"/>
      <c r="AI4" s="334"/>
      <c r="AJ4" s="334"/>
      <c r="AK4" s="334"/>
      <c r="AL4" s="334"/>
      <c r="AM4" s="334"/>
      <c r="AN4" s="334"/>
      <c r="AO4" s="334"/>
      <c r="AP4" s="334"/>
      <c r="AQ4" s="334"/>
      <c r="AR4" s="334"/>
      <c r="AS4" s="334"/>
      <c r="AT4" s="334"/>
      <c r="AU4" s="334"/>
      <c r="AV4" s="334"/>
      <c r="AW4" s="334"/>
      <c r="AX4" s="334"/>
      <c r="AY4" s="334"/>
      <c r="AZ4" s="334"/>
      <c r="BA4" s="334"/>
      <c r="BB4" s="334"/>
      <c r="BC4" s="334"/>
      <c r="BD4" s="334"/>
      <c r="BE4" s="334"/>
      <c r="BF4" s="334"/>
      <c r="BG4" s="334"/>
      <c r="BH4" s="334"/>
      <c r="BI4" s="334"/>
      <c r="BJ4" s="334"/>
      <c r="BK4" s="334"/>
      <c r="BL4" s="334"/>
      <c r="BM4" s="334"/>
      <c r="BN4" s="334"/>
      <c r="BO4" s="334"/>
      <c r="BP4" s="334"/>
      <c r="BQ4" s="334"/>
      <c r="BR4" s="334"/>
      <c r="BS4" s="334"/>
      <c r="BT4" s="334"/>
      <c r="BU4" s="334"/>
      <c r="BV4" s="334"/>
      <c r="BW4" s="334"/>
      <c r="BX4" s="334"/>
      <c r="BY4" s="334"/>
      <c r="BZ4" s="334"/>
      <c r="CA4" s="334"/>
      <c r="CB4" s="334"/>
      <c r="CC4" s="334"/>
      <c r="CD4" s="334"/>
    </row>
    <row r="5" spans="1:82" x14ac:dyDescent="0.25">
      <c r="A5" s="60" t="s">
        <v>2</v>
      </c>
      <c r="B5" s="223"/>
      <c r="C5" s="61" t="s">
        <v>3</v>
      </c>
      <c r="D5" s="310">
        <f>+D6+D58</f>
        <v>148929289342</v>
      </c>
      <c r="E5" s="310">
        <f t="shared" ref="E5:G5" si="0">+E6+E58</f>
        <v>134173484797.73001</v>
      </c>
      <c r="F5" s="311">
        <f>+E5/D5</f>
        <v>0.90092073487045998</v>
      </c>
      <c r="G5" s="310">
        <f t="shared" si="0"/>
        <v>142576598773.89966</v>
      </c>
      <c r="H5" s="255">
        <f>+G5/D5</f>
        <v>0.95734424977002286</v>
      </c>
      <c r="I5" s="168">
        <f t="shared" ref="I5:K5" si="1">+I6+I58</f>
        <v>141260013005.99982</v>
      </c>
      <c r="J5" s="89">
        <f>+(I5-G5)/G5</f>
        <v>-9.2342346445485422E-3</v>
      </c>
      <c r="K5" s="86">
        <f t="shared" si="1"/>
        <v>11494506269.007832</v>
      </c>
      <c r="L5" s="97"/>
      <c r="M5" s="86">
        <f t="shared" ref="M5" si="2">+M6+M58</f>
        <v>5614497519.9706669</v>
      </c>
      <c r="N5" s="97"/>
      <c r="O5" s="86">
        <f t="shared" ref="O5" si="3">+O6+O58</f>
        <v>12363481377.636566</v>
      </c>
      <c r="P5" s="97"/>
      <c r="Q5" s="86">
        <f t="shared" ref="Q5" si="4">+Q6+Q58</f>
        <v>111787527839.38477</v>
      </c>
      <c r="R5" s="97"/>
      <c r="S5" s="336">
        <f>+G5/D5</f>
        <v>0.95734424977002286</v>
      </c>
    </row>
    <row r="6" spans="1:82" s="64" customFormat="1" x14ac:dyDescent="0.25">
      <c r="A6" s="63" t="s">
        <v>4</v>
      </c>
      <c r="B6" s="224"/>
      <c r="C6" s="63" t="s">
        <v>5</v>
      </c>
      <c r="D6" s="314">
        <f>D7+D12</f>
        <v>131210369257</v>
      </c>
      <c r="E6" s="314">
        <f t="shared" ref="E6:G6" si="5">E7+E12</f>
        <v>113166935770.85001</v>
      </c>
      <c r="F6" s="311">
        <f t="shared" ref="F6:F70" si="6">+E6/D6</f>
        <v>0.86248469851640641</v>
      </c>
      <c r="G6" s="314">
        <f t="shared" si="5"/>
        <v>119689977122.44366</v>
      </c>
      <c r="H6" s="255">
        <f t="shared" ref="H6:H68" si="7">+G6/D6</f>
        <v>0.91219907237673037</v>
      </c>
      <c r="I6" s="256">
        <f t="shared" ref="I6:K6" si="8">I7+I12</f>
        <v>140755637686.17102</v>
      </c>
      <c r="J6" s="89">
        <f t="shared" ref="J6:J68" si="9">+(I6-G6)/G6</f>
        <v>0.17600187643261925</v>
      </c>
      <c r="K6" s="84">
        <f t="shared" si="8"/>
        <v>11494506269.007832</v>
      </c>
      <c r="L6" s="97"/>
      <c r="M6" s="84">
        <f t="shared" ref="M6" si="10">M7+M12</f>
        <v>5614497519.9706669</v>
      </c>
      <c r="N6" s="97"/>
      <c r="O6" s="84">
        <f t="shared" ref="O6" si="11">O7+O12</f>
        <v>12313043845.653687</v>
      </c>
      <c r="P6" s="97"/>
      <c r="Q6" s="84">
        <f t="shared" ref="Q6" si="12">Q7+Q12</f>
        <v>111333590051.53885</v>
      </c>
      <c r="R6" s="97"/>
      <c r="S6" s="337">
        <f t="shared" ref="S6:S68" si="13">+G6/D6</f>
        <v>0.91219907237673037</v>
      </c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</row>
    <row r="7" spans="1:82" x14ac:dyDescent="0.25">
      <c r="A7" s="65" t="s">
        <v>6</v>
      </c>
      <c r="B7" s="225"/>
      <c r="C7" s="66" t="s">
        <v>7</v>
      </c>
      <c r="D7" s="316">
        <f>+D8</f>
        <v>15911638600</v>
      </c>
      <c r="E7" s="316">
        <f t="shared" ref="E7:Q8" si="14">+E8</f>
        <v>11965599195.58</v>
      </c>
      <c r="F7" s="311">
        <f t="shared" si="6"/>
        <v>0.75200295182546439</v>
      </c>
      <c r="G7" s="316">
        <f t="shared" si="14"/>
        <v>14007338999.320999</v>
      </c>
      <c r="H7" s="255">
        <f t="shared" si="7"/>
        <v>0.88032033352749728</v>
      </c>
      <c r="I7" s="257">
        <f t="shared" si="14"/>
        <v>16422288760.272699</v>
      </c>
      <c r="J7" s="89">
        <f t="shared" si="9"/>
        <v>0.17240603379905092</v>
      </c>
      <c r="K7" s="85">
        <f t="shared" si="14"/>
        <v>0</v>
      </c>
      <c r="L7" s="97"/>
      <c r="M7" s="85">
        <f t="shared" si="14"/>
        <v>0</v>
      </c>
      <c r="N7" s="97"/>
      <c r="O7" s="85">
        <f t="shared" si="14"/>
        <v>1642228876.0272701</v>
      </c>
      <c r="P7" s="97"/>
      <c r="Q7" s="85">
        <f t="shared" si="14"/>
        <v>14780059884.24543</v>
      </c>
      <c r="R7" s="97"/>
      <c r="S7" s="336">
        <f t="shared" si="13"/>
        <v>0.88032033352749728</v>
      </c>
    </row>
    <row r="8" spans="1:82" s="64" customFormat="1" x14ac:dyDescent="0.25">
      <c r="A8" s="67" t="s">
        <v>8</v>
      </c>
      <c r="B8" s="222"/>
      <c r="C8" s="63" t="s">
        <v>9</v>
      </c>
      <c r="D8" s="314">
        <f>+D9</f>
        <v>15911638600</v>
      </c>
      <c r="E8" s="314">
        <f t="shared" si="14"/>
        <v>11965599195.58</v>
      </c>
      <c r="F8" s="311">
        <f t="shared" si="6"/>
        <v>0.75200295182546439</v>
      </c>
      <c r="G8" s="314">
        <f t="shared" si="14"/>
        <v>14007338999.320999</v>
      </c>
      <c r="H8" s="255">
        <f t="shared" si="7"/>
        <v>0.88032033352749728</v>
      </c>
      <c r="I8" s="256">
        <f t="shared" si="14"/>
        <v>16422288760.272699</v>
      </c>
      <c r="J8" s="89">
        <f t="shared" si="9"/>
        <v>0.17240603379905092</v>
      </c>
      <c r="K8" s="84">
        <f t="shared" si="14"/>
        <v>0</v>
      </c>
      <c r="L8" s="97"/>
      <c r="M8" s="84">
        <f t="shared" si="14"/>
        <v>0</v>
      </c>
      <c r="N8" s="97"/>
      <c r="O8" s="84">
        <f t="shared" si="14"/>
        <v>1642228876.0272701</v>
      </c>
      <c r="P8" s="97"/>
      <c r="Q8" s="84">
        <f t="shared" si="14"/>
        <v>14780059884.24543</v>
      </c>
      <c r="R8" s="97"/>
      <c r="S8" s="337">
        <f t="shared" si="13"/>
        <v>0.88032033352749728</v>
      </c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2"/>
      <c r="CA8" s="62"/>
      <c r="CB8" s="62"/>
      <c r="CC8" s="62"/>
      <c r="CD8" s="62"/>
    </row>
    <row r="9" spans="1:82" x14ac:dyDescent="0.25">
      <c r="A9" s="68" t="s">
        <v>10</v>
      </c>
      <c r="B9" s="226">
        <v>31</v>
      </c>
      <c r="C9" s="66" t="s">
        <v>11</v>
      </c>
      <c r="D9" s="316">
        <f>+D10+D11</f>
        <v>15911638600</v>
      </c>
      <c r="E9" s="316">
        <f t="shared" ref="E9:G9" si="15">+E10+E11</f>
        <v>11965599195.58</v>
      </c>
      <c r="F9" s="311">
        <f t="shared" si="6"/>
        <v>0.75200295182546439</v>
      </c>
      <c r="G9" s="316">
        <f t="shared" si="15"/>
        <v>14007338999.320999</v>
      </c>
      <c r="H9" s="255">
        <f t="shared" si="7"/>
        <v>0.88032033352749728</v>
      </c>
      <c r="I9" s="257">
        <f t="shared" ref="I9:K9" si="16">+I10+I11</f>
        <v>16422288760.272699</v>
      </c>
      <c r="J9" s="89">
        <f t="shared" si="9"/>
        <v>0.17240603379905092</v>
      </c>
      <c r="K9" s="85">
        <f t="shared" si="16"/>
        <v>0</v>
      </c>
      <c r="L9" s="97"/>
      <c r="M9" s="85">
        <f t="shared" ref="M9" si="17">+M10+M11</f>
        <v>0</v>
      </c>
      <c r="N9" s="97"/>
      <c r="O9" s="85">
        <f t="shared" ref="O9" si="18">+O10+O11</f>
        <v>1642228876.0272701</v>
      </c>
      <c r="P9" s="97"/>
      <c r="Q9" s="85">
        <f t="shared" ref="Q9" si="19">+Q10+Q11</f>
        <v>14780059884.24543</v>
      </c>
      <c r="R9" s="97"/>
      <c r="S9" s="336">
        <f t="shared" si="13"/>
        <v>0.88032033352749728</v>
      </c>
    </row>
    <row r="10" spans="1:82" s="64" customFormat="1" x14ac:dyDescent="0.25">
      <c r="A10" s="69" t="s">
        <v>12</v>
      </c>
      <c r="B10" s="222"/>
      <c r="C10" s="63" t="s">
        <v>13</v>
      </c>
      <c r="D10" s="314">
        <v>14074650894</v>
      </c>
      <c r="E10" s="314">
        <v>8451798841.8299999</v>
      </c>
      <c r="F10" s="311">
        <f t="shared" si="6"/>
        <v>0.60049793813592833</v>
      </c>
      <c r="G10" s="314">
        <f>+E10*1.2</f>
        <v>10142158610.195999</v>
      </c>
      <c r="H10" s="255">
        <f t="shared" si="7"/>
        <v>0.72059752576311387</v>
      </c>
      <c r="I10" s="256">
        <f>+G10*1.2</f>
        <v>12170590332.235199</v>
      </c>
      <c r="J10" s="89">
        <f t="shared" si="9"/>
        <v>0.2</v>
      </c>
      <c r="K10" s="80"/>
      <c r="L10" s="97"/>
      <c r="M10" s="80"/>
      <c r="N10" s="97"/>
      <c r="O10" s="80">
        <f>+I10*P10</f>
        <v>1217059033.22352</v>
      </c>
      <c r="P10" s="97">
        <v>0.1</v>
      </c>
      <c r="Q10" s="80">
        <f>+I10*R10</f>
        <v>10953531299.011679</v>
      </c>
      <c r="R10" s="97">
        <v>0.9</v>
      </c>
      <c r="S10" s="337">
        <f t="shared" si="13"/>
        <v>0.72059752576311387</v>
      </c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</row>
    <row r="11" spans="1:82" x14ac:dyDescent="0.25">
      <c r="A11" s="70" t="s">
        <v>14</v>
      </c>
      <c r="B11" s="227"/>
      <c r="C11" s="71" t="s">
        <v>15</v>
      </c>
      <c r="D11" s="316">
        <v>1836987706</v>
      </c>
      <c r="E11" s="316">
        <v>3513800353.75</v>
      </c>
      <c r="F11" s="311">
        <f t="shared" si="6"/>
        <v>1.912805590518198</v>
      </c>
      <c r="G11" s="316">
        <f>+E11*1.1</f>
        <v>3865180389.1250005</v>
      </c>
      <c r="H11" s="255">
        <f t="shared" si="7"/>
        <v>2.1040861495700183</v>
      </c>
      <c r="I11" s="257">
        <f>+G11*1.1</f>
        <v>4251698428.0375009</v>
      </c>
      <c r="J11" s="89">
        <f t="shared" si="9"/>
        <v>0.10000000000000009</v>
      </c>
      <c r="K11" s="81"/>
      <c r="L11" s="97"/>
      <c r="M11" s="81"/>
      <c r="N11" s="97"/>
      <c r="O11" s="81">
        <f>+I11*P11</f>
        <v>425169842.8037501</v>
      </c>
      <c r="P11" s="97">
        <v>0.1</v>
      </c>
      <c r="Q11" s="81">
        <f>+I11*R11</f>
        <v>3826528585.2337508</v>
      </c>
      <c r="R11" s="97">
        <v>0.9</v>
      </c>
      <c r="S11" s="336">
        <f t="shared" si="13"/>
        <v>2.1040861495700183</v>
      </c>
    </row>
    <row r="12" spans="1:82" s="64" customFormat="1" x14ac:dyDescent="0.25">
      <c r="A12" s="69" t="s">
        <v>16</v>
      </c>
      <c r="B12" s="222"/>
      <c r="C12" s="63" t="s">
        <v>17</v>
      </c>
      <c r="D12" s="314">
        <f>+D13+D27+D45+D50</f>
        <v>115298730657</v>
      </c>
      <c r="E12" s="314">
        <f t="shared" ref="E12:G12" si="20">+E13+E27+E45+E50</f>
        <v>101201336575.27</v>
      </c>
      <c r="F12" s="311">
        <f t="shared" si="6"/>
        <v>0.87773157604251462</v>
      </c>
      <c r="G12" s="314">
        <f t="shared" si="20"/>
        <v>105682638123.12267</v>
      </c>
      <c r="H12" s="255">
        <f t="shared" si="7"/>
        <v>0.91659845274026419</v>
      </c>
      <c r="I12" s="256">
        <f>+I13+I27+I45+I50</f>
        <v>124333348925.89833</v>
      </c>
      <c r="J12" s="89">
        <f t="shared" si="9"/>
        <v>0.17647847493215646</v>
      </c>
      <c r="K12" s="84">
        <f t="shared" ref="K12" si="21">+K13+K27+K45+K50</f>
        <v>11494506269.007832</v>
      </c>
      <c r="L12" s="97"/>
      <c r="M12" s="84">
        <f t="shared" ref="M12" si="22">+M13+M27+M45+M50</f>
        <v>5614497519.9706669</v>
      </c>
      <c r="N12" s="97"/>
      <c r="O12" s="84">
        <f t="shared" ref="O12" si="23">+O13+O27+O45+O50</f>
        <v>10670814969.626417</v>
      </c>
      <c r="P12" s="97"/>
      <c r="Q12" s="84">
        <f t="shared" ref="Q12" si="24">+Q13+Q27+Q45+Q50</f>
        <v>96553530167.293427</v>
      </c>
      <c r="R12" s="97"/>
      <c r="S12" s="337">
        <f t="shared" si="13"/>
        <v>0.91659845274026419</v>
      </c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</row>
    <row r="13" spans="1:82" x14ac:dyDescent="0.25">
      <c r="A13" s="72" t="s">
        <v>18</v>
      </c>
      <c r="B13" s="227"/>
      <c r="C13" s="66" t="s">
        <v>19</v>
      </c>
      <c r="D13" s="316">
        <f>+D14</f>
        <v>14424839860</v>
      </c>
      <c r="E13" s="316">
        <f t="shared" ref="E13:Q14" si="25">+E14</f>
        <v>13324895573.67</v>
      </c>
      <c r="F13" s="311">
        <f t="shared" si="6"/>
        <v>0.92374651663342622</v>
      </c>
      <c r="G13" s="316">
        <f t="shared" si="25"/>
        <v>14849541058.836666</v>
      </c>
      <c r="H13" s="255">
        <f t="shared" si="7"/>
        <v>1.0294423510388049</v>
      </c>
      <c r="I13" s="257">
        <f t="shared" si="25"/>
        <v>16976626273.808336</v>
      </c>
      <c r="J13" s="89">
        <f t="shared" si="9"/>
        <v>0.1432424885418182</v>
      </c>
      <c r="K13" s="85">
        <f t="shared" si="25"/>
        <v>1697662627.3808334</v>
      </c>
      <c r="L13" s="97"/>
      <c r="M13" s="85">
        <f t="shared" si="25"/>
        <v>3395325254.7616668</v>
      </c>
      <c r="N13" s="97"/>
      <c r="O13" s="85">
        <f t="shared" si="25"/>
        <v>1028180886.8204167</v>
      </c>
      <c r="P13" s="97"/>
      <c r="Q13" s="85">
        <f t="shared" si="25"/>
        <v>10855457504.845417</v>
      </c>
      <c r="R13" s="97"/>
      <c r="S13" s="336">
        <f t="shared" si="13"/>
        <v>1.0294423510388049</v>
      </c>
    </row>
    <row r="14" spans="1:82" s="64" customFormat="1" ht="12.75" customHeight="1" x14ac:dyDescent="0.25">
      <c r="A14" s="63" t="s">
        <v>20</v>
      </c>
      <c r="B14" s="224"/>
      <c r="C14" s="63" t="s">
        <v>21</v>
      </c>
      <c r="D14" s="314">
        <f>+D15</f>
        <v>14424839860</v>
      </c>
      <c r="E14" s="314">
        <f t="shared" si="25"/>
        <v>13324895573.67</v>
      </c>
      <c r="F14" s="311">
        <f t="shared" si="6"/>
        <v>0.92374651663342622</v>
      </c>
      <c r="G14" s="314">
        <f t="shared" si="25"/>
        <v>14849541058.836666</v>
      </c>
      <c r="H14" s="255">
        <f t="shared" si="7"/>
        <v>1.0294423510388049</v>
      </c>
      <c r="I14" s="256">
        <f t="shared" si="25"/>
        <v>16976626273.808336</v>
      </c>
      <c r="J14" s="89">
        <f t="shared" si="9"/>
        <v>0.1432424885418182</v>
      </c>
      <c r="K14" s="84">
        <f t="shared" si="25"/>
        <v>1697662627.3808334</v>
      </c>
      <c r="L14" s="97"/>
      <c r="M14" s="84">
        <f t="shared" si="25"/>
        <v>3395325254.7616668</v>
      </c>
      <c r="N14" s="97"/>
      <c r="O14" s="84">
        <f t="shared" si="25"/>
        <v>1028180886.8204167</v>
      </c>
      <c r="P14" s="97"/>
      <c r="Q14" s="84">
        <f t="shared" si="25"/>
        <v>10855457504.845417</v>
      </c>
      <c r="R14" s="97"/>
      <c r="S14" s="337">
        <f t="shared" si="13"/>
        <v>1.0294423510388049</v>
      </c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</row>
    <row r="15" spans="1:82" x14ac:dyDescent="0.25">
      <c r="A15" s="73" t="s">
        <v>22</v>
      </c>
      <c r="B15" s="228"/>
      <c r="C15" s="66" t="s">
        <v>23</v>
      </c>
      <c r="D15" s="316">
        <f>+D16+D23</f>
        <v>14424839860</v>
      </c>
      <c r="E15" s="316">
        <f t="shared" ref="E15:G15" si="26">+E16+E23</f>
        <v>13324895573.67</v>
      </c>
      <c r="F15" s="311">
        <f t="shared" si="6"/>
        <v>0.92374651663342622</v>
      </c>
      <c r="G15" s="316">
        <f t="shared" si="26"/>
        <v>14849541058.836666</v>
      </c>
      <c r="H15" s="255">
        <f t="shared" si="7"/>
        <v>1.0294423510388049</v>
      </c>
      <c r="I15" s="257">
        <f t="shared" ref="I15:K15" si="27">+I16+I23</f>
        <v>16976626273.808336</v>
      </c>
      <c r="J15" s="89">
        <f t="shared" si="9"/>
        <v>0.1432424885418182</v>
      </c>
      <c r="K15" s="85">
        <f t="shared" si="27"/>
        <v>1697662627.3808334</v>
      </c>
      <c r="L15" s="97"/>
      <c r="M15" s="85">
        <f t="shared" ref="M15" si="28">+M16+M23</f>
        <v>3395325254.7616668</v>
      </c>
      <c r="N15" s="97"/>
      <c r="O15" s="85">
        <f t="shared" ref="O15" si="29">+O16+O23</f>
        <v>1028180886.8204167</v>
      </c>
      <c r="P15" s="97"/>
      <c r="Q15" s="85">
        <f t="shared" ref="Q15" si="30">+Q16+Q23</f>
        <v>10855457504.845417</v>
      </c>
      <c r="R15" s="97"/>
      <c r="S15" s="336">
        <f t="shared" si="13"/>
        <v>1.0294423510388049</v>
      </c>
    </row>
    <row r="16" spans="1:82" s="64" customFormat="1" x14ac:dyDescent="0.25">
      <c r="A16" s="74" t="s">
        <v>24</v>
      </c>
      <c r="B16" s="222"/>
      <c r="C16" s="63" t="s">
        <v>25</v>
      </c>
      <c r="D16" s="314">
        <f>+D17+D20</f>
        <v>14302168579</v>
      </c>
      <c r="E16" s="314">
        <f t="shared" ref="E16:G16" si="31">+E17+E20</f>
        <v>13297619103.67</v>
      </c>
      <c r="F16" s="311">
        <f t="shared" si="6"/>
        <v>0.92976243638989209</v>
      </c>
      <c r="G16" s="314">
        <f t="shared" si="31"/>
        <v>14813172432.17</v>
      </c>
      <c r="H16" s="255">
        <f t="shared" si="7"/>
        <v>1.0357291169061111</v>
      </c>
      <c r="I16" s="256">
        <f t="shared" ref="I16:K16" si="32">+I17+I20</f>
        <v>16846626273.808336</v>
      </c>
      <c r="J16" s="89">
        <f t="shared" si="9"/>
        <v>0.1372733525481856</v>
      </c>
      <c r="K16" s="84">
        <f t="shared" si="32"/>
        <v>1684662627.3808334</v>
      </c>
      <c r="L16" s="97"/>
      <c r="M16" s="84">
        <f t="shared" ref="M16" si="33">+M17+M20</f>
        <v>3369325254.7616668</v>
      </c>
      <c r="N16" s="97"/>
      <c r="O16" s="84">
        <f t="shared" ref="O16" si="34">+O17+O20</f>
        <v>1015180886.8204167</v>
      </c>
      <c r="P16" s="97"/>
      <c r="Q16" s="84">
        <f t="shared" ref="Q16" si="35">+Q17+Q20</f>
        <v>10777457504.845417</v>
      </c>
      <c r="R16" s="97"/>
      <c r="S16" s="337">
        <f t="shared" si="13"/>
        <v>1.0357291169061111</v>
      </c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</row>
    <row r="17" spans="1:82" x14ac:dyDescent="0.25">
      <c r="A17" s="75" t="s">
        <v>26</v>
      </c>
      <c r="B17" s="227">
        <v>41</v>
      </c>
      <c r="C17" s="66" t="s">
        <v>27</v>
      </c>
      <c r="D17" s="316">
        <f>+D18+D19</f>
        <v>12075022817</v>
      </c>
      <c r="E17" s="316">
        <f t="shared" ref="E17:G17" si="36">+E18+E19</f>
        <v>10560318551.67</v>
      </c>
      <c r="F17" s="311">
        <f t="shared" si="6"/>
        <v>0.8745588900090937</v>
      </c>
      <c r="G17" s="316">
        <f t="shared" si="36"/>
        <v>11588971674.17</v>
      </c>
      <c r="H17" s="255">
        <f t="shared" si="7"/>
        <v>0.95974739342556725</v>
      </c>
      <c r="I17" s="257">
        <f t="shared" ref="I17:K17" si="37">+I18+I19</f>
        <v>13389634811.208336</v>
      </c>
      <c r="J17" s="89">
        <f t="shared" si="9"/>
        <v>0.15537730073598605</v>
      </c>
      <c r="K17" s="85">
        <f t="shared" si="37"/>
        <v>1338963481.1208334</v>
      </c>
      <c r="L17" s="97"/>
      <c r="M17" s="85">
        <f t="shared" ref="M17" si="38">+M18+M19</f>
        <v>2677926962.2416668</v>
      </c>
      <c r="N17" s="97"/>
      <c r="O17" s="85">
        <f t="shared" ref="O17" si="39">+O18+O19</f>
        <v>669481740.5604167</v>
      </c>
      <c r="P17" s="97"/>
      <c r="Q17" s="85">
        <f t="shared" ref="Q17" si="40">+Q18+Q19</f>
        <v>8703262627.2854176</v>
      </c>
      <c r="R17" s="97"/>
      <c r="S17" s="336">
        <f t="shared" si="13"/>
        <v>0.95974739342556725</v>
      </c>
    </row>
    <row r="18" spans="1:82" s="64" customFormat="1" x14ac:dyDescent="0.25">
      <c r="A18" s="74" t="s">
        <v>29</v>
      </c>
      <c r="B18" s="222"/>
      <c r="C18" s="63" t="s">
        <v>30</v>
      </c>
      <c r="D18" s="314">
        <v>11224669097</v>
      </c>
      <c r="E18" s="314">
        <v>10286531225</v>
      </c>
      <c r="F18" s="311">
        <f t="shared" si="6"/>
        <v>0.91642177921746182</v>
      </c>
      <c r="G18" s="314">
        <f>+(E18/10)*11</f>
        <v>11315184347.5</v>
      </c>
      <c r="H18" s="255">
        <f t="shared" si="7"/>
        <v>1.008063957139208</v>
      </c>
      <c r="I18" s="256">
        <f>+G18*1.1</f>
        <v>12446702782.250002</v>
      </c>
      <c r="J18" s="89">
        <f t="shared" si="9"/>
        <v>0.10000000000000017</v>
      </c>
      <c r="K18" s="80">
        <f>+I18*L18</f>
        <v>1244670278.2250001</v>
      </c>
      <c r="L18" s="97">
        <v>0.1</v>
      </c>
      <c r="M18" s="80">
        <f>+I18*N18</f>
        <v>2489340556.4500003</v>
      </c>
      <c r="N18" s="97">
        <v>0.2</v>
      </c>
      <c r="O18" s="80">
        <f>+I18*P18</f>
        <v>622335139.11250007</v>
      </c>
      <c r="P18" s="97">
        <v>0.05</v>
      </c>
      <c r="Q18" s="80">
        <f>+I18*R18</f>
        <v>8090356808.4625006</v>
      </c>
      <c r="R18" s="97">
        <f>100%-L18-N18-P18</f>
        <v>0.64999999999999991</v>
      </c>
      <c r="S18" s="337">
        <f t="shared" si="13"/>
        <v>1.008063957139208</v>
      </c>
      <c r="T18" s="335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/>
      <c r="CD18" s="62"/>
    </row>
    <row r="19" spans="1:82" x14ac:dyDescent="0.25">
      <c r="A19" s="75" t="s">
        <v>31</v>
      </c>
      <c r="B19" s="227"/>
      <c r="C19" s="66" t="s">
        <v>32</v>
      </c>
      <c r="D19" s="316">
        <v>850353720</v>
      </c>
      <c r="E19" s="316">
        <v>273787326.67000002</v>
      </c>
      <c r="F19" s="311">
        <f t="shared" si="6"/>
        <v>0.32196875280324522</v>
      </c>
      <c r="G19" s="316">
        <f>+E19</f>
        <v>273787326.67000002</v>
      </c>
      <c r="H19" s="255">
        <f t="shared" si="7"/>
        <v>0.32196875280324522</v>
      </c>
      <c r="I19" s="257">
        <f>+G18/12</f>
        <v>942932028.95833337</v>
      </c>
      <c r="J19" s="89">
        <f t="shared" si="9"/>
        <v>2.4440309579955963</v>
      </c>
      <c r="K19" s="81">
        <f>+I19*L19</f>
        <v>94293202.895833343</v>
      </c>
      <c r="L19" s="97">
        <v>0.1</v>
      </c>
      <c r="M19" s="81">
        <f>+I19*N19</f>
        <v>188586405.79166669</v>
      </c>
      <c r="N19" s="97">
        <v>0.2</v>
      </c>
      <c r="O19" s="81">
        <f>+I19*P19</f>
        <v>47146601.447916672</v>
      </c>
      <c r="P19" s="97">
        <v>0.05</v>
      </c>
      <c r="Q19" s="81">
        <f>+I19*R19</f>
        <v>612905818.82291663</v>
      </c>
      <c r="R19" s="97">
        <f>100%-L19-N19-P19</f>
        <v>0.64999999999999991</v>
      </c>
      <c r="S19" s="336">
        <f t="shared" si="13"/>
        <v>0.32196875280324522</v>
      </c>
      <c r="T19" s="335"/>
    </row>
    <row r="20" spans="1:82" s="64" customFormat="1" x14ac:dyDescent="0.25">
      <c r="A20" s="74" t="s">
        <v>34</v>
      </c>
      <c r="B20" s="222">
        <v>42</v>
      </c>
      <c r="C20" s="63" t="s">
        <v>35</v>
      </c>
      <c r="D20" s="314">
        <f>+D21+D22</f>
        <v>2227145762</v>
      </c>
      <c r="E20" s="314">
        <f t="shared" ref="E20:G20" si="41">+E21+E22</f>
        <v>2737300552</v>
      </c>
      <c r="F20" s="311">
        <f t="shared" si="6"/>
        <v>1.229062147033374</v>
      </c>
      <c r="G20" s="314">
        <f t="shared" si="41"/>
        <v>3224200758</v>
      </c>
      <c r="H20" s="255">
        <f t="shared" si="7"/>
        <v>1.4476828652223617</v>
      </c>
      <c r="I20" s="256">
        <f t="shared" ref="I20:Q20" si="42">+I21+I22</f>
        <v>3456991462.6000004</v>
      </c>
      <c r="J20" s="89">
        <f t="shared" si="9"/>
        <v>7.2201057586873868E-2</v>
      </c>
      <c r="K20" s="84">
        <f t="shared" si="42"/>
        <v>345699146.26000005</v>
      </c>
      <c r="L20" s="97"/>
      <c r="M20" s="84">
        <f t="shared" si="42"/>
        <v>691398292.5200001</v>
      </c>
      <c r="N20" s="97"/>
      <c r="O20" s="84">
        <f t="shared" si="42"/>
        <v>345699146.26000005</v>
      </c>
      <c r="P20" s="97"/>
      <c r="Q20" s="84">
        <f t="shared" si="42"/>
        <v>2074194877.5600002</v>
      </c>
      <c r="R20" s="97"/>
      <c r="S20" s="337">
        <f t="shared" si="13"/>
        <v>1.4476828652223617</v>
      </c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</row>
    <row r="21" spans="1:82" x14ac:dyDescent="0.25">
      <c r="A21" s="75" t="s">
        <v>36</v>
      </c>
      <c r="B21" s="227"/>
      <c r="C21" s="66" t="s">
        <v>37</v>
      </c>
      <c r="D21" s="316">
        <v>2070304512</v>
      </c>
      <c r="E21" s="316">
        <v>2434501030</v>
      </c>
      <c r="F21" s="311">
        <f t="shared" si="6"/>
        <v>1.1759144685668346</v>
      </c>
      <c r="G21" s="316">
        <f>+(E21/10)*12</f>
        <v>2921401236</v>
      </c>
      <c r="H21" s="255">
        <f t="shared" si="7"/>
        <v>1.4110973622802017</v>
      </c>
      <c r="I21" s="257">
        <f>+G21*1.1</f>
        <v>3213541359.6000004</v>
      </c>
      <c r="J21" s="89">
        <f t="shared" si="9"/>
        <v>0.10000000000000013</v>
      </c>
      <c r="K21" s="81">
        <f>+I21*L21</f>
        <v>321354135.96000004</v>
      </c>
      <c r="L21" s="97">
        <v>0.1</v>
      </c>
      <c r="M21" s="81">
        <f>+I21*N21</f>
        <v>642708271.92000008</v>
      </c>
      <c r="N21" s="97">
        <v>0.2</v>
      </c>
      <c r="O21" s="81">
        <f>+I21*P21</f>
        <v>321354135.96000004</v>
      </c>
      <c r="P21" s="97">
        <v>0.1</v>
      </c>
      <c r="Q21" s="81">
        <f>+I21*R21</f>
        <v>1928124815.7600002</v>
      </c>
      <c r="R21" s="97">
        <v>0.6</v>
      </c>
      <c r="S21" s="336">
        <f t="shared" si="13"/>
        <v>1.4110973622802017</v>
      </c>
    </row>
    <row r="22" spans="1:82" s="64" customFormat="1" x14ac:dyDescent="0.25">
      <c r="A22" s="74" t="s">
        <v>38</v>
      </c>
      <c r="B22" s="222"/>
      <c r="C22" s="63" t="s">
        <v>39</v>
      </c>
      <c r="D22" s="314">
        <v>156841250</v>
      </c>
      <c r="E22" s="314">
        <v>302799522</v>
      </c>
      <c r="F22" s="311">
        <f t="shared" si="6"/>
        <v>1.9306115068580492</v>
      </c>
      <c r="G22" s="314">
        <f>+E22</f>
        <v>302799522</v>
      </c>
      <c r="H22" s="255">
        <f t="shared" si="7"/>
        <v>1.9306115068580492</v>
      </c>
      <c r="I22" s="256">
        <f>+G21/12</f>
        <v>243450103</v>
      </c>
      <c r="J22" s="89">
        <f t="shared" si="9"/>
        <v>-0.19600235366289648</v>
      </c>
      <c r="K22" s="80">
        <f>+I22*L22</f>
        <v>24345010.300000001</v>
      </c>
      <c r="L22" s="97">
        <v>0.1</v>
      </c>
      <c r="M22" s="80">
        <f>+I22*N22</f>
        <v>48690020.600000001</v>
      </c>
      <c r="N22" s="97">
        <v>0.2</v>
      </c>
      <c r="O22" s="80">
        <f>+I22*P22</f>
        <v>24345010.300000001</v>
      </c>
      <c r="P22" s="97">
        <v>0.1</v>
      </c>
      <c r="Q22" s="80">
        <f>+R22*I22</f>
        <v>146070061.79999998</v>
      </c>
      <c r="R22" s="97">
        <v>0.6</v>
      </c>
      <c r="S22" s="337">
        <f t="shared" si="13"/>
        <v>1.9306115068580492</v>
      </c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</row>
    <row r="23" spans="1:82" x14ac:dyDescent="0.25">
      <c r="A23" s="75" t="s">
        <v>40</v>
      </c>
      <c r="B23" s="227"/>
      <c r="C23" s="66" t="s">
        <v>41</v>
      </c>
      <c r="D23" s="316">
        <f>+D24</f>
        <v>122671281</v>
      </c>
      <c r="E23" s="316">
        <f t="shared" ref="E23:Q23" si="43">+E24</f>
        <v>27276470</v>
      </c>
      <c r="F23" s="311">
        <f t="shared" si="6"/>
        <v>0.22235416291120333</v>
      </c>
      <c r="G23" s="316">
        <f t="shared" si="43"/>
        <v>36368626.666666672</v>
      </c>
      <c r="H23" s="255">
        <f t="shared" si="7"/>
        <v>0.29647221721493777</v>
      </c>
      <c r="I23" s="257">
        <f t="shared" si="43"/>
        <v>130000000</v>
      </c>
      <c r="J23" s="89">
        <f t="shared" si="9"/>
        <v>2.5745094581520256</v>
      </c>
      <c r="K23" s="85">
        <f t="shared" si="43"/>
        <v>13000000</v>
      </c>
      <c r="L23" s="97"/>
      <c r="M23" s="85">
        <f t="shared" si="43"/>
        <v>26000000</v>
      </c>
      <c r="N23" s="97"/>
      <c r="O23" s="85">
        <f t="shared" si="43"/>
        <v>13000000</v>
      </c>
      <c r="P23" s="97"/>
      <c r="Q23" s="85">
        <f t="shared" si="43"/>
        <v>78000000</v>
      </c>
      <c r="R23" s="97"/>
      <c r="S23" s="336">
        <f t="shared" si="13"/>
        <v>0.29647221721493777</v>
      </c>
    </row>
    <row r="24" spans="1:82" s="64" customFormat="1" x14ac:dyDescent="0.25">
      <c r="A24" s="74" t="s">
        <v>42</v>
      </c>
      <c r="B24" s="222">
        <v>43</v>
      </c>
      <c r="C24" s="63" t="s">
        <v>43</v>
      </c>
      <c r="D24" s="314">
        <f>+D25+D26</f>
        <v>122671281</v>
      </c>
      <c r="E24" s="314">
        <f t="shared" ref="E24:G24" si="44">+E25+E26</f>
        <v>27276470</v>
      </c>
      <c r="F24" s="311">
        <f t="shared" si="6"/>
        <v>0.22235416291120333</v>
      </c>
      <c r="G24" s="314">
        <f t="shared" si="44"/>
        <v>36368626.666666672</v>
      </c>
      <c r="H24" s="255">
        <f t="shared" si="7"/>
        <v>0.29647221721493777</v>
      </c>
      <c r="I24" s="256">
        <f t="shared" ref="I24:K24" si="45">+I25+I26</f>
        <v>130000000</v>
      </c>
      <c r="J24" s="89">
        <f t="shared" si="9"/>
        <v>2.5745094581520256</v>
      </c>
      <c r="K24" s="84">
        <f t="shared" si="45"/>
        <v>13000000</v>
      </c>
      <c r="L24" s="97"/>
      <c r="M24" s="84">
        <f t="shared" ref="M24" si="46">+M25+M26</f>
        <v>26000000</v>
      </c>
      <c r="N24" s="97"/>
      <c r="O24" s="84">
        <f t="shared" ref="O24" si="47">+O25+O26</f>
        <v>13000000</v>
      </c>
      <c r="P24" s="97"/>
      <c r="Q24" s="84">
        <f t="shared" ref="Q24" si="48">+Q25+Q26</f>
        <v>78000000</v>
      </c>
      <c r="R24" s="97"/>
      <c r="S24" s="337">
        <f t="shared" si="13"/>
        <v>0.29647221721493777</v>
      </c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</row>
    <row r="25" spans="1:82" x14ac:dyDescent="0.25">
      <c r="A25" s="75" t="s">
        <v>44</v>
      </c>
      <c r="B25" s="227"/>
      <c r="C25" s="66" t="s">
        <v>30</v>
      </c>
      <c r="D25" s="316">
        <v>122671281</v>
      </c>
      <c r="E25" s="316">
        <v>27276470</v>
      </c>
      <c r="F25" s="311">
        <f t="shared" si="6"/>
        <v>0.22235416291120333</v>
      </c>
      <c r="G25" s="316">
        <f>+(E25/9)*12</f>
        <v>36368626.666666672</v>
      </c>
      <c r="H25" s="255">
        <f t="shared" si="7"/>
        <v>0.29647221721493777</v>
      </c>
      <c r="I25" s="257">
        <v>120000000</v>
      </c>
      <c r="J25" s="89">
        <f t="shared" si="9"/>
        <v>2.2995471921403317</v>
      </c>
      <c r="K25" s="81">
        <f>+I25*L25</f>
        <v>12000000</v>
      </c>
      <c r="L25" s="97">
        <v>0.1</v>
      </c>
      <c r="M25" s="81">
        <f>+I25*N25</f>
        <v>24000000</v>
      </c>
      <c r="N25" s="97">
        <v>0.2</v>
      </c>
      <c r="O25" s="81">
        <f>+P25*I25</f>
        <v>12000000</v>
      </c>
      <c r="P25" s="97">
        <v>0.1</v>
      </c>
      <c r="Q25" s="81">
        <f>+R25*I25</f>
        <v>72000000</v>
      </c>
      <c r="R25" s="97">
        <v>0.6</v>
      </c>
      <c r="S25" s="336">
        <f t="shared" si="13"/>
        <v>0.29647221721493777</v>
      </c>
    </row>
    <row r="26" spans="1:82" s="64" customFormat="1" hidden="1" x14ac:dyDescent="0.25">
      <c r="A26" s="74" t="s">
        <v>45</v>
      </c>
      <c r="B26" s="222"/>
      <c r="C26" s="63" t="s">
        <v>32</v>
      </c>
      <c r="D26" s="314">
        <v>0</v>
      </c>
      <c r="E26" s="314">
        <v>0</v>
      </c>
      <c r="F26" s="311">
        <v>0</v>
      </c>
      <c r="G26" s="314">
        <f>+E26</f>
        <v>0</v>
      </c>
      <c r="H26" s="255">
        <v>0</v>
      </c>
      <c r="I26" s="256">
        <v>10000000</v>
      </c>
      <c r="J26" s="89">
        <v>0</v>
      </c>
      <c r="K26" s="80">
        <f>+I26*L26</f>
        <v>1000000</v>
      </c>
      <c r="L26" s="97">
        <v>0.1</v>
      </c>
      <c r="M26" s="80">
        <f>+N26*I26</f>
        <v>2000000</v>
      </c>
      <c r="N26" s="97">
        <v>0.2</v>
      </c>
      <c r="O26" s="80">
        <f>+P26*I26</f>
        <v>1000000</v>
      </c>
      <c r="P26" s="97">
        <v>0.1</v>
      </c>
      <c r="Q26" s="80">
        <f>+R26*I26</f>
        <v>6000000</v>
      </c>
      <c r="R26" s="97">
        <v>0.6</v>
      </c>
      <c r="S26" s="337">
        <v>0</v>
      </c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</row>
    <row r="27" spans="1:82" x14ac:dyDescent="0.25">
      <c r="A27" s="75" t="s">
        <v>46</v>
      </c>
      <c r="B27" s="227"/>
      <c r="C27" s="66" t="s">
        <v>47</v>
      </c>
      <c r="D27" s="316">
        <f>+D28+D30+D33+D36+D39+D42</f>
        <v>16867132558</v>
      </c>
      <c r="E27" s="316">
        <f t="shared" ref="E27:G27" si="49">+E28+E30+E33+E36+E39+E42</f>
        <v>15515622634.6</v>
      </c>
      <c r="F27" s="311">
        <f t="shared" si="6"/>
        <v>0.91987316642276673</v>
      </c>
      <c r="G27" s="316">
        <f t="shared" si="49"/>
        <v>18374263721.685997</v>
      </c>
      <c r="H27" s="255">
        <f t="shared" si="7"/>
        <v>1.0893531344763856</v>
      </c>
      <c r="I27" s="257">
        <f>+I28+I30+I33+I36+I39+I42</f>
        <v>21836413818.209999</v>
      </c>
      <c r="J27" s="89">
        <f t="shared" si="9"/>
        <v>0.1884238818471862</v>
      </c>
      <c r="K27" s="85">
        <f t="shared" ref="K27" si="50">+K28+K30+K33+K36+K39+K42</f>
        <v>9477065691.1349983</v>
      </c>
      <c r="L27" s="97"/>
      <c r="M27" s="85">
        <f t="shared" ref="M27" si="51">+M28+M30+M33+M36+M39+M42</f>
        <v>2183641381.8210001</v>
      </c>
      <c r="N27" s="97"/>
      <c r="O27" s="85">
        <f t="shared" ref="O27" si="52">+O28+O30+O33+O36+O39+O42</f>
        <v>1130634082.806</v>
      </c>
      <c r="P27" s="97"/>
      <c r="Q27" s="85">
        <f t="shared" ref="Q27" si="53">+Q28+Q30+Q33+Q36+Q39+Q42</f>
        <v>9045072662.448</v>
      </c>
      <c r="R27" s="97"/>
      <c r="S27" s="336">
        <f t="shared" si="13"/>
        <v>1.0893531344763856</v>
      </c>
    </row>
    <row r="28" spans="1:82" s="64" customFormat="1" x14ac:dyDescent="0.25">
      <c r="A28" s="74" t="s">
        <v>49</v>
      </c>
      <c r="B28" s="222">
        <v>21</v>
      </c>
      <c r="C28" s="63" t="s">
        <v>50</v>
      </c>
      <c r="D28" s="314">
        <f>+D29</f>
        <v>78564081</v>
      </c>
      <c r="E28" s="314">
        <f t="shared" ref="E28:Q28" si="54">+E29</f>
        <v>133609071.59</v>
      </c>
      <c r="F28" s="311">
        <f t="shared" si="6"/>
        <v>1.7006381273650997</v>
      </c>
      <c r="G28" s="314">
        <f t="shared" si="54"/>
        <v>160330885.90799999</v>
      </c>
      <c r="H28" s="255">
        <f t="shared" si="7"/>
        <v>2.0407657528381193</v>
      </c>
      <c r="I28" s="256">
        <f t="shared" si="54"/>
        <v>176363974.49880001</v>
      </c>
      <c r="J28" s="89">
        <f t="shared" si="9"/>
        <v>0.10000000000000012</v>
      </c>
      <c r="K28" s="84">
        <f t="shared" si="54"/>
        <v>158727577.04892001</v>
      </c>
      <c r="L28" s="97"/>
      <c r="M28" s="84">
        <f t="shared" si="54"/>
        <v>17636397.44988</v>
      </c>
      <c r="N28" s="97"/>
      <c r="O28" s="84">
        <f t="shared" si="54"/>
        <v>0</v>
      </c>
      <c r="P28" s="97"/>
      <c r="Q28" s="84">
        <f t="shared" si="54"/>
        <v>0</v>
      </c>
      <c r="R28" s="97"/>
      <c r="S28" s="337">
        <f t="shared" si="13"/>
        <v>2.0407657528381193</v>
      </c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</row>
    <row r="29" spans="1:82" x14ac:dyDescent="0.25">
      <c r="A29" s="75" t="s">
        <v>51</v>
      </c>
      <c r="B29" s="227"/>
      <c r="C29" s="66" t="s">
        <v>30</v>
      </c>
      <c r="D29" s="316">
        <v>78564081</v>
      </c>
      <c r="E29" s="316">
        <v>133609071.59</v>
      </c>
      <c r="F29" s="311">
        <f t="shared" si="6"/>
        <v>1.7006381273650997</v>
      </c>
      <c r="G29" s="316">
        <f>+(E29/10)*12</f>
        <v>160330885.90799999</v>
      </c>
      <c r="H29" s="255">
        <f t="shared" si="7"/>
        <v>2.0407657528381193</v>
      </c>
      <c r="I29" s="257">
        <f>+G29*1.1</f>
        <v>176363974.49880001</v>
      </c>
      <c r="J29" s="89">
        <f t="shared" si="9"/>
        <v>0.10000000000000012</v>
      </c>
      <c r="K29" s="81">
        <f>+I29*L29</f>
        <v>158727577.04892001</v>
      </c>
      <c r="L29" s="97">
        <v>0.9</v>
      </c>
      <c r="M29" s="81">
        <f>+N29*I29</f>
        <v>17636397.44988</v>
      </c>
      <c r="N29" s="97">
        <v>0.1</v>
      </c>
      <c r="O29" s="81"/>
      <c r="P29" s="97"/>
      <c r="Q29" s="81"/>
      <c r="R29" s="97"/>
      <c r="S29" s="336">
        <f t="shared" si="13"/>
        <v>2.0407657528381193</v>
      </c>
    </row>
    <row r="30" spans="1:82" s="64" customFormat="1" x14ac:dyDescent="0.25">
      <c r="A30" s="74" t="s">
        <v>52</v>
      </c>
      <c r="B30" s="222">
        <v>22</v>
      </c>
      <c r="C30" s="63" t="s">
        <v>53</v>
      </c>
      <c r="D30" s="314">
        <f>+D31+D32</f>
        <v>2793096170</v>
      </c>
      <c r="E30" s="314">
        <f t="shared" ref="E30:G30" si="55">+E31+E32</f>
        <v>5934379560.9899998</v>
      </c>
      <c r="F30" s="311">
        <f t="shared" si="6"/>
        <v>2.1246599471689511</v>
      </c>
      <c r="G30" s="314">
        <f t="shared" si="55"/>
        <v>6973643119.789999</v>
      </c>
      <c r="H30" s="255">
        <f t="shared" si="7"/>
        <v>2.4967429316227228</v>
      </c>
      <c r="I30" s="256">
        <f t="shared" ref="I30:Q30" si="56">+I31+I32</f>
        <v>8106255758.6399984</v>
      </c>
      <c r="J30" s="89">
        <f t="shared" si="9"/>
        <v>0.16241333538216771</v>
      </c>
      <c r="K30" s="84">
        <f t="shared" si="56"/>
        <v>7295630182.7759991</v>
      </c>
      <c r="L30" s="97"/>
      <c r="M30" s="84">
        <f t="shared" si="56"/>
        <v>810625575.86399996</v>
      </c>
      <c r="N30" s="97"/>
      <c r="O30" s="84">
        <f t="shared" si="56"/>
        <v>0</v>
      </c>
      <c r="P30" s="97"/>
      <c r="Q30" s="84">
        <f t="shared" si="56"/>
        <v>0</v>
      </c>
      <c r="R30" s="97"/>
      <c r="S30" s="337">
        <f t="shared" si="13"/>
        <v>2.4967429316227228</v>
      </c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</row>
    <row r="31" spans="1:82" x14ac:dyDescent="0.25">
      <c r="A31" s="73" t="s">
        <v>54</v>
      </c>
      <c r="B31" s="228"/>
      <c r="C31" s="66" t="s">
        <v>55</v>
      </c>
      <c r="D31" s="316">
        <v>2129269875</v>
      </c>
      <c r="E31" s="316">
        <v>5196317794</v>
      </c>
      <c r="F31" s="311">
        <f t="shared" si="6"/>
        <v>2.4404223508774341</v>
      </c>
      <c r="G31" s="316">
        <f>+(E31/10)*12</f>
        <v>6235581352.7999992</v>
      </c>
      <c r="H31" s="255">
        <f t="shared" si="7"/>
        <v>2.9285068210529204</v>
      </c>
      <c r="I31" s="257">
        <f>+G31*1.2</f>
        <v>7482697623.3599987</v>
      </c>
      <c r="J31" s="89">
        <f t="shared" si="9"/>
        <v>0.19999999999999993</v>
      </c>
      <c r="K31" s="81">
        <f>+I31*L31</f>
        <v>6734427861.0239992</v>
      </c>
      <c r="L31" s="97">
        <v>0.9</v>
      </c>
      <c r="M31" s="81">
        <f>+I31*N31</f>
        <v>748269762.33599997</v>
      </c>
      <c r="N31" s="97">
        <v>0.1</v>
      </c>
      <c r="O31" s="81"/>
      <c r="P31" s="97"/>
      <c r="Q31" s="81"/>
      <c r="R31" s="97"/>
      <c r="S31" s="336">
        <f t="shared" si="13"/>
        <v>2.9285068210529204</v>
      </c>
    </row>
    <row r="32" spans="1:82" s="64" customFormat="1" x14ac:dyDescent="0.25">
      <c r="A32" s="74" t="s">
        <v>56</v>
      </c>
      <c r="B32" s="222"/>
      <c r="C32" s="63" t="s">
        <v>39</v>
      </c>
      <c r="D32" s="314">
        <v>663826295</v>
      </c>
      <c r="E32" s="314">
        <v>738061766.99000001</v>
      </c>
      <c r="F32" s="311">
        <f t="shared" si="6"/>
        <v>1.1118296647016672</v>
      </c>
      <c r="G32" s="314">
        <f>+E32</f>
        <v>738061766.99000001</v>
      </c>
      <c r="H32" s="255">
        <f t="shared" si="7"/>
        <v>1.1118296647016672</v>
      </c>
      <c r="I32" s="256">
        <f>+G31*0.1</f>
        <v>623558135.27999997</v>
      </c>
      <c r="J32" s="89">
        <f t="shared" si="9"/>
        <v>-0.15514098796496995</v>
      </c>
      <c r="K32" s="80">
        <f>+I32*L32</f>
        <v>561202321.75199997</v>
      </c>
      <c r="L32" s="97">
        <v>0.9</v>
      </c>
      <c r="M32" s="80">
        <f>+I32*N32</f>
        <v>62355813.527999997</v>
      </c>
      <c r="N32" s="97">
        <v>0.1</v>
      </c>
      <c r="O32" s="80"/>
      <c r="P32" s="97"/>
      <c r="Q32" s="80"/>
      <c r="R32" s="97"/>
      <c r="S32" s="337">
        <f t="shared" si="13"/>
        <v>1.1118296647016672</v>
      </c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</row>
    <row r="33" spans="1:82" x14ac:dyDescent="0.25">
      <c r="A33" s="75" t="s">
        <v>57</v>
      </c>
      <c r="B33" s="227">
        <v>23</v>
      </c>
      <c r="C33" s="66" t="s">
        <v>58</v>
      </c>
      <c r="D33" s="316">
        <f>+D34+D35</f>
        <v>5213166714</v>
      </c>
      <c r="E33" s="316">
        <f t="shared" ref="E33:G33" si="57">+E34+E35</f>
        <v>1617828035.02</v>
      </c>
      <c r="F33" s="311">
        <f t="shared" si="6"/>
        <v>0.31033498903369233</v>
      </c>
      <c r="G33" s="316">
        <f t="shared" si="57"/>
        <v>1885381994.188</v>
      </c>
      <c r="H33" s="255">
        <f t="shared" si="7"/>
        <v>0.36165772123204726</v>
      </c>
      <c r="I33" s="257">
        <f t="shared" ref="I33:Q33" si="58">+I34+I35</f>
        <v>2247453257.0112</v>
      </c>
      <c r="J33" s="89">
        <f t="shared" si="9"/>
        <v>0.1920413284625313</v>
      </c>
      <c r="K33" s="85">
        <f t="shared" si="58"/>
        <v>2022707931.3100798</v>
      </c>
      <c r="L33" s="97"/>
      <c r="M33" s="85">
        <f t="shared" si="58"/>
        <v>224745325.70112002</v>
      </c>
      <c r="N33" s="97"/>
      <c r="O33" s="85">
        <f t="shared" si="58"/>
        <v>0</v>
      </c>
      <c r="P33" s="97"/>
      <c r="Q33" s="85">
        <f t="shared" si="58"/>
        <v>0</v>
      </c>
      <c r="R33" s="97"/>
      <c r="S33" s="336">
        <f t="shared" si="13"/>
        <v>0.36165772123204726</v>
      </c>
    </row>
    <row r="34" spans="1:82" s="64" customFormat="1" x14ac:dyDescent="0.25">
      <c r="A34" s="74" t="s">
        <v>59</v>
      </c>
      <c r="B34" s="222"/>
      <c r="C34" s="63" t="s">
        <v>55</v>
      </c>
      <c r="D34" s="314">
        <v>5067947331</v>
      </c>
      <c r="E34" s="314">
        <v>1337769795.8399999</v>
      </c>
      <c r="F34" s="311">
        <f t="shared" si="6"/>
        <v>0.26396679137863754</v>
      </c>
      <c r="G34" s="314">
        <f>+(E34/10)*12</f>
        <v>1605323755.0079999</v>
      </c>
      <c r="H34" s="255">
        <f t="shared" si="7"/>
        <v>0.31676014965436505</v>
      </c>
      <c r="I34" s="256">
        <f>+G34*1.2</f>
        <v>1926388506.0095999</v>
      </c>
      <c r="J34" s="89">
        <f t="shared" si="9"/>
        <v>0.20000000000000004</v>
      </c>
      <c r="K34" s="80">
        <f>+I34*L34</f>
        <v>1733749655.4086399</v>
      </c>
      <c r="L34" s="97">
        <v>0.9</v>
      </c>
      <c r="M34" s="80">
        <f>+I34*N34</f>
        <v>192638850.60096002</v>
      </c>
      <c r="N34" s="97">
        <v>0.1</v>
      </c>
      <c r="O34" s="80"/>
      <c r="P34" s="97"/>
      <c r="Q34" s="80"/>
      <c r="R34" s="97"/>
      <c r="S34" s="337">
        <f t="shared" si="13"/>
        <v>0.31676014965436505</v>
      </c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</row>
    <row r="35" spans="1:82" x14ac:dyDescent="0.25">
      <c r="A35" s="75" t="s">
        <v>60</v>
      </c>
      <c r="B35" s="227"/>
      <c r="C35" s="66" t="s">
        <v>39</v>
      </c>
      <c r="D35" s="316">
        <v>145219383</v>
      </c>
      <c r="E35" s="316">
        <v>280058239.18000001</v>
      </c>
      <c r="F35" s="311">
        <f t="shared" si="6"/>
        <v>1.9285183106720678</v>
      </c>
      <c r="G35" s="316">
        <f>+E35</f>
        <v>280058239.18000001</v>
      </c>
      <c r="H35" s="255">
        <f t="shared" si="7"/>
        <v>1.9285183106720678</v>
      </c>
      <c r="I35" s="257">
        <f>+G34:G34*0.2</f>
        <v>321064751.00159997</v>
      </c>
      <c r="J35" s="89">
        <f t="shared" si="9"/>
        <v>0.14642137271756575</v>
      </c>
      <c r="K35" s="81">
        <f>+I35*L35</f>
        <v>288958275.90143996</v>
      </c>
      <c r="L35" s="97">
        <v>0.9</v>
      </c>
      <c r="M35" s="81">
        <f>+I35*N35</f>
        <v>32106475.100159999</v>
      </c>
      <c r="N35" s="97">
        <v>0.1</v>
      </c>
      <c r="O35" s="81"/>
      <c r="P35" s="97"/>
      <c r="Q35" s="81"/>
      <c r="R35" s="97"/>
      <c r="S35" s="336">
        <f t="shared" si="13"/>
        <v>1.9285183106720678</v>
      </c>
    </row>
    <row r="36" spans="1:82" s="64" customFormat="1" x14ac:dyDescent="0.25">
      <c r="A36" s="74" t="s">
        <v>61</v>
      </c>
      <c r="B36" s="222">
        <v>51</v>
      </c>
      <c r="C36" s="63" t="s">
        <v>62</v>
      </c>
      <c r="D36" s="314">
        <f>+D37+D38</f>
        <v>1424686900</v>
      </c>
      <c r="E36" s="314">
        <f t="shared" ref="E36:G36" si="59">+E37+E38</f>
        <v>1594782766</v>
      </c>
      <c r="F36" s="311">
        <f t="shared" si="6"/>
        <v>1.1193917526721133</v>
      </c>
      <c r="G36" s="314">
        <f t="shared" si="59"/>
        <v>1903026398.1999998</v>
      </c>
      <c r="H36" s="255">
        <f t="shared" si="7"/>
        <v>1.3357506117309002</v>
      </c>
      <c r="I36" s="256">
        <f t="shared" ref="I36:Q36" si="60">+I37+I38</f>
        <v>2278275217.3399997</v>
      </c>
      <c r="J36" s="89">
        <f t="shared" si="9"/>
        <v>0.19718529364329021</v>
      </c>
      <c r="K36" s="84">
        <f t="shared" si="60"/>
        <v>0</v>
      </c>
      <c r="L36" s="97"/>
      <c r="M36" s="84">
        <f t="shared" si="60"/>
        <v>227827521.734</v>
      </c>
      <c r="N36" s="97"/>
      <c r="O36" s="84">
        <f t="shared" si="60"/>
        <v>227827521.734</v>
      </c>
      <c r="P36" s="97"/>
      <c r="Q36" s="84">
        <f t="shared" si="60"/>
        <v>1822620173.872</v>
      </c>
      <c r="R36" s="97"/>
      <c r="S36" s="337">
        <f t="shared" si="13"/>
        <v>1.3357506117309002</v>
      </c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</row>
    <row r="37" spans="1:82" x14ac:dyDescent="0.25">
      <c r="A37" s="75" t="s">
        <v>63</v>
      </c>
      <c r="B37" s="227"/>
      <c r="C37" s="66" t="s">
        <v>55</v>
      </c>
      <c r="D37" s="316">
        <v>1323171610</v>
      </c>
      <c r="E37" s="316">
        <v>1541218161</v>
      </c>
      <c r="F37" s="311">
        <f t="shared" si="6"/>
        <v>1.1647908323849239</v>
      </c>
      <c r="G37" s="316">
        <f>+(E37/10)*12</f>
        <v>1849461793.1999998</v>
      </c>
      <c r="H37" s="255">
        <f t="shared" si="7"/>
        <v>1.3977489988619087</v>
      </c>
      <c r="I37" s="257">
        <f>+G37*1.2</f>
        <v>2219354151.8399997</v>
      </c>
      <c r="J37" s="89">
        <f t="shared" si="9"/>
        <v>0.19999999999999996</v>
      </c>
      <c r="K37" s="81"/>
      <c r="L37" s="97"/>
      <c r="M37" s="81">
        <f>+I37*N37</f>
        <v>221935415.18399999</v>
      </c>
      <c r="N37" s="97">
        <v>0.1</v>
      </c>
      <c r="O37" s="81">
        <f>+I37*P37</f>
        <v>221935415.18399999</v>
      </c>
      <c r="P37" s="97">
        <v>0.1</v>
      </c>
      <c r="Q37" s="81">
        <f>+R37*I37</f>
        <v>1775483321.4719999</v>
      </c>
      <c r="R37" s="97">
        <v>0.8</v>
      </c>
      <c r="S37" s="336">
        <f t="shared" si="13"/>
        <v>1.3977489988619087</v>
      </c>
    </row>
    <row r="38" spans="1:82" s="64" customFormat="1" x14ac:dyDescent="0.25">
      <c r="A38" s="74" t="s">
        <v>64</v>
      </c>
      <c r="B38" s="222"/>
      <c r="C38" s="63" t="s">
        <v>39</v>
      </c>
      <c r="D38" s="314">
        <v>101515290</v>
      </c>
      <c r="E38" s="314">
        <v>53564605</v>
      </c>
      <c r="F38" s="311">
        <f t="shared" si="6"/>
        <v>0.52765061302588012</v>
      </c>
      <c r="G38" s="314">
        <f>+E38</f>
        <v>53564605</v>
      </c>
      <c r="H38" s="255">
        <f t="shared" si="7"/>
        <v>0.52765061302588012</v>
      </c>
      <c r="I38" s="256">
        <f>+G38*1.1</f>
        <v>58921065.500000007</v>
      </c>
      <c r="J38" s="89">
        <f t="shared" si="9"/>
        <v>0.10000000000000014</v>
      </c>
      <c r="K38" s="80"/>
      <c r="L38" s="97"/>
      <c r="M38" s="80">
        <f>+I38*N38</f>
        <v>5892106.5500000007</v>
      </c>
      <c r="N38" s="97">
        <v>0.1</v>
      </c>
      <c r="O38" s="80">
        <f>+P38*I38</f>
        <v>5892106.5500000007</v>
      </c>
      <c r="P38" s="97">
        <v>0.1</v>
      </c>
      <c r="Q38" s="80">
        <f>+R38*I38</f>
        <v>47136852.400000006</v>
      </c>
      <c r="R38" s="97">
        <v>0.8</v>
      </c>
      <c r="S38" s="337">
        <f t="shared" si="13"/>
        <v>0.52765061302588012</v>
      </c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2"/>
      <c r="CA38" s="62"/>
      <c r="CB38" s="62"/>
      <c r="CC38" s="62"/>
      <c r="CD38" s="62"/>
    </row>
    <row r="39" spans="1:82" x14ac:dyDescent="0.25">
      <c r="A39" s="75" t="s">
        <v>65</v>
      </c>
      <c r="B39" s="227">
        <v>52</v>
      </c>
      <c r="C39" s="66" t="s">
        <v>66</v>
      </c>
      <c r="D39" s="316">
        <f>+D40+D41</f>
        <v>7207618693</v>
      </c>
      <c r="E39" s="316">
        <f t="shared" ref="E39:G39" si="61">+E40+E41</f>
        <v>6192382318</v>
      </c>
      <c r="F39" s="311">
        <f t="shared" si="6"/>
        <v>0.85914399495273075</v>
      </c>
      <c r="G39" s="316">
        <f t="shared" si="61"/>
        <v>7404812945.5999994</v>
      </c>
      <c r="H39" s="255">
        <f t="shared" si="7"/>
        <v>1.0273591405149545</v>
      </c>
      <c r="I39" s="257">
        <f t="shared" ref="I39:Q39" si="62">+I40+I41</f>
        <v>8872752616.7199993</v>
      </c>
      <c r="J39" s="89">
        <f t="shared" si="9"/>
        <v>0.19824129007772731</v>
      </c>
      <c r="K39" s="85">
        <f t="shared" si="62"/>
        <v>0</v>
      </c>
      <c r="L39" s="97"/>
      <c r="M39" s="85">
        <f t="shared" si="62"/>
        <v>887275261.67199993</v>
      </c>
      <c r="N39" s="97"/>
      <c r="O39" s="85">
        <f t="shared" si="62"/>
        <v>887275261.67199993</v>
      </c>
      <c r="P39" s="97"/>
      <c r="Q39" s="85">
        <f t="shared" si="62"/>
        <v>7098202093.3759995</v>
      </c>
      <c r="R39" s="97"/>
      <c r="S39" s="336">
        <f t="shared" si="13"/>
        <v>1.0273591405149545</v>
      </c>
    </row>
    <row r="40" spans="1:82" s="64" customFormat="1" x14ac:dyDescent="0.25">
      <c r="A40" s="74" t="s">
        <v>67</v>
      </c>
      <c r="B40" s="222"/>
      <c r="C40" s="63" t="s">
        <v>55</v>
      </c>
      <c r="D40" s="314">
        <v>7090320866</v>
      </c>
      <c r="E40" s="314">
        <v>6062153138</v>
      </c>
      <c r="F40" s="311">
        <f t="shared" si="6"/>
        <v>0.85498995779861786</v>
      </c>
      <c r="G40" s="314">
        <f>+(E40/10)*12</f>
        <v>7274583765.5999994</v>
      </c>
      <c r="H40" s="255">
        <f t="shared" si="7"/>
        <v>1.0259879493583415</v>
      </c>
      <c r="I40" s="256">
        <f>+G40*1.2</f>
        <v>8729500518.7199993</v>
      </c>
      <c r="J40" s="89">
        <f t="shared" si="9"/>
        <v>0.2</v>
      </c>
      <c r="K40" s="80"/>
      <c r="L40" s="97"/>
      <c r="M40" s="80">
        <f>+N40*I40</f>
        <v>872950051.87199998</v>
      </c>
      <c r="N40" s="97">
        <v>0.1</v>
      </c>
      <c r="O40" s="80">
        <f>+P40*I40</f>
        <v>872950051.87199998</v>
      </c>
      <c r="P40" s="97">
        <v>0.1</v>
      </c>
      <c r="Q40" s="80">
        <f>+R40*I40</f>
        <v>6983600414.9759998</v>
      </c>
      <c r="R40" s="97">
        <v>0.8</v>
      </c>
      <c r="S40" s="337">
        <f t="shared" si="13"/>
        <v>1.0259879493583415</v>
      </c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2"/>
      <c r="BM40" s="62"/>
      <c r="BN40" s="62"/>
      <c r="BO40" s="62"/>
      <c r="BP40" s="62"/>
      <c r="BQ40" s="62"/>
      <c r="BR40" s="62"/>
      <c r="BS40" s="62"/>
      <c r="BT40" s="62"/>
      <c r="BU40" s="62"/>
      <c r="BV40" s="62"/>
      <c r="BW40" s="62"/>
      <c r="BX40" s="62"/>
      <c r="BY40" s="62"/>
      <c r="BZ40" s="62"/>
      <c r="CA40" s="62"/>
      <c r="CB40" s="62"/>
      <c r="CC40" s="62"/>
      <c r="CD40" s="62"/>
    </row>
    <row r="41" spans="1:82" x14ac:dyDescent="0.25">
      <c r="A41" s="73" t="s">
        <v>68</v>
      </c>
      <c r="B41" s="228"/>
      <c r="C41" s="66" t="s">
        <v>39</v>
      </c>
      <c r="D41" s="316">
        <v>117297827</v>
      </c>
      <c r="E41" s="316">
        <v>130229180</v>
      </c>
      <c r="F41" s="311">
        <f t="shared" si="6"/>
        <v>1.1102437558370113</v>
      </c>
      <c r="G41" s="316">
        <f>+E41</f>
        <v>130229180</v>
      </c>
      <c r="H41" s="255">
        <f t="shared" si="7"/>
        <v>1.1102437558370113</v>
      </c>
      <c r="I41" s="257">
        <f>+G41*1.1</f>
        <v>143252098</v>
      </c>
      <c r="J41" s="89">
        <f t="shared" si="9"/>
        <v>0.1</v>
      </c>
      <c r="K41" s="81"/>
      <c r="L41" s="97"/>
      <c r="M41" s="81">
        <f>+N41*I41</f>
        <v>14325209.800000001</v>
      </c>
      <c r="N41" s="97">
        <v>0.1</v>
      </c>
      <c r="O41" s="81">
        <f>+P41*I41</f>
        <v>14325209.800000001</v>
      </c>
      <c r="P41" s="97">
        <v>0.1</v>
      </c>
      <c r="Q41" s="81">
        <f>+R41*I41</f>
        <v>114601678.40000001</v>
      </c>
      <c r="R41" s="97">
        <v>0.8</v>
      </c>
      <c r="S41" s="336">
        <f t="shared" si="13"/>
        <v>1.1102437558370113</v>
      </c>
    </row>
    <row r="42" spans="1:82" s="64" customFormat="1" x14ac:dyDescent="0.25">
      <c r="A42" s="74" t="s">
        <v>69</v>
      </c>
      <c r="B42" s="222">
        <v>53</v>
      </c>
      <c r="C42" s="63" t="s">
        <v>70</v>
      </c>
      <c r="D42" s="314">
        <f>+D43+D44</f>
        <v>150000000</v>
      </c>
      <c r="E42" s="314">
        <f t="shared" ref="E42:G42" si="63">+E43+E44</f>
        <v>42640883</v>
      </c>
      <c r="F42" s="311">
        <f t="shared" si="6"/>
        <v>0.28427255333333334</v>
      </c>
      <c r="G42" s="314">
        <f t="shared" si="63"/>
        <v>47068378</v>
      </c>
      <c r="H42" s="255">
        <f t="shared" si="7"/>
        <v>0.31378918666666666</v>
      </c>
      <c r="I42" s="256">
        <f t="shared" ref="I42:Q42" si="64">+I43+I44</f>
        <v>155312994</v>
      </c>
      <c r="J42" s="89">
        <f t="shared" si="9"/>
        <v>2.299731169831261</v>
      </c>
      <c r="K42" s="84">
        <f t="shared" si="64"/>
        <v>0</v>
      </c>
      <c r="L42" s="97"/>
      <c r="M42" s="84">
        <f t="shared" si="64"/>
        <v>15531299.4</v>
      </c>
      <c r="N42" s="97"/>
      <c r="O42" s="84">
        <f t="shared" si="64"/>
        <v>15531299.4</v>
      </c>
      <c r="P42" s="97"/>
      <c r="Q42" s="84">
        <f t="shared" si="64"/>
        <v>124250395.2</v>
      </c>
      <c r="R42" s="97"/>
      <c r="S42" s="337">
        <f t="shared" si="13"/>
        <v>0.31378918666666666</v>
      </c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2"/>
      <c r="BM42" s="62"/>
      <c r="BN42" s="62"/>
      <c r="BO42" s="62"/>
      <c r="BP42" s="62"/>
      <c r="BQ42" s="62"/>
      <c r="BR42" s="62"/>
      <c r="BS42" s="62"/>
      <c r="BT42" s="62"/>
      <c r="BU42" s="62"/>
      <c r="BV42" s="62"/>
      <c r="BW42" s="62"/>
      <c r="BX42" s="62"/>
      <c r="BY42" s="62"/>
      <c r="BZ42" s="62"/>
      <c r="CA42" s="62"/>
      <c r="CB42" s="62"/>
      <c r="CC42" s="62"/>
      <c r="CD42" s="62"/>
    </row>
    <row r="43" spans="1:82" x14ac:dyDescent="0.25">
      <c r="A43" s="75" t="s">
        <v>71</v>
      </c>
      <c r="B43" s="227"/>
      <c r="C43" s="66" t="s">
        <v>13</v>
      </c>
      <c r="D43" s="316">
        <v>150000000</v>
      </c>
      <c r="E43" s="316">
        <v>22137475</v>
      </c>
      <c r="F43" s="311">
        <f t="shared" si="6"/>
        <v>0.14758316666666665</v>
      </c>
      <c r="G43" s="316">
        <f>+E43*1.2</f>
        <v>26564970</v>
      </c>
      <c r="H43" s="255">
        <f t="shared" si="7"/>
        <v>0.1770998</v>
      </c>
      <c r="I43" s="257">
        <v>150000000</v>
      </c>
      <c r="J43" s="89">
        <f t="shared" si="9"/>
        <v>4.6465337623193248</v>
      </c>
      <c r="K43" s="81"/>
      <c r="L43" s="97"/>
      <c r="M43" s="81">
        <f>+I43*N43</f>
        <v>15000000</v>
      </c>
      <c r="N43" s="97">
        <v>0.1</v>
      </c>
      <c r="O43" s="81">
        <f>+I43*P43</f>
        <v>15000000</v>
      </c>
      <c r="P43" s="97">
        <v>0.1</v>
      </c>
      <c r="Q43" s="81">
        <f>+I43*R43</f>
        <v>120000000</v>
      </c>
      <c r="R43" s="97">
        <v>0.8</v>
      </c>
      <c r="S43" s="336">
        <f t="shared" si="13"/>
        <v>0.1770998</v>
      </c>
    </row>
    <row r="44" spans="1:82" s="64" customFormat="1" x14ac:dyDescent="0.25">
      <c r="A44" s="74" t="s">
        <v>72</v>
      </c>
      <c r="B44" s="222"/>
      <c r="C44" s="63" t="s">
        <v>15</v>
      </c>
      <c r="D44" s="314">
        <v>0</v>
      </c>
      <c r="E44" s="314">
        <v>20503408</v>
      </c>
      <c r="F44" s="311">
        <v>0</v>
      </c>
      <c r="G44" s="314">
        <f>+E44</f>
        <v>20503408</v>
      </c>
      <c r="H44" s="255">
        <v>0</v>
      </c>
      <c r="I44" s="256">
        <f>+G43*0.2</f>
        <v>5312994</v>
      </c>
      <c r="J44" s="89">
        <f t="shared" si="9"/>
        <v>-0.74087263931927805</v>
      </c>
      <c r="K44" s="80"/>
      <c r="L44" s="97"/>
      <c r="M44" s="80">
        <f>+I44*N44</f>
        <v>531299.4</v>
      </c>
      <c r="N44" s="97">
        <v>0.1</v>
      </c>
      <c r="O44" s="80">
        <f>+I44*P44</f>
        <v>531299.4</v>
      </c>
      <c r="P44" s="97">
        <v>0.1</v>
      </c>
      <c r="Q44" s="80">
        <f>+I44*R44</f>
        <v>4250395.2</v>
      </c>
      <c r="R44" s="97">
        <v>0.8</v>
      </c>
      <c r="S44" s="337">
        <v>0</v>
      </c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2"/>
      <c r="BL44" s="62"/>
      <c r="BM44" s="62"/>
      <c r="BN44" s="62"/>
      <c r="BO44" s="62"/>
      <c r="BP44" s="62"/>
      <c r="BQ44" s="62"/>
      <c r="BR44" s="62"/>
      <c r="BS44" s="62"/>
      <c r="BT44" s="62"/>
      <c r="BU44" s="62"/>
      <c r="BV44" s="62"/>
      <c r="BW44" s="62"/>
      <c r="BX44" s="62"/>
      <c r="BY44" s="62"/>
      <c r="BZ44" s="62"/>
      <c r="CA44" s="62"/>
      <c r="CB44" s="62"/>
      <c r="CC44" s="62"/>
      <c r="CD44" s="62"/>
    </row>
    <row r="45" spans="1:82" x14ac:dyDescent="0.25">
      <c r="A45" s="75" t="s">
        <v>73</v>
      </c>
      <c r="B45" s="227"/>
      <c r="C45" s="66" t="s">
        <v>74</v>
      </c>
      <c r="D45" s="316">
        <f>+D46</f>
        <v>26758239</v>
      </c>
      <c r="E45" s="316">
        <f t="shared" ref="E45:Q46" si="65">+E46</f>
        <v>446891666</v>
      </c>
      <c r="F45" s="311">
        <f t="shared" si="6"/>
        <v>16.701086570009334</v>
      </c>
      <c r="G45" s="316">
        <f t="shared" si="65"/>
        <v>459906641.60000002</v>
      </c>
      <c r="H45" s="255">
        <f t="shared" si="7"/>
        <v>17.187477905403266</v>
      </c>
      <c r="I45" s="257">
        <f t="shared" si="65"/>
        <v>355308833.88000011</v>
      </c>
      <c r="J45" s="89">
        <f t="shared" si="9"/>
        <v>-0.22743269667971655</v>
      </c>
      <c r="K45" s="85">
        <f t="shared" si="65"/>
        <v>319777950.4920001</v>
      </c>
      <c r="L45" s="97"/>
      <c r="M45" s="85">
        <f t="shared" si="65"/>
        <v>35530883.388000011</v>
      </c>
      <c r="N45" s="97"/>
      <c r="O45" s="85">
        <f t="shared" si="65"/>
        <v>0</v>
      </c>
      <c r="P45" s="97"/>
      <c r="Q45" s="85">
        <f t="shared" si="65"/>
        <v>0</v>
      </c>
      <c r="R45" s="97"/>
      <c r="S45" s="336">
        <f t="shared" si="13"/>
        <v>17.187477905403266</v>
      </c>
    </row>
    <row r="46" spans="1:82" s="64" customFormat="1" x14ac:dyDescent="0.25">
      <c r="A46" s="74" t="s">
        <v>75</v>
      </c>
      <c r="B46" s="222"/>
      <c r="C46" s="63" t="s">
        <v>76</v>
      </c>
      <c r="D46" s="314">
        <f>+D47</f>
        <v>26758239</v>
      </c>
      <c r="E46" s="314">
        <f t="shared" si="65"/>
        <v>446891666</v>
      </c>
      <c r="F46" s="311">
        <f t="shared" si="6"/>
        <v>16.701086570009334</v>
      </c>
      <c r="G46" s="314">
        <f t="shared" si="65"/>
        <v>459906641.60000002</v>
      </c>
      <c r="H46" s="255">
        <f t="shared" si="7"/>
        <v>17.187477905403266</v>
      </c>
      <c r="I46" s="256">
        <f t="shared" si="65"/>
        <v>355308833.88000011</v>
      </c>
      <c r="J46" s="89">
        <f t="shared" si="9"/>
        <v>-0.22743269667971655</v>
      </c>
      <c r="K46" s="84">
        <f t="shared" si="65"/>
        <v>319777950.4920001</v>
      </c>
      <c r="L46" s="97"/>
      <c r="M46" s="84">
        <f t="shared" si="65"/>
        <v>35530883.388000011</v>
      </c>
      <c r="N46" s="97"/>
      <c r="O46" s="84">
        <f t="shared" si="65"/>
        <v>0</v>
      </c>
      <c r="P46" s="97"/>
      <c r="Q46" s="84">
        <f t="shared" si="65"/>
        <v>0</v>
      </c>
      <c r="R46" s="97"/>
      <c r="S46" s="337">
        <f t="shared" si="13"/>
        <v>17.187477905403266</v>
      </c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62"/>
      <c r="BH46" s="62"/>
      <c r="BI46" s="62"/>
      <c r="BJ46" s="62"/>
      <c r="BK46" s="62"/>
      <c r="BL46" s="62"/>
      <c r="BM46" s="62"/>
      <c r="BN46" s="62"/>
      <c r="BO46" s="62"/>
      <c r="BP46" s="62"/>
      <c r="BQ46" s="62"/>
      <c r="BR46" s="62"/>
      <c r="BS46" s="62"/>
      <c r="BT46" s="62"/>
      <c r="BU46" s="62"/>
      <c r="BV46" s="62"/>
      <c r="BW46" s="62"/>
      <c r="BX46" s="62"/>
      <c r="BY46" s="62"/>
      <c r="BZ46" s="62"/>
      <c r="CA46" s="62"/>
      <c r="CB46" s="62"/>
      <c r="CC46" s="62"/>
      <c r="CD46" s="62"/>
    </row>
    <row r="47" spans="1:82" x14ac:dyDescent="0.25">
      <c r="A47" s="75" t="s">
        <v>77</v>
      </c>
      <c r="B47" s="227">
        <v>24</v>
      </c>
      <c r="C47" s="66" t="s">
        <v>78</v>
      </c>
      <c r="D47" s="316">
        <f>+D48+D49</f>
        <v>26758239</v>
      </c>
      <c r="E47" s="316">
        <f t="shared" ref="E47:G47" si="66">+E48+E49</f>
        <v>446891666</v>
      </c>
      <c r="F47" s="311">
        <f t="shared" si="6"/>
        <v>16.701086570009334</v>
      </c>
      <c r="G47" s="316">
        <f t="shared" si="66"/>
        <v>459906641.60000002</v>
      </c>
      <c r="H47" s="255">
        <f t="shared" si="7"/>
        <v>17.187477905403266</v>
      </c>
      <c r="I47" s="257">
        <f t="shared" ref="I47:K47" si="67">+I48+I49</f>
        <v>355308833.88000011</v>
      </c>
      <c r="J47" s="89">
        <f t="shared" si="9"/>
        <v>-0.22743269667971655</v>
      </c>
      <c r="K47" s="85">
        <f t="shared" si="67"/>
        <v>319777950.4920001</v>
      </c>
      <c r="L47" s="97"/>
      <c r="M47" s="85">
        <f t="shared" ref="M47" si="68">+M48+M49</f>
        <v>35530883.388000011</v>
      </c>
      <c r="N47" s="97"/>
      <c r="O47" s="85">
        <f t="shared" ref="O47" si="69">+O48+O49</f>
        <v>0</v>
      </c>
      <c r="P47" s="97"/>
      <c r="Q47" s="85">
        <f t="shared" ref="Q47" si="70">+Q48+Q49</f>
        <v>0</v>
      </c>
      <c r="R47" s="97"/>
      <c r="S47" s="336">
        <f t="shared" si="13"/>
        <v>17.187477905403266</v>
      </c>
    </row>
    <row r="48" spans="1:82" s="64" customFormat="1" x14ac:dyDescent="0.25">
      <c r="A48" s="74" t="s">
        <v>79</v>
      </c>
      <c r="B48" s="222"/>
      <c r="C48" s="63" t="s">
        <v>30</v>
      </c>
      <c r="D48" s="314">
        <v>22641587</v>
      </c>
      <c r="E48" s="314">
        <v>260299512</v>
      </c>
      <c r="F48" s="311">
        <f t="shared" si="6"/>
        <v>11.496522394830363</v>
      </c>
      <c r="G48" s="314">
        <f>+E48*1.05</f>
        <v>273314487.60000002</v>
      </c>
      <c r="H48" s="255">
        <f t="shared" si="7"/>
        <v>12.071348514571882</v>
      </c>
      <c r="I48" s="256">
        <f>+G48*1.1</f>
        <v>300645936.36000007</v>
      </c>
      <c r="J48" s="89">
        <f t="shared" si="9"/>
        <v>0.10000000000000017</v>
      </c>
      <c r="K48" s="80">
        <f>+I48*L48</f>
        <v>270581342.7240001</v>
      </c>
      <c r="L48" s="97">
        <v>0.9</v>
      </c>
      <c r="M48" s="80">
        <f>+I48*N48</f>
        <v>30064593.636000007</v>
      </c>
      <c r="N48" s="97">
        <v>0.1</v>
      </c>
      <c r="O48" s="80"/>
      <c r="P48" s="97"/>
      <c r="Q48" s="80"/>
      <c r="R48" s="97"/>
      <c r="S48" s="337">
        <f t="shared" si="13"/>
        <v>12.071348514571882</v>
      </c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62"/>
      <c r="BH48" s="62"/>
      <c r="BI48" s="62"/>
      <c r="BJ48" s="62"/>
      <c r="BK48" s="62"/>
      <c r="BL48" s="62"/>
      <c r="BM48" s="62"/>
      <c r="BN48" s="62"/>
      <c r="BO48" s="62"/>
      <c r="BP48" s="62"/>
      <c r="BQ48" s="62"/>
      <c r="BR48" s="62"/>
      <c r="BS48" s="62"/>
      <c r="BT48" s="62"/>
      <c r="BU48" s="62"/>
      <c r="BV48" s="62"/>
      <c r="BW48" s="62"/>
      <c r="BX48" s="62"/>
      <c r="BY48" s="62"/>
      <c r="BZ48" s="62"/>
      <c r="CA48" s="62"/>
      <c r="CB48" s="62"/>
      <c r="CC48" s="62"/>
      <c r="CD48" s="62"/>
    </row>
    <row r="49" spans="1:82" ht="11.25" customHeight="1" x14ac:dyDescent="0.25">
      <c r="A49" s="75" t="s">
        <v>80</v>
      </c>
      <c r="B49" s="227"/>
      <c r="C49" s="66" t="s">
        <v>32</v>
      </c>
      <c r="D49" s="316">
        <v>4116652</v>
      </c>
      <c r="E49" s="316">
        <v>186592154</v>
      </c>
      <c r="F49" s="311">
        <f t="shared" si="6"/>
        <v>45.326190797764788</v>
      </c>
      <c r="G49" s="316">
        <f>+E49</f>
        <v>186592154</v>
      </c>
      <c r="H49" s="255">
        <f t="shared" si="7"/>
        <v>45.326190797764788</v>
      </c>
      <c r="I49" s="257">
        <f>+G48*0.2</f>
        <v>54662897.520000011</v>
      </c>
      <c r="J49" s="89">
        <f t="shared" si="9"/>
        <v>-0.70704610913061217</v>
      </c>
      <c r="K49" s="81">
        <f>+I49*L49</f>
        <v>49196607.768000014</v>
      </c>
      <c r="L49" s="97">
        <v>0.9</v>
      </c>
      <c r="M49" s="81">
        <f>+I49*N49</f>
        <v>5466289.7520000013</v>
      </c>
      <c r="N49" s="97">
        <v>0.1</v>
      </c>
      <c r="O49" s="81"/>
      <c r="P49" s="97"/>
      <c r="Q49" s="81"/>
      <c r="R49" s="97"/>
      <c r="S49" s="336">
        <f t="shared" si="13"/>
        <v>45.326190797764788</v>
      </c>
    </row>
    <row r="50" spans="1:82" s="64" customFormat="1" ht="13.5" customHeight="1" x14ac:dyDescent="0.25">
      <c r="A50" s="74"/>
      <c r="B50" s="222"/>
      <c r="C50" s="63" t="s">
        <v>81</v>
      </c>
      <c r="D50" s="314">
        <f>+D51+D56</f>
        <v>83980000000</v>
      </c>
      <c r="E50" s="314">
        <f t="shared" ref="E50:G50" si="71">+E51+E56</f>
        <v>71913926701</v>
      </c>
      <c r="F50" s="311">
        <f t="shared" si="6"/>
        <v>0.85632206121695642</v>
      </c>
      <c r="G50" s="314">
        <f t="shared" si="71"/>
        <v>71998926701</v>
      </c>
      <c r="H50" s="255">
        <f t="shared" si="7"/>
        <v>0.85733420696594431</v>
      </c>
      <c r="I50" s="256">
        <f t="shared" ref="I50:K50" si="72">+I51+I56</f>
        <v>85165000000</v>
      </c>
      <c r="J50" s="89">
        <f t="shared" si="9"/>
        <v>0.18286485510647391</v>
      </c>
      <c r="K50" s="84">
        <f t="shared" si="72"/>
        <v>0</v>
      </c>
      <c r="L50" s="97"/>
      <c r="M50" s="84">
        <f t="shared" ref="M50" si="73">+M51+M56</f>
        <v>0</v>
      </c>
      <c r="N50" s="97"/>
      <c r="O50" s="84">
        <f t="shared" ref="O50" si="74">+O51+O56</f>
        <v>8512000000</v>
      </c>
      <c r="P50" s="97"/>
      <c r="Q50" s="84">
        <f t="shared" ref="Q50" si="75">+Q51+Q56</f>
        <v>76653000000</v>
      </c>
      <c r="R50" s="97"/>
      <c r="S50" s="337">
        <f t="shared" si="13"/>
        <v>0.85733420696594431</v>
      </c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62"/>
      <c r="BG50" s="62"/>
      <c r="BH50" s="62"/>
      <c r="BI50" s="62"/>
      <c r="BJ50" s="62"/>
      <c r="BK50" s="62"/>
      <c r="BL50" s="62"/>
      <c r="BM50" s="62"/>
      <c r="BN50" s="62"/>
      <c r="BO50" s="62"/>
      <c r="BP50" s="62"/>
      <c r="BQ50" s="62"/>
      <c r="BR50" s="62"/>
      <c r="BS50" s="62"/>
      <c r="BT50" s="62"/>
      <c r="BU50" s="62"/>
      <c r="BV50" s="62"/>
      <c r="BW50" s="62"/>
      <c r="BX50" s="62"/>
      <c r="BY50" s="62"/>
      <c r="BZ50" s="62"/>
      <c r="CA50" s="62"/>
      <c r="CB50" s="62"/>
      <c r="CC50" s="62"/>
      <c r="CD50" s="62"/>
    </row>
    <row r="51" spans="1:82" ht="13.5" customHeight="1" x14ac:dyDescent="0.25">
      <c r="A51" s="75"/>
      <c r="B51" s="227"/>
      <c r="C51" s="66" t="s">
        <v>120</v>
      </c>
      <c r="D51" s="316">
        <f>+D52</f>
        <v>83817000000</v>
      </c>
      <c r="E51" s="316">
        <f t="shared" ref="E51:Q52" si="76">+E52</f>
        <v>71835926701</v>
      </c>
      <c r="F51" s="311">
        <f t="shared" si="6"/>
        <v>0.85705676295978139</v>
      </c>
      <c r="G51" s="316">
        <f t="shared" si="76"/>
        <v>71835926701</v>
      </c>
      <c r="H51" s="255">
        <f t="shared" si="7"/>
        <v>0.85705676295978139</v>
      </c>
      <c r="I51" s="257">
        <f t="shared" si="76"/>
        <v>85120000000</v>
      </c>
      <c r="J51" s="89">
        <f t="shared" si="9"/>
        <v>0.1849224184758109</v>
      </c>
      <c r="K51" s="85">
        <f t="shared" si="76"/>
        <v>0</v>
      </c>
      <c r="L51" s="97"/>
      <c r="M51" s="85">
        <f t="shared" si="76"/>
        <v>0</v>
      </c>
      <c r="N51" s="97"/>
      <c r="O51" s="85">
        <f t="shared" si="76"/>
        <v>8512000000</v>
      </c>
      <c r="P51" s="97"/>
      <c r="Q51" s="85">
        <f t="shared" si="76"/>
        <v>76608000000</v>
      </c>
      <c r="R51" s="97"/>
      <c r="S51" s="336">
        <f t="shared" si="13"/>
        <v>0.85705676295978139</v>
      </c>
    </row>
    <row r="52" spans="1:82" s="64" customFormat="1" ht="13.5" customHeight="1" x14ac:dyDescent="0.25">
      <c r="A52" s="74"/>
      <c r="B52" s="222"/>
      <c r="C52" s="63" t="s">
        <v>83</v>
      </c>
      <c r="D52" s="314">
        <f>+D53</f>
        <v>83817000000</v>
      </c>
      <c r="E52" s="314">
        <f t="shared" si="76"/>
        <v>71835926701</v>
      </c>
      <c r="F52" s="311">
        <f t="shared" si="6"/>
        <v>0.85705676295978139</v>
      </c>
      <c r="G52" s="314">
        <f t="shared" si="76"/>
        <v>71835926701</v>
      </c>
      <c r="H52" s="255">
        <f t="shared" si="7"/>
        <v>0.85705676295978139</v>
      </c>
      <c r="I52" s="256">
        <f t="shared" si="76"/>
        <v>85120000000</v>
      </c>
      <c r="J52" s="89">
        <f t="shared" si="9"/>
        <v>0.1849224184758109</v>
      </c>
      <c r="K52" s="84">
        <f t="shared" si="76"/>
        <v>0</v>
      </c>
      <c r="L52" s="97"/>
      <c r="M52" s="84">
        <f t="shared" si="76"/>
        <v>0</v>
      </c>
      <c r="N52" s="97"/>
      <c r="O52" s="84">
        <f t="shared" si="76"/>
        <v>8512000000</v>
      </c>
      <c r="P52" s="97"/>
      <c r="Q52" s="84">
        <f t="shared" si="76"/>
        <v>76608000000</v>
      </c>
      <c r="R52" s="97"/>
      <c r="S52" s="337">
        <f t="shared" si="13"/>
        <v>0.85705676295978139</v>
      </c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2"/>
      <c r="BR52" s="62"/>
      <c r="BS52" s="62"/>
      <c r="BT52" s="62"/>
      <c r="BU52" s="62"/>
      <c r="BV52" s="62"/>
      <c r="BW52" s="62"/>
      <c r="BX52" s="62"/>
      <c r="BY52" s="62"/>
      <c r="BZ52" s="62"/>
      <c r="CA52" s="62"/>
      <c r="CB52" s="62"/>
      <c r="CC52" s="62"/>
      <c r="CD52" s="62"/>
    </row>
    <row r="53" spans="1:82" ht="13.5" customHeight="1" x14ac:dyDescent="0.25">
      <c r="A53" s="75"/>
      <c r="B53" s="227">
        <v>61</v>
      </c>
      <c r="C53" s="66" t="s">
        <v>84</v>
      </c>
      <c r="D53" s="316">
        <f>+D54+D55</f>
        <v>83817000000</v>
      </c>
      <c r="E53" s="316">
        <f t="shared" ref="E53:G53" si="77">+E54+E55</f>
        <v>71835926701</v>
      </c>
      <c r="F53" s="311">
        <f t="shared" si="6"/>
        <v>0.85705676295978139</v>
      </c>
      <c r="G53" s="316">
        <f t="shared" si="77"/>
        <v>71835926701</v>
      </c>
      <c r="H53" s="255">
        <f t="shared" si="7"/>
        <v>0.85705676295978139</v>
      </c>
      <c r="I53" s="258">
        <f>+I54+I55</f>
        <v>85120000000</v>
      </c>
      <c r="J53" s="89">
        <f t="shared" si="9"/>
        <v>0.1849224184758109</v>
      </c>
      <c r="K53" s="87">
        <f>+K54+K55</f>
        <v>0</v>
      </c>
      <c r="L53" s="97"/>
      <c r="M53" s="87">
        <f>+M54+M55</f>
        <v>0</v>
      </c>
      <c r="N53" s="97"/>
      <c r="O53" s="87">
        <f>+O54+O55</f>
        <v>8512000000</v>
      </c>
      <c r="P53" s="97"/>
      <c r="Q53" s="87">
        <f>+Q54+Q55</f>
        <v>76608000000</v>
      </c>
      <c r="R53" s="97"/>
      <c r="S53" s="336">
        <f t="shared" si="13"/>
        <v>0.85705676295978139</v>
      </c>
    </row>
    <row r="54" spans="1:82" s="64" customFormat="1" ht="13.5" customHeight="1" x14ac:dyDescent="0.25">
      <c r="A54" s="74"/>
      <c r="B54" s="222"/>
      <c r="C54" s="63" t="s">
        <v>30</v>
      </c>
      <c r="D54" s="314">
        <v>75617000000</v>
      </c>
      <c r="E54" s="314">
        <v>65287736422</v>
      </c>
      <c r="F54" s="311">
        <f t="shared" si="6"/>
        <v>0.86340024626737377</v>
      </c>
      <c r="G54" s="314">
        <f>+E54</f>
        <v>65287736422</v>
      </c>
      <c r="H54" s="255">
        <f t="shared" si="7"/>
        <v>0.86340024626737377</v>
      </c>
      <c r="I54" s="259">
        <v>78120000000</v>
      </c>
      <c r="J54" s="89">
        <f t="shared" si="9"/>
        <v>0.19654937176954895</v>
      </c>
      <c r="K54" s="80"/>
      <c r="L54" s="97"/>
      <c r="M54" s="80"/>
      <c r="N54" s="97"/>
      <c r="O54" s="80">
        <f>+I54*P54</f>
        <v>7812000000</v>
      </c>
      <c r="P54" s="97">
        <v>0.1</v>
      </c>
      <c r="Q54" s="80">
        <f>+I54*R54</f>
        <v>70308000000</v>
      </c>
      <c r="R54" s="97">
        <v>0.9</v>
      </c>
      <c r="S54" s="337">
        <f t="shared" si="13"/>
        <v>0.86340024626737377</v>
      </c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2"/>
      <c r="BR54" s="62"/>
      <c r="BS54" s="62"/>
      <c r="BT54" s="62"/>
      <c r="BU54" s="62"/>
      <c r="BV54" s="62"/>
      <c r="BW54" s="62"/>
      <c r="BX54" s="62"/>
      <c r="BY54" s="62"/>
      <c r="BZ54" s="62"/>
      <c r="CA54" s="62"/>
      <c r="CB54" s="62"/>
      <c r="CC54" s="62"/>
      <c r="CD54" s="62"/>
    </row>
    <row r="55" spans="1:82" ht="13.5" customHeight="1" x14ac:dyDescent="0.25">
      <c r="A55" s="75"/>
      <c r="B55" s="227"/>
      <c r="C55" s="66" t="s">
        <v>32</v>
      </c>
      <c r="D55" s="316">
        <v>8200000000</v>
      </c>
      <c r="E55" s="316">
        <v>6548190279</v>
      </c>
      <c r="F55" s="311">
        <f t="shared" si="6"/>
        <v>0.79855979012195122</v>
      </c>
      <c r="G55" s="316">
        <f>+E55</f>
        <v>6548190279</v>
      </c>
      <c r="H55" s="255">
        <f t="shared" si="7"/>
        <v>0.79855979012195122</v>
      </c>
      <c r="I55" s="260">
        <v>7000000000</v>
      </c>
      <c r="J55" s="89">
        <f t="shared" si="9"/>
        <v>6.8997646945133925E-2</v>
      </c>
      <c r="K55" s="81"/>
      <c r="L55" s="97"/>
      <c r="M55" s="81"/>
      <c r="N55" s="97"/>
      <c r="O55" s="81">
        <f>+I55*P55</f>
        <v>700000000</v>
      </c>
      <c r="P55" s="97">
        <v>0.1</v>
      </c>
      <c r="Q55" s="81">
        <f>+I55*R55</f>
        <v>6300000000</v>
      </c>
      <c r="R55" s="97">
        <v>0.9</v>
      </c>
      <c r="S55" s="336">
        <f t="shared" si="13"/>
        <v>0.79855979012195122</v>
      </c>
    </row>
    <row r="56" spans="1:82" s="64" customFormat="1" ht="13.5" customHeight="1" x14ac:dyDescent="0.25">
      <c r="A56" s="74"/>
      <c r="B56" s="222"/>
      <c r="C56" s="63" t="s">
        <v>121</v>
      </c>
      <c r="D56" s="314">
        <f>+D57</f>
        <v>163000000</v>
      </c>
      <c r="E56" s="314">
        <f t="shared" ref="E56:Q56" si="78">+E57</f>
        <v>78000000</v>
      </c>
      <c r="F56" s="311">
        <f t="shared" si="6"/>
        <v>0.4785276073619632</v>
      </c>
      <c r="G56" s="314">
        <f t="shared" si="78"/>
        <v>163000000</v>
      </c>
      <c r="H56" s="255">
        <f t="shared" si="7"/>
        <v>1</v>
      </c>
      <c r="I56" s="256">
        <f t="shared" si="78"/>
        <v>45000000</v>
      </c>
      <c r="J56" s="89">
        <f t="shared" si="9"/>
        <v>-0.7239263803680982</v>
      </c>
      <c r="K56" s="84">
        <f t="shared" si="78"/>
        <v>0</v>
      </c>
      <c r="L56" s="97"/>
      <c r="M56" s="84">
        <f t="shared" si="78"/>
        <v>0</v>
      </c>
      <c r="N56" s="97"/>
      <c r="O56" s="84">
        <f t="shared" si="78"/>
        <v>0</v>
      </c>
      <c r="P56" s="97"/>
      <c r="Q56" s="84">
        <f t="shared" si="78"/>
        <v>45000000</v>
      </c>
      <c r="R56" s="97"/>
      <c r="S56" s="337">
        <f t="shared" si="13"/>
        <v>1</v>
      </c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2"/>
      <c r="BE56" s="62"/>
      <c r="BF56" s="62"/>
      <c r="BG56" s="62"/>
      <c r="BH56" s="62"/>
      <c r="BI56" s="62"/>
      <c r="BJ56" s="62"/>
      <c r="BK56" s="62"/>
      <c r="BL56" s="62"/>
      <c r="BM56" s="62"/>
      <c r="BN56" s="62"/>
      <c r="BO56" s="62"/>
      <c r="BP56" s="62"/>
      <c r="BQ56" s="62"/>
      <c r="BR56" s="62"/>
      <c r="BS56" s="62"/>
      <c r="BT56" s="62"/>
      <c r="BU56" s="62"/>
      <c r="BV56" s="62"/>
      <c r="BW56" s="62"/>
      <c r="BX56" s="62"/>
      <c r="BY56" s="62"/>
      <c r="BZ56" s="62"/>
      <c r="CA56" s="62"/>
      <c r="CB56" s="62"/>
      <c r="CC56" s="62"/>
      <c r="CD56" s="62"/>
    </row>
    <row r="57" spans="1:82" ht="13.5" customHeight="1" x14ac:dyDescent="0.25">
      <c r="A57" s="75"/>
      <c r="B57" s="227">
        <v>62</v>
      </c>
      <c r="C57" s="66" t="s">
        <v>121</v>
      </c>
      <c r="D57" s="316">
        <v>163000000</v>
      </c>
      <c r="E57" s="316">
        <v>78000000</v>
      </c>
      <c r="F57" s="311">
        <f t="shared" si="6"/>
        <v>0.4785276073619632</v>
      </c>
      <c r="G57" s="316">
        <v>163000000</v>
      </c>
      <c r="H57" s="255">
        <f t="shared" si="7"/>
        <v>1</v>
      </c>
      <c r="I57" s="261">
        <v>45000000</v>
      </c>
      <c r="J57" s="89">
        <f t="shared" si="9"/>
        <v>-0.7239263803680982</v>
      </c>
      <c r="K57" s="81"/>
      <c r="L57" s="97"/>
      <c r="M57" s="81"/>
      <c r="N57" s="97"/>
      <c r="O57" s="81"/>
      <c r="P57" s="97"/>
      <c r="Q57" s="81">
        <f>+R57*I57</f>
        <v>45000000</v>
      </c>
      <c r="R57" s="97">
        <v>1</v>
      </c>
      <c r="S57" s="336">
        <f t="shared" si="13"/>
        <v>1</v>
      </c>
    </row>
    <row r="58" spans="1:82" s="64" customFormat="1" x14ac:dyDescent="0.25">
      <c r="A58" s="74" t="s">
        <v>85</v>
      </c>
      <c r="B58" s="222"/>
      <c r="C58" s="63" t="s">
        <v>86</v>
      </c>
      <c r="D58" s="314">
        <f>+D59+D61+D62</f>
        <v>17718920085</v>
      </c>
      <c r="E58" s="314">
        <f>+E59+E61</f>
        <v>21006549026.880001</v>
      </c>
      <c r="F58" s="311">
        <f t="shared" si="6"/>
        <v>1.1855434149546817</v>
      </c>
      <c r="G58" s="314">
        <f t="shared" ref="G58" si="79">+G59+G61+G62</f>
        <v>22886621651.456001</v>
      </c>
      <c r="H58" s="255">
        <f t="shared" si="7"/>
        <v>1.2916487879433878</v>
      </c>
      <c r="I58" s="256">
        <f>+I59+I61+I62</f>
        <v>504375319.82880008</v>
      </c>
      <c r="J58" s="89">
        <f t="shared" si="9"/>
        <v>-0.97796200210279993</v>
      </c>
      <c r="K58" s="84">
        <f>+K59+K61+K62</f>
        <v>0</v>
      </c>
      <c r="L58" s="97"/>
      <c r="M58" s="84">
        <f>+M59+M61+M62</f>
        <v>0</v>
      </c>
      <c r="N58" s="98"/>
      <c r="O58" s="84">
        <f>+O59+O61+O62</f>
        <v>50437531.982880011</v>
      </c>
      <c r="P58" s="97"/>
      <c r="Q58" s="84">
        <f>+Q59+Q61+Q62</f>
        <v>453937787.84592009</v>
      </c>
      <c r="R58" s="97"/>
      <c r="S58" s="337">
        <f t="shared" si="13"/>
        <v>1.2916487879433878</v>
      </c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62"/>
      <c r="BB58" s="62"/>
      <c r="BC58" s="62"/>
      <c r="BD58" s="62"/>
      <c r="BE58" s="62"/>
      <c r="BF58" s="62"/>
      <c r="BG58" s="62"/>
      <c r="BH58" s="62"/>
      <c r="BI58" s="62"/>
      <c r="BJ58" s="62"/>
      <c r="BK58" s="62"/>
      <c r="BL58" s="62"/>
      <c r="BM58" s="62"/>
      <c r="BN58" s="62"/>
      <c r="BO58" s="62"/>
      <c r="BP58" s="62"/>
      <c r="BQ58" s="62"/>
      <c r="BR58" s="62"/>
      <c r="BS58" s="62"/>
      <c r="BT58" s="62"/>
      <c r="BU58" s="62"/>
      <c r="BV58" s="62"/>
      <c r="BW58" s="62"/>
      <c r="BX58" s="62"/>
      <c r="BY58" s="62"/>
      <c r="BZ58" s="62"/>
      <c r="CA58" s="62"/>
      <c r="CB58" s="62"/>
      <c r="CC58" s="62"/>
      <c r="CD58" s="62"/>
    </row>
    <row r="59" spans="1:82" x14ac:dyDescent="0.25">
      <c r="A59" s="75" t="s">
        <v>87</v>
      </c>
      <c r="B59" s="227"/>
      <c r="C59" s="66" t="s">
        <v>88</v>
      </c>
      <c r="D59" s="316">
        <f>+D60</f>
        <v>245599803</v>
      </c>
      <c r="E59" s="316">
        <f t="shared" ref="E59:G59" si="80">+E60</f>
        <v>400297872.88</v>
      </c>
      <c r="F59" s="311">
        <f t="shared" si="6"/>
        <v>1.629878639927085</v>
      </c>
      <c r="G59" s="316">
        <f t="shared" si="80"/>
        <v>480357447.45600003</v>
      </c>
      <c r="H59" s="255">
        <f t="shared" si="7"/>
        <v>1.955854367912502</v>
      </c>
      <c r="I59" s="262">
        <f>+I60</f>
        <v>504375319.82880008</v>
      </c>
      <c r="J59" s="89">
        <f t="shared" si="9"/>
        <v>5.0000000000000107E-2</v>
      </c>
      <c r="K59" s="87">
        <f>+K60</f>
        <v>0</v>
      </c>
      <c r="L59" s="97"/>
      <c r="M59" s="87">
        <f>+M60</f>
        <v>0</v>
      </c>
      <c r="N59" s="98"/>
      <c r="O59" s="87">
        <f>+O60</f>
        <v>50437531.982880011</v>
      </c>
      <c r="P59" s="97"/>
      <c r="Q59" s="87">
        <f>+Q60</f>
        <v>453937787.84592009</v>
      </c>
      <c r="R59" s="97"/>
      <c r="S59" s="336">
        <f t="shared" si="13"/>
        <v>1.955854367912502</v>
      </c>
    </row>
    <row r="60" spans="1:82" s="64" customFormat="1" x14ac:dyDescent="0.25">
      <c r="A60" s="63" t="s">
        <v>89</v>
      </c>
      <c r="B60" s="224">
        <v>71</v>
      </c>
      <c r="C60" s="63" t="s">
        <v>90</v>
      </c>
      <c r="D60" s="314">
        <v>245599803</v>
      </c>
      <c r="E60" s="314">
        <v>400297872.88</v>
      </c>
      <c r="F60" s="311">
        <f t="shared" si="6"/>
        <v>1.629878639927085</v>
      </c>
      <c r="G60" s="314">
        <f>+(E60/10)*12</f>
        <v>480357447.45600003</v>
      </c>
      <c r="H60" s="255">
        <f t="shared" si="7"/>
        <v>1.955854367912502</v>
      </c>
      <c r="I60" s="263">
        <f>+G60*1.05</f>
        <v>504375319.82880008</v>
      </c>
      <c r="J60" s="89">
        <f t="shared" si="9"/>
        <v>5.0000000000000107E-2</v>
      </c>
      <c r="K60" s="80"/>
      <c r="L60" s="97"/>
      <c r="M60" s="80"/>
      <c r="N60" s="98"/>
      <c r="O60" s="80">
        <f>+I60*P60</f>
        <v>50437531.982880011</v>
      </c>
      <c r="P60" s="97">
        <v>0.1</v>
      </c>
      <c r="Q60" s="80">
        <f>+I60*R60</f>
        <v>453937787.84592009</v>
      </c>
      <c r="R60" s="97">
        <v>0.9</v>
      </c>
      <c r="S60" s="337">
        <f t="shared" si="13"/>
        <v>1.955854367912502</v>
      </c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2"/>
      <c r="BK60" s="62"/>
      <c r="BL60" s="62"/>
      <c r="BM60" s="62"/>
      <c r="BN60" s="62"/>
      <c r="BO60" s="62"/>
      <c r="BP60" s="62"/>
      <c r="BQ60" s="62"/>
      <c r="BR60" s="62"/>
      <c r="BS60" s="62"/>
      <c r="BT60" s="62"/>
      <c r="BU60" s="62"/>
      <c r="BV60" s="62"/>
      <c r="BW60" s="62"/>
      <c r="BX60" s="62"/>
      <c r="BY60" s="62"/>
      <c r="BZ60" s="62"/>
      <c r="CA60" s="62"/>
      <c r="CB60" s="62"/>
      <c r="CC60" s="62"/>
      <c r="CD60" s="62"/>
    </row>
    <row r="61" spans="1:82" x14ac:dyDescent="0.25">
      <c r="A61" s="75" t="s">
        <v>91</v>
      </c>
      <c r="B61" s="227"/>
      <c r="C61" s="66" t="s">
        <v>92</v>
      </c>
      <c r="D61" s="316">
        <f>+D63</f>
        <v>17473320282</v>
      </c>
      <c r="E61" s="316">
        <f t="shared" ref="E61:G61" si="81">+E63</f>
        <v>20606251154</v>
      </c>
      <c r="F61" s="311">
        <f t="shared" si="6"/>
        <v>1.1792979709315672</v>
      </c>
      <c r="G61" s="316">
        <f t="shared" si="81"/>
        <v>22406264204</v>
      </c>
      <c r="H61" s="255">
        <f t="shared" si="7"/>
        <v>1.2823129114780567</v>
      </c>
      <c r="I61" s="257">
        <f>+I63</f>
        <v>0</v>
      </c>
      <c r="J61" s="89">
        <f t="shared" si="9"/>
        <v>-1</v>
      </c>
      <c r="K61" s="85">
        <f>+K63</f>
        <v>0</v>
      </c>
      <c r="L61" s="97"/>
      <c r="M61" s="85">
        <f>+M63</f>
        <v>0</v>
      </c>
      <c r="N61" s="98"/>
      <c r="O61" s="85">
        <f>+O63</f>
        <v>0</v>
      </c>
      <c r="P61" s="97"/>
      <c r="Q61" s="85">
        <f>+Q63</f>
        <v>0</v>
      </c>
      <c r="R61" s="97"/>
      <c r="S61" s="336">
        <f t="shared" si="13"/>
        <v>1.2823129114780567</v>
      </c>
    </row>
    <row r="62" spans="1:82" hidden="1" x14ac:dyDescent="0.25">
      <c r="A62" s="75" t="s">
        <v>93</v>
      </c>
      <c r="B62" s="227">
        <v>72</v>
      </c>
      <c r="C62" s="66" t="s">
        <v>94</v>
      </c>
      <c r="D62" s="316">
        <v>0</v>
      </c>
      <c r="E62" s="316"/>
      <c r="F62" s="311">
        <v>0</v>
      </c>
      <c r="G62" s="316"/>
      <c r="H62" s="255">
        <v>0</v>
      </c>
      <c r="I62" s="264"/>
      <c r="J62" s="89">
        <v>0</v>
      </c>
      <c r="K62" s="81"/>
      <c r="L62" s="97"/>
      <c r="M62" s="81"/>
      <c r="N62" s="98"/>
      <c r="O62" s="81"/>
      <c r="P62" s="97"/>
      <c r="Q62" s="81"/>
      <c r="R62" s="97"/>
      <c r="S62" s="336" t="e">
        <f t="shared" si="13"/>
        <v>#DIV/0!</v>
      </c>
    </row>
    <row r="63" spans="1:82" s="64" customFormat="1" x14ac:dyDescent="0.25">
      <c r="A63" s="63" t="s">
        <v>95</v>
      </c>
      <c r="B63" s="224"/>
      <c r="C63" s="63" t="s">
        <v>96</v>
      </c>
      <c r="D63" s="314">
        <f>+D64</f>
        <v>17473320282</v>
      </c>
      <c r="E63" s="314">
        <f t="shared" ref="E63:Q63" si="82">+E64</f>
        <v>20606251154</v>
      </c>
      <c r="F63" s="311">
        <f t="shared" si="6"/>
        <v>1.1792979709315672</v>
      </c>
      <c r="G63" s="314">
        <f t="shared" si="82"/>
        <v>22406264204</v>
      </c>
      <c r="H63" s="255">
        <f t="shared" si="7"/>
        <v>1.2823129114780567</v>
      </c>
      <c r="I63" s="256">
        <f t="shared" si="82"/>
        <v>0</v>
      </c>
      <c r="J63" s="89">
        <f t="shared" si="9"/>
        <v>-1</v>
      </c>
      <c r="K63" s="84">
        <f t="shared" si="82"/>
        <v>0</v>
      </c>
      <c r="L63" s="97"/>
      <c r="M63" s="84">
        <f t="shared" si="82"/>
        <v>0</v>
      </c>
      <c r="N63" s="98"/>
      <c r="O63" s="84">
        <f t="shared" si="82"/>
        <v>0</v>
      </c>
      <c r="P63" s="97"/>
      <c r="Q63" s="84">
        <f t="shared" si="82"/>
        <v>0</v>
      </c>
      <c r="R63" s="97"/>
      <c r="S63" s="337">
        <f t="shared" si="13"/>
        <v>1.2823129114780567</v>
      </c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62"/>
      <c r="BD63" s="62"/>
      <c r="BE63" s="62"/>
      <c r="BF63" s="62"/>
      <c r="BG63" s="62"/>
      <c r="BH63" s="62"/>
      <c r="BI63" s="62"/>
      <c r="BJ63" s="62"/>
      <c r="BK63" s="62"/>
      <c r="BL63" s="62"/>
      <c r="BM63" s="62"/>
      <c r="BN63" s="62"/>
      <c r="BO63" s="62"/>
      <c r="BP63" s="62"/>
      <c r="BQ63" s="62"/>
      <c r="BR63" s="62"/>
      <c r="BS63" s="62"/>
      <c r="BT63" s="62"/>
      <c r="BU63" s="62"/>
      <c r="BV63" s="62"/>
      <c r="BW63" s="62"/>
      <c r="BX63" s="62"/>
      <c r="BY63" s="62"/>
      <c r="BZ63" s="62"/>
      <c r="CA63" s="62"/>
      <c r="CB63" s="62"/>
      <c r="CC63" s="62"/>
      <c r="CD63" s="62"/>
    </row>
    <row r="64" spans="1:82" x14ac:dyDescent="0.25">
      <c r="A64" s="75" t="s">
        <v>97</v>
      </c>
      <c r="B64" s="227">
        <v>81</v>
      </c>
      <c r="C64" s="66" t="s">
        <v>98</v>
      </c>
      <c r="D64" s="316">
        <f>+D65</f>
        <v>17473320282</v>
      </c>
      <c r="E64" s="316">
        <f>+E65+E66</f>
        <v>20606251154</v>
      </c>
      <c r="F64" s="311">
        <f t="shared" si="6"/>
        <v>1.1792979709315672</v>
      </c>
      <c r="G64" s="316">
        <f>+G65+G66</f>
        <v>22406264204</v>
      </c>
      <c r="H64" s="255">
        <f t="shared" si="7"/>
        <v>1.2823129114780567</v>
      </c>
      <c r="I64" s="257">
        <f>+I65+I66</f>
        <v>0</v>
      </c>
      <c r="J64" s="89">
        <f t="shared" si="9"/>
        <v>-1</v>
      </c>
      <c r="K64" s="85">
        <f>+K65+K66</f>
        <v>0</v>
      </c>
      <c r="L64" s="97"/>
      <c r="M64" s="85">
        <f>+M65+M66</f>
        <v>0</v>
      </c>
      <c r="N64" s="98"/>
      <c r="O64" s="85">
        <f>+O65+O66</f>
        <v>0</v>
      </c>
      <c r="P64" s="97"/>
      <c r="Q64" s="85">
        <f>+Q65+Q66</f>
        <v>0</v>
      </c>
      <c r="R64" s="97"/>
      <c r="S64" s="336">
        <f t="shared" si="13"/>
        <v>1.2823129114780567</v>
      </c>
    </row>
    <row r="65" spans="1:82" s="64" customFormat="1" x14ac:dyDescent="0.25">
      <c r="A65" s="74"/>
      <c r="B65" s="222"/>
      <c r="C65" s="63" t="s">
        <v>30</v>
      </c>
      <c r="D65" s="314">
        <v>17473320282</v>
      </c>
      <c r="E65" s="314">
        <v>15673307232</v>
      </c>
      <c r="F65" s="311">
        <f t="shared" si="6"/>
        <v>0.89698505945351048</v>
      </c>
      <c r="G65" s="314">
        <f>+D65</f>
        <v>17473320282</v>
      </c>
      <c r="H65" s="255">
        <f t="shared" si="7"/>
        <v>1</v>
      </c>
      <c r="I65" s="256">
        <v>0</v>
      </c>
      <c r="J65" s="89">
        <f t="shared" si="9"/>
        <v>-1</v>
      </c>
      <c r="K65" s="80"/>
      <c r="L65" s="97"/>
      <c r="M65" s="80"/>
      <c r="N65" s="98"/>
      <c r="O65" s="80"/>
      <c r="P65" s="97"/>
      <c r="Q65" s="80">
        <f>+I65*R65</f>
        <v>0</v>
      </c>
      <c r="R65" s="97">
        <v>1</v>
      </c>
      <c r="S65" s="337">
        <f t="shared" si="13"/>
        <v>1</v>
      </c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62"/>
      <c r="BD65" s="62"/>
      <c r="BE65" s="62"/>
      <c r="BF65" s="62"/>
      <c r="BG65" s="62"/>
      <c r="BH65" s="62"/>
      <c r="BI65" s="62"/>
      <c r="BJ65" s="62"/>
      <c r="BK65" s="62"/>
      <c r="BL65" s="62"/>
      <c r="BM65" s="62"/>
      <c r="BN65" s="62"/>
      <c r="BO65" s="62"/>
      <c r="BP65" s="62"/>
      <c r="BQ65" s="62"/>
      <c r="BR65" s="62"/>
      <c r="BS65" s="62"/>
      <c r="BT65" s="62"/>
      <c r="BU65" s="62"/>
      <c r="BV65" s="62"/>
      <c r="BW65" s="62"/>
      <c r="BX65" s="62"/>
      <c r="BY65" s="62"/>
      <c r="BZ65" s="62"/>
      <c r="CA65" s="62"/>
      <c r="CB65" s="62"/>
      <c r="CC65" s="62"/>
      <c r="CD65" s="62"/>
    </row>
    <row r="66" spans="1:82" s="83" customFormat="1" x14ac:dyDescent="0.25">
      <c r="A66" s="82" t="s">
        <v>99</v>
      </c>
      <c r="B66" s="229"/>
      <c r="C66" s="71" t="s">
        <v>39</v>
      </c>
      <c r="D66" s="319">
        <v>0</v>
      </c>
      <c r="E66" s="319">
        <v>4932943922</v>
      </c>
      <c r="F66" s="311">
        <v>0</v>
      </c>
      <c r="G66" s="319">
        <f>+E66</f>
        <v>4932943922</v>
      </c>
      <c r="H66" s="255">
        <v>0</v>
      </c>
      <c r="I66" s="265">
        <v>0</v>
      </c>
      <c r="J66" s="89">
        <f t="shared" si="9"/>
        <v>-1</v>
      </c>
      <c r="K66" s="92"/>
      <c r="L66" s="97"/>
      <c r="M66" s="92"/>
      <c r="N66" s="98"/>
      <c r="O66" s="92"/>
      <c r="P66" s="98"/>
      <c r="Q66" s="92"/>
      <c r="R66" s="97"/>
      <c r="S66" s="338">
        <v>0</v>
      </c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  <c r="BG66" s="62"/>
      <c r="BH66" s="62"/>
      <c r="BI66" s="62"/>
      <c r="BJ66" s="62"/>
      <c r="BK66" s="62"/>
      <c r="BL66" s="62"/>
      <c r="BM66" s="62"/>
      <c r="BN66" s="62"/>
      <c r="BO66" s="62"/>
      <c r="BP66" s="62"/>
      <c r="BQ66" s="62"/>
      <c r="BR66" s="62"/>
      <c r="BS66" s="62"/>
      <c r="BT66" s="62"/>
      <c r="BU66" s="62"/>
      <c r="BV66" s="62"/>
      <c r="BW66" s="62"/>
      <c r="BX66" s="62"/>
      <c r="BY66" s="62"/>
      <c r="BZ66" s="62"/>
      <c r="CA66" s="62"/>
      <c r="CB66" s="62"/>
      <c r="CC66" s="62"/>
      <c r="CD66" s="62"/>
    </row>
    <row r="67" spans="1:82" s="64" customFormat="1" x14ac:dyDescent="0.25">
      <c r="A67" s="74" t="s">
        <v>100</v>
      </c>
      <c r="B67" s="222"/>
      <c r="C67" s="63" t="s">
        <v>101</v>
      </c>
      <c r="D67" s="314">
        <f>+D68+D69</f>
        <v>2210571200</v>
      </c>
      <c r="E67" s="314">
        <f t="shared" ref="E67:Q67" si="83">+E68+E69</f>
        <v>2199800000</v>
      </c>
      <c r="F67" s="311">
        <f t="shared" si="6"/>
        <v>0.9951274132224287</v>
      </c>
      <c r="G67" s="314">
        <f t="shared" si="83"/>
        <v>2694800000</v>
      </c>
      <c r="H67" s="255">
        <f t="shared" si="7"/>
        <v>1.2190514379269937</v>
      </c>
      <c r="I67" s="256">
        <f t="shared" si="83"/>
        <v>2311989800</v>
      </c>
      <c r="J67" s="89">
        <f t="shared" si="9"/>
        <v>-0.14205514323883034</v>
      </c>
      <c r="K67" s="84">
        <f t="shared" si="83"/>
        <v>2311989800</v>
      </c>
      <c r="L67" s="97"/>
      <c r="M67" s="84">
        <f t="shared" si="83"/>
        <v>0</v>
      </c>
      <c r="N67" s="98"/>
      <c r="O67" s="84">
        <f t="shared" si="83"/>
        <v>0</v>
      </c>
      <c r="P67" s="98"/>
      <c r="Q67" s="84">
        <f t="shared" si="83"/>
        <v>0</v>
      </c>
      <c r="R67" s="97"/>
      <c r="S67" s="337">
        <f t="shared" si="13"/>
        <v>1.2190514379269937</v>
      </c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  <c r="BB67" s="62"/>
      <c r="BC67" s="62"/>
      <c r="BD67" s="62"/>
      <c r="BE67" s="62"/>
      <c r="BF67" s="62"/>
      <c r="BG67" s="62"/>
      <c r="BH67" s="62"/>
      <c r="BI67" s="62"/>
      <c r="BJ67" s="62"/>
      <c r="BK67" s="62"/>
      <c r="BL67" s="62"/>
      <c r="BM67" s="62"/>
      <c r="BN67" s="62"/>
      <c r="BO67" s="62"/>
      <c r="BP67" s="62"/>
      <c r="BQ67" s="62"/>
      <c r="BR67" s="62"/>
      <c r="BS67" s="62"/>
      <c r="BT67" s="62"/>
      <c r="BU67" s="62"/>
      <c r="BV67" s="62"/>
      <c r="BW67" s="62"/>
      <c r="BX67" s="62"/>
      <c r="BY67" s="62"/>
      <c r="BZ67" s="62"/>
      <c r="CA67" s="62"/>
      <c r="CB67" s="62"/>
      <c r="CC67" s="62"/>
      <c r="CD67" s="62"/>
    </row>
    <row r="68" spans="1:82" s="83" customFormat="1" x14ac:dyDescent="0.25">
      <c r="A68" s="82" t="s">
        <v>102</v>
      </c>
      <c r="B68" s="229">
        <v>11</v>
      </c>
      <c r="C68" s="71" t="s">
        <v>103</v>
      </c>
      <c r="D68" s="319">
        <v>2210571200</v>
      </c>
      <c r="E68" s="319">
        <v>2199800000</v>
      </c>
      <c r="F68" s="311">
        <f t="shared" si="6"/>
        <v>0.9951274132224287</v>
      </c>
      <c r="G68" s="319">
        <f>+E68+495000000</f>
        <v>2694800000</v>
      </c>
      <c r="H68" s="255">
        <f t="shared" si="7"/>
        <v>1.2190514379269937</v>
      </c>
      <c r="I68" s="266">
        <v>2311989800</v>
      </c>
      <c r="J68" s="89">
        <f t="shared" si="9"/>
        <v>-0.14205514323883034</v>
      </c>
      <c r="K68" s="92">
        <f>+I68*L68</f>
        <v>2311989800</v>
      </c>
      <c r="L68" s="97">
        <v>1</v>
      </c>
      <c r="M68" s="92"/>
      <c r="N68" s="98"/>
      <c r="O68" s="92"/>
      <c r="P68" s="98"/>
      <c r="Q68" s="92"/>
      <c r="R68" s="97"/>
      <c r="S68" s="338">
        <f t="shared" si="13"/>
        <v>1.2190514379269937</v>
      </c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2"/>
      <c r="BB68" s="62"/>
      <c r="BC68" s="62"/>
      <c r="BD68" s="62"/>
      <c r="BE68" s="62"/>
      <c r="BF68" s="62"/>
      <c r="BG68" s="62"/>
      <c r="BH68" s="62"/>
      <c r="BI68" s="62"/>
      <c r="BJ68" s="62"/>
      <c r="BK68" s="62"/>
      <c r="BL68" s="62"/>
      <c r="BM68" s="62"/>
      <c r="BN68" s="62"/>
      <c r="BO68" s="62"/>
      <c r="BP68" s="62"/>
      <c r="BQ68" s="62"/>
      <c r="BR68" s="62"/>
      <c r="BS68" s="62"/>
      <c r="BT68" s="62"/>
      <c r="BU68" s="62"/>
      <c r="BV68" s="62"/>
      <c r="BW68" s="62"/>
      <c r="BX68" s="62"/>
      <c r="BY68" s="62"/>
      <c r="BZ68" s="62"/>
      <c r="CA68" s="62"/>
      <c r="CB68" s="62"/>
      <c r="CC68" s="62"/>
      <c r="CD68" s="62"/>
    </row>
    <row r="69" spans="1:82" s="64" customFormat="1" hidden="1" x14ac:dyDescent="0.25">
      <c r="A69" s="74" t="s">
        <v>104</v>
      </c>
      <c r="B69" s="222">
        <v>12</v>
      </c>
      <c r="C69" s="63" t="s">
        <v>105</v>
      </c>
      <c r="D69" s="314">
        <v>0</v>
      </c>
      <c r="E69" s="314">
        <v>0</v>
      </c>
      <c r="F69" s="311">
        <v>0</v>
      </c>
      <c r="G69" s="314">
        <f>+D69</f>
        <v>0</v>
      </c>
      <c r="H69" s="255">
        <v>0</v>
      </c>
      <c r="I69" s="267"/>
      <c r="J69" s="89">
        <v>0</v>
      </c>
      <c r="K69" s="80"/>
      <c r="L69" s="97"/>
      <c r="M69" s="80"/>
      <c r="N69" s="98"/>
      <c r="O69" s="80"/>
      <c r="P69" s="98"/>
      <c r="Q69" s="80"/>
      <c r="R69" s="98"/>
      <c r="S69" s="337">
        <v>0</v>
      </c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62"/>
      <c r="AS69" s="62"/>
      <c r="AT69" s="62"/>
      <c r="AU69" s="62"/>
      <c r="AV69" s="62"/>
      <c r="AW69" s="62"/>
      <c r="AX69" s="62"/>
      <c r="AY69" s="62"/>
      <c r="AZ69" s="62"/>
      <c r="BA69" s="62"/>
      <c r="BB69" s="62"/>
      <c r="BC69" s="62"/>
      <c r="BD69" s="62"/>
      <c r="BE69" s="62"/>
      <c r="BF69" s="62"/>
      <c r="BG69" s="62"/>
      <c r="BH69" s="62"/>
      <c r="BI69" s="62"/>
      <c r="BJ69" s="62"/>
      <c r="BK69" s="62"/>
      <c r="BL69" s="62"/>
      <c r="BM69" s="62"/>
      <c r="BN69" s="62"/>
      <c r="BO69" s="62"/>
      <c r="BP69" s="62"/>
      <c r="BQ69" s="62"/>
      <c r="BR69" s="62"/>
      <c r="BS69" s="62"/>
      <c r="BT69" s="62"/>
      <c r="BU69" s="62"/>
      <c r="BV69" s="62"/>
      <c r="BW69" s="62"/>
      <c r="BX69" s="62"/>
      <c r="BY69" s="62"/>
      <c r="BZ69" s="62"/>
      <c r="CA69" s="62"/>
      <c r="CB69" s="62"/>
      <c r="CC69" s="62"/>
      <c r="CD69" s="62"/>
    </row>
    <row r="70" spans="1:82" s="78" customFormat="1" x14ac:dyDescent="0.25">
      <c r="A70" s="76"/>
      <c r="B70" s="76"/>
      <c r="C70" s="77" t="s">
        <v>106</v>
      </c>
      <c r="D70" s="321">
        <f>+D5+D67</f>
        <v>151139860542</v>
      </c>
      <c r="E70" s="321">
        <f>+E5+E67</f>
        <v>136373284797.73001</v>
      </c>
      <c r="F70" s="322">
        <f t="shared" si="6"/>
        <v>0.90229860149853369</v>
      </c>
      <c r="G70" s="321">
        <f>+G5+G67</f>
        <v>145271398773.89966</v>
      </c>
      <c r="H70" s="268">
        <f t="shared" ref="H70" si="84">+G70/D70</f>
        <v>0.96117197841088675</v>
      </c>
      <c r="I70" s="269">
        <f t="shared" ref="I70:Q70" si="85">+I5+I67</f>
        <v>143572002805.99982</v>
      </c>
      <c r="J70" s="90">
        <f t="shared" ref="J70" si="86">+(I70-G70)/G70</f>
        <v>-1.1698076718768161E-2</v>
      </c>
      <c r="K70" s="88">
        <f t="shared" si="85"/>
        <v>13806496069.007832</v>
      </c>
      <c r="L70" s="98"/>
      <c r="M70" s="88">
        <f t="shared" si="85"/>
        <v>5614497519.9706669</v>
      </c>
      <c r="N70" s="98"/>
      <c r="O70" s="88">
        <f t="shared" si="85"/>
        <v>12363481377.636566</v>
      </c>
      <c r="P70" s="98"/>
      <c r="Q70" s="88">
        <f t="shared" si="85"/>
        <v>111787527839.38477</v>
      </c>
      <c r="R70" s="98"/>
      <c r="S70" s="303">
        <f t="shared" ref="S70" si="87">+G70/D70</f>
        <v>0.96117197841088675</v>
      </c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  <c r="AM70" s="62"/>
      <c r="AN70" s="62"/>
      <c r="AO70" s="62"/>
      <c r="AP70" s="62"/>
      <c r="AQ70" s="62"/>
      <c r="AR70" s="62"/>
      <c r="AS70" s="62"/>
      <c r="AT70" s="62"/>
      <c r="AU70" s="62"/>
      <c r="AV70" s="62"/>
      <c r="AW70" s="62"/>
      <c r="AX70" s="62"/>
      <c r="AY70" s="62"/>
      <c r="AZ70" s="62"/>
      <c r="BA70" s="62"/>
      <c r="BB70" s="62"/>
      <c r="BC70" s="62"/>
      <c r="BD70" s="62"/>
      <c r="BE70" s="62"/>
      <c r="BF70" s="62"/>
      <c r="BG70" s="62"/>
      <c r="BH70" s="62"/>
      <c r="BI70" s="62"/>
      <c r="BJ70" s="62"/>
      <c r="BK70" s="62"/>
      <c r="BL70" s="62"/>
      <c r="BM70" s="62"/>
      <c r="BN70" s="62"/>
      <c r="BO70" s="62"/>
      <c r="BP70" s="62"/>
      <c r="BQ70" s="62"/>
      <c r="BR70" s="62"/>
      <c r="BS70" s="62"/>
      <c r="BT70" s="62"/>
      <c r="BU70" s="62"/>
      <c r="BV70" s="62"/>
      <c r="BW70" s="62"/>
      <c r="BX70" s="62"/>
      <c r="BY70" s="62"/>
      <c r="BZ70" s="62"/>
      <c r="CA70" s="62"/>
      <c r="CB70" s="62"/>
      <c r="CC70" s="62"/>
      <c r="CD70" s="62"/>
    </row>
    <row r="72" spans="1:82" x14ac:dyDescent="0.25">
      <c r="I72" s="91"/>
    </row>
    <row r="73" spans="1:82" x14ac:dyDescent="0.25">
      <c r="K73" s="91"/>
      <c r="Q73" s="91">
        <f>+K70+M70+O70+Q70</f>
        <v>143572002805.99982</v>
      </c>
    </row>
    <row r="74" spans="1:82" x14ac:dyDescent="0.25">
      <c r="Q74" s="91"/>
    </row>
    <row r="76" spans="1:82" x14ac:dyDescent="0.25">
      <c r="M76" s="62" t="s">
        <v>545</v>
      </c>
      <c r="O76" s="198">
        <f>+'GASTOS DE FTO 2024 - 2027 '!U3</f>
        <v>14162543582</v>
      </c>
    </row>
    <row r="78" spans="1:82" x14ac:dyDescent="0.25">
      <c r="M78" s="62" t="s">
        <v>128</v>
      </c>
      <c r="O78" s="198">
        <f>+O76*0.4</f>
        <v>5665017432.8000002</v>
      </c>
    </row>
    <row r="80" spans="1:82" x14ac:dyDescent="0.25">
      <c r="M80" s="62" t="s">
        <v>126</v>
      </c>
      <c r="O80" s="230">
        <f>+O76-O78</f>
        <v>8497526149.1999998</v>
      </c>
    </row>
    <row r="82" spans="13:15" x14ac:dyDescent="0.25">
      <c r="M82" s="62" t="s">
        <v>546</v>
      </c>
      <c r="O82" s="230">
        <f>+O70-O78</f>
        <v>6698463944.836566</v>
      </c>
    </row>
    <row r="85" spans="13:15" x14ac:dyDescent="0.25">
      <c r="O85" s="91">
        <f>+K70+O70</f>
        <v>26169977446.644398</v>
      </c>
    </row>
    <row r="86" spans="13:15" x14ac:dyDescent="0.25">
      <c r="O86" s="91">
        <f>+'GASTOS DE FTO 2024 - 2027 '!U57</f>
        <v>23378784812</v>
      </c>
    </row>
    <row r="87" spans="13:15" x14ac:dyDescent="0.25">
      <c r="O87" s="91">
        <f>+O85-O86</f>
        <v>2791192634.6443977</v>
      </c>
    </row>
  </sheetData>
  <mergeCells count="21">
    <mergeCell ref="F1:F3"/>
    <mergeCell ref="A1:A3"/>
    <mergeCell ref="B1:B3"/>
    <mergeCell ref="C1:C3"/>
    <mergeCell ref="D1:D3"/>
    <mergeCell ref="E1:E3"/>
    <mergeCell ref="S1:S3"/>
    <mergeCell ref="G1:G3"/>
    <mergeCell ref="H1:H3"/>
    <mergeCell ref="I1:I3"/>
    <mergeCell ref="J1:J3"/>
    <mergeCell ref="K1:R1"/>
    <mergeCell ref="K2:L2"/>
    <mergeCell ref="M2:N2"/>
    <mergeCell ref="O2:R2"/>
    <mergeCell ref="K3:K4"/>
    <mergeCell ref="L3:L4"/>
    <mergeCell ref="M3:M4"/>
    <mergeCell ref="N3:N4"/>
    <mergeCell ref="O3:P3"/>
    <mergeCell ref="Q3:R3"/>
  </mergeCells>
  <printOptions horizontalCentered="1"/>
  <pageMargins left="0.70866141732283472" right="0.70866141732283472" top="0.74803149606299213" bottom="0.74803149606299213" header="0.31496062992125984" footer="0.31496062992125984"/>
  <pageSetup paperSize="120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50051-1054-4096-97DD-3B505C497661}">
  <dimension ref="B2:AA27"/>
  <sheetViews>
    <sheetView workbookViewId="0">
      <selection activeCell="C4" sqref="C4"/>
    </sheetView>
  </sheetViews>
  <sheetFormatPr baseColWidth="10" defaultRowHeight="14.4" x14ac:dyDescent="0.3"/>
  <cols>
    <col min="2" max="2" width="23.44140625" customWidth="1"/>
    <col min="3" max="3" width="22.33203125" customWidth="1"/>
    <col min="4" max="4" width="18.6640625" bestFit="1" customWidth="1"/>
    <col min="5" max="5" width="17.109375" customWidth="1"/>
    <col min="6" max="6" width="16.33203125" bestFit="1" customWidth="1"/>
    <col min="7" max="7" width="19.5546875" customWidth="1"/>
    <col min="25" max="25" width="16.33203125" bestFit="1" customWidth="1"/>
    <col min="26" max="26" width="15.109375" bestFit="1" customWidth="1"/>
    <col min="27" max="27" width="17.6640625" bestFit="1" customWidth="1"/>
  </cols>
  <sheetData>
    <row r="2" spans="2:27" ht="18" x14ac:dyDescent="0.35">
      <c r="B2" s="560" t="s">
        <v>590</v>
      </c>
      <c r="C2" s="560"/>
      <c r="D2" s="560"/>
    </row>
    <row r="4" spans="2:27" x14ac:dyDescent="0.3">
      <c r="B4" s="251" t="s">
        <v>563</v>
      </c>
      <c r="C4" s="252" t="s">
        <v>129</v>
      </c>
      <c r="D4" s="252" t="s">
        <v>589</v>
      </c>
    </row>
    <row r="5" spans="2:27" x14ac:dyDescent="0.3">
      <c r="B5" s="138" t="s">
        <v>564</v>
      </c>
      <c r="C5" s="347">
        <f>+'INGRESOS 2024'!I5+1</f>
        <v>141260013006.34863</v>
      </c>
      <c r="D5" s="250">
        <f>+C5/C7</f>
        <v>0.98389665286540273</v>
      </c>
    </row>
    <row r="6" spans="2:27" x14ac:dyDescent="0.3">
      <c r="B6" s="138" t="s">
        <v>565</v>
      </c>
      <c r="C6" s="347">
        <f>+'INGRESOS 2024'!I67</f>
        <v>2311989800</v>
      </c>
      <c r="D6" s="250">
        <f>+C6/C7</f>
        <v>1.6103347134597233E-2</v>
      </c>
    </row>
    <row r="7" spans="2:27" x14ac:dyDescent="0.3">
      <c r="B7" s="348" t="s">
        <v>174</v>
      </c>
      <c r="C7" s="349">
        <f>+C5+C6</f>
        <v>143572002806.34863</v>
      </c>
      <c r="D7" s="350"/>
    </row>
    <row r="8" spans="2:27" x14ac:dyDescent="0.3">
      <c r="B8" s="251" t="s">
        <v>566</v>
      </c>
      <c r="C8" s="346" t="s">
        <v>129</v>
      </c>
      <c r="D8" s="252" t="s">
        <v>589</v>
      </c>
    </row>
    <row r="9" spans="2:27" x14ac:dyDescent="0.3">
      <c r="B9" s="138" t="s">
        <v>126</v>
      </c>
      <c r="C9" s="347">
        <f>+'GASTOS DE FTO 2024 - 2027 '!U57</f>
        <v>23378784812</v>
      </c>
      <c r="D9" s="250">
        <f>+C9/C12</f>
        <v>0.16283665585969745</v>
      </c>
      <c r="Y9" s="299">
        <f>+'DESTINACIONES '!C58</f>
        <v>13806496068.1</v>
      </c>
      <c r="Z9" s="299">
        <f>+'DESTINACIONES '!D58</f>
        <v>5614497520</v>
      </c>
      <c r="AA9" s="300">
        <f>+C9-Y9-Z9</f>
        <v>3957791223.8999996</v>
      </c>
    </row>
    <row r="10" spans="2:27" x14ac:dyDescent="0.3">
      <c r="B10" s="138" t="s">
        <v>567</v>
      </c>
      <c r="C10" s="347">
        <f>+'DESTINACIONES '!K58</f>
        <v>11143805251.200001</v>
      </c>
      <c r="D10" s="250">
        <f>+C10/C12</f>
        <v>7.7618233592950697E-2</v>
      </c>
      <c r="Z10" s="299"/>
    </row>
    <row r="11" spans="2:27" x14ac:dyDescent="0.3">
      <c r="B11" s="138" t="s">
        <v>128</v>
      </c>
      <c r="C11" s="347">
        <v>109049412742.75</v>
      </c>
      <c r="D11" s="250">
        <f>+C11/C12</f>
        <v>0.75954511054735174</v>
      </c>
    </row>
    <row r="12" spans="2:27" x14ac:dyDescent="0.3">
      <c r="B12" s="348" t="s">
        <v>174</v>
      </c>
      <c r="C12" s="349">
        <f>+C9+C10+C11</f>
        <v>143572002805.95001</v>
      </c>
      <c r="D12" s="350"/>
    </row>
    <row r="15" spans="2:27" x14ac:dyDescent="0.3">
      <c r="B15" s="251" t="s">
        <v>569</v>
      </c>
      <c r="C15" s="252" t="s">
        <v>570</v>
      </c>
      <c r="D15" s="252" t="s">
        <v>571</v>
      </c>
      <c r="E15" s="251" t="s">
        <v>572</v>
      </c>
    </row>
    <row r="16" spans="2:27" x14ac:dyDescent="0.3">
      <c r="B16" s="138" t="s">
        <v>573</v>
      </c>
      <c r="C16" s="347">
        <v>32048437768.450001</v>
      </c>
      <c r="D16" s="347">
        <v>30995276908.459999</v>
      </c>
      <c r="E16" s="347">
        <f>+C16-D16</f>
        <v>1053160859.9900017</v>
      </c>
    </row>
    <row r="17" spans="2:5" x14ac:dyDescent="0.3">
      <c r="B17" s="138" t="s">
        <v>574</v>
      </c>
      <c r="C17" s="347">
        <v>5683776060.6099997</v>
      </c>
      <c r="D17" s="347">
        <v>5683776060.6099997</v>
      </c>
      <c r="E17" s="347">
        <f>+C17-D17</f>
        <v>0</v>
      </c>
    </row>
    <row r="18" spans="2:5" x14ac:dyDescent="0.3">
      <c r="B18" s="348" t="s">
        <v>174</v>
      </c>
      <c r="C18" s="349">
        <f>+C16+C17</f>
        <v>37732213829.059998</v>
      </c>
      <c r="D18" s="349">
        <f>+D16+D17</f>
        <v>36679052969.07</v>
      </c>
      <c r="E18" s="349">
        <f>+E16+E17</f>
        <v>1053160859.9900017</v>
      </c>
    </row>
    <row r="19" spans="2:5" x14ac:dyDescent="0.3">
      <c r="C19" s="245"/>
    </row>
    <row r="20" spans="2:5" x14ac:dyDescent="0.3">
      <c r="C20" s="245"/>
    </row>
    <row r="22" spans="2:5" x14ac:dyDescent="0.3">
      <c r="C22" s="245"/>
    </row>
    <row r="25" spans="2:5" x14ac:dyDescent="0.3">
      <c r="C25" s="246"/>
    </row>
    <row r="27" spans="2:5" x14ac:dyDescent="0.3">
      <c r="C27" s="247"/>
    </row>
  </sheetData>
  <mergeCells count="1">
    <mergeCell ref="B2:D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22488-CEC3-403A-90E2-50F88059A046}">
  <dimension ref="A1:Q106"/>
  <sheetViews>
    <sheetView topLeftCell="A31" zoomScale="120" zoomScaleNormal="120" workbookViewId="0">
      <selection activeCell="K72" sqref="K72"/>
    </sheetView>
  </sheetViews>
  <sheetFormatPr baseColWidth="10" defaultColWidth="25.6640625" defaultRowHeight="10.199999999999999" x14ac:dyDescent="0.2"/>
  <cols>
    <col min="1" max="1" width="38.6640625" style="100" customWidth="1"/>
    <col min="2" max="2" width="15" style="109" bestFit="1" customWidth="1"/>
    <col min="3" max="5" width="15" style="109" customWidth="1"/>
    <col min="6" max="6" width="3.6640625" style="109" customWidth="1"/>
    <col min="7" max="7" width="18.6640625" style="100" customWidth="1"/>
    <col min="8" max="8" width="16" style="100" hidden="1" customWidth="1"/>
    <col min="9" max="9" width="13.33203125" style="100" bestFit="1" customWidth="1"/>
    <col min="10" max="10" width="13.109375" style="100" hidden="1" customWidth="1"/>
    <col min="11" max="11" width="14.5546875" style="100" customWidth="1"/>
    <col min="12" max="12" width="17.6640625" style="100" hidden="1" customWidth="1"/>
    <col min="13" max="13" width="11.6640625" style="100" hidden="1" customWidth="1"/>
    <col min="14" max="14" width="13.44140625" style="121" customWidth="1"/>
    <col min="15" max="15" width="12.6640625" style="121" customWidth="1"/>
    <col min="16" max="16" width="14.109375" style="121" customWidth="1"/>
    <col min="17" max="17" width="17.33203125" style="100" customWidth="1"/>
    <col min="18" max="259" width="25.6640625" style="100"/>
    <col min="260" max="260" width="14.109375" style="100" customWidth="1"/>
    <col min="261" max="261" width="10.88671875" style="100" customWidth="1"/>
    <col min="262" max="263" width="9.33203125" style="100" customWidth="1"/>
    <col min="264" max="264" width="10.44140625" style="100" customWidth="1"/>
    <col min="265" max="265" width="10.6640625" style="100" customWidth="1"/>
    <col min="266" max="266" width="9.6640625" style="100" customWidth="1"/>
    <col min="267" max="267" width="10.5546875" style="100" customWidth="1"/>
    <col min="268" max="268" width="10.6640625" style="100" customWidth="1"/>
    <col min="269" max="269" width="11.33203125" style="100" customWidth="1"/>
    <col min="270" max="270" width="10.6640625" style="100" customWidth="1"/>
    <col min="271" max="271" width="10.44140625" style="100" customWidth="1"/>
    <col min="272" max="272" width="5.109375" style="100" customWidth="1"/>
    <col min="273" max="515" width="25.6640625" style="100"/>
    <col min="516" max="516" width="14.109375" style="100" customWidth="1"/>
    <col min="517" max="517" width="10.88671875" style="100" customWidth="1"/>
    <col min="518" max="519" width="9.33203125" style="100" customWidth="1"/>
    <col min="520" max="520" width="10.44140625" style="100" customWidth="1"/>
    <col min="521" max="521" width="10.6640625" style="100" customWidth="1"/>
    <col min="522" max="522" width="9.6640625" style="100" customWidth="1"/>
    <col min="523" max="523" width="10.5546875" style="100" customWidth="1"/>
    <col min="524" max="524" width="10.6640625" style="100" customWidth="1"/>
    <col min="525" max="525" width="11.33203125" style="100" customWidth="1"/>
    <col min="526" max="526" width="10.6640625" style="100" customWidth="1"/>
    <col min="527" max="527" width="10.44140625" style="100" customWidth="1"/>
    <col min="528" max="528" width="5.109375" style="100" customWidth="1"/>
    <col min="529" max="771" width="25.6640625" style="100"/>
    <col min="772" max="772" width="14.109375" style="100" customWidth="1"/>
    <col min="773" max="773" width="10.88671875" style="100" customWidth="1"/>
    <col min="774" max="775" width="9.33203125" style="100" customWidth="1"/>
    <col min="776" max="776" width="10.44140625" style="100" customWidth="1"/>
    <col min="777" max="777" width="10.6640625" style="100" customWidth="1"/>
    <col min="778" max="778" width="9.6640625" style="100" customWidth="1"/>
    <col min="779" max="779" width="10.5546875" style="100" customWidth="1"/>
    <col min="780" max="780" width="10.6640625" style="100" customWidth="1"/>
    <col min="781" max="781" width="11.33203125" style="100" customWidth="1"/>
    <col min="782" max="782" width="10.6640625" style="100" customWidth="1"/>
    <col min="783" max="783" width="10.44140625" style="100" customWidth="1"/>
    <col min="784" max="784" width="5.109375" style="100" customWidth="1"/>
    <col min="785" max="1027" width="25.6640625" style="100"/>
    <col min="1028" max="1028" width="14.109375" style="100" customWidth="1"/>
    <col min="1029" max="1029" width="10.88671875" style="100" customWidth="1"/>
    <col min="1030" max="1031" width="9.33203125" style="100" customWidth="1"/>
    <col min="1032" max="1032" width="10.44140625" style="100" customWidth="1"/>
    <col min="1033" max="1033" width="10.6640625" style="100" customWidth="1"/>
    <col min="1034" max="1034" width="9.6640625" style="100" customWidth="1"/>
    <col min="1035" max="1035" width="10.5546875" style="100" customWidth="1"/>
    <col min="1036" max="1036" width="10.6640625" style="100" customWidth="1"/>
    <col min="1037" max="1037" width="11.33203125" style="100" customWidth="1"/>
    <col min="1038" max="1038" width="10.6640625" style="100" customWidth="1"/>
    <col min="1039" max="1039" width="10.44140625" style="100" customWidth="1"/>
    <col min="1040" max="1040" width="5.109375" style="100" customWidth="1"/>
    <col min="1041" max="1283" width="25.6640625" style="100"/>
    <col min="1284" max="1284" width="14.109375" style="100" customWidth="1"/>
    <col min="1285" max="1285" width="10.88671875" style="100" customWidth="1"/>
    <col min="1286" max="1287" width="9.33203125" style="100" customWidth="1"/>
    <col min="1288" max="1288" width="10.44140625" style="100" customWidth="1"/>
    <col min="1289" max="1289" width="10.6640625" style="100" customWidth="1"/>
    <col min="1290" max="1290" width="9.6640625" style="100" customWidth="1"/>
    <col min="1291" max="1291" width="10.5546875" style="100" customWidth="1"/>
    <col min="1292" max="1292" width="10.6640625" style="100" customWidth="1"/>
    <col min="1293" max="1293" width="11.33203125" style="100" customWidth="1"/>
    <col min="1294" max="1294" width="10.6640625" style="100" customWidth="1"/>
    <col min="1295" max="1295" width="10.44140625" style="100" customWidth="1"/>
    <col min="1296" max="1296" width="5.109375" style="100" customWidth="1"/>
    <col min="1297" max="1539" width="25.6640625" style="100"/>
    <col min="1540" max="1540" width="14.109375" style="100" customWidth="1"/>
    <col min="1541" max="1541" width="10.88671875" style="100" customWidth="1"/>
    <col min="1542" max="1543" width="9.33203125" style="100" customWidth="1"/>
    <col min="1544" max="1544" width="10.44140625" style="100" customWidth="1"/>
    <col min="1545" max="1545" width="10.6640625" style="100" customWidth="1"/>
    <col min="1546" max="1546" width="9.6640625" style="100" customWidth="1"/>
    <col min="1547" max="1547" width="10.5546875" style="100" customWidth="1"/>
    <col min="1548" max="1548" width="10.6640625" style="100" customWidth="1"/>
    <col min="1549" max="1549" width="11.33203125" style="100" customWidth="1"/>
    <col min="1550" max="1550" width="10.6640625" style="100" customWidth="1"/>
    <col min="1551" max="1551" width="10.44140625" style="100" customWidth="1"/>
    <col min="1552" max="1552" width="5.109375" style="100" customWidth="1"/>
    <col min="1553" max="1795" width="25.6640625" style="100"/>
    <col min="1796" max="1796" width="14.109375" style="100" customWidth="1"/>
    <col min="1797" max="1797" width="10.88671875" style="100" customWidth="1"/>
    <col min="1798" max="1799" width="9.33203125" style="100" customWidth="1"/>
    <col min="1800" max="1800" width="10.44140625" style="100" customWidth="1"/>
    <col min="1801" max="1801" width="10.6640625" style="100" customWidth="1"/>
    <col min="1802" max="1802" width="9.6640625" style="100" customWidth="1"/>
    <col min="1803" max="1803" width="10.5546875" style="100" customWidth="1"/>
    <col min="1804" max="1804" width="10.6640625" style="100" customWidth="1"/>
    <col min="1805" max="1805" width="11.33203125" style="100" customWidth="1"/>
    <col min="1806" max="1806" width="10.6640625" style="100" customWidth="1"/>
    <col min="1807" max="1807" width="10.44140625" style="100" customWidth="1"/>
    <col min="1808" max="1808" width="5.109375" style="100" customWidth="1"/>
    <col min="1809" max="2051" width="25.6640625" style="100"/>
    <col min="2052" max="2052" width="14.109375" style="100" customWidth="1"/>
    <col min="2053" max="2053" width="10.88671875" style="100" customWidth="1"/>
    <col min="2054" max="2055" width="9.33203125" style="100" customWidth="1"/>
    <col min="2056" max="2056" width="10.44140625" style="100" customWidth="1"/>
    <col min="2057" max="2057" width="10.6640625" style="100" customWidth="1"/>
    <col min="2058" max="2058" width="9.6640625" style="100" customWidth="1"/>
    <col min="2059" max="2059" width="10.5546875" style="100" customWidth="1"/>
    <col min="2060" max="2060" width="10.6640625" style="100" customWidth="1"/>
    <col min="2061" max="2061" width="11.33203125" style="100" customWidth="1"/>
    <col min="2062" max="2062" width="10.6640625" style="100" customWidth="1"/>
    <col min="2063" max="2063" width="10.44140625" style="100" customWidth="1"/>
    <col min="2064" max="2064" width="5.109375" style="100" customWidth="1"/>
    <col min="2065" max="2307" width="25.6640625" style="100"/>
    <col min="2308" max="2308" width="14.109375" style="100" customWidth="1"/>
    <col min="2309" max="2309" width="10.88671875" style="100" customWidth="1"/>
    <col min="2310" max="2311" width="9.33203125" style="100" customWidth="1"/>
    <col min="2312" max="2312" width="10.44140625" style="100" customWidth="1"/>
    <col min="2313" max="2313" width="10.6640625" style="100" customWidth="1"/>
    <col min="2314" max="2314" width="9.6640625" style="100" customWidth="1"/>
    <col min="2315" max="2315" width="10.5546875" style="100" customWidth="1"/>
    <col min="2316" max="2316" width="10.6640625" style="100" customWidth="1"/>
    <col min="2317" max="2317" width="11.33203125" style="100" customWidth="1"/>
    <col min="2318" max="2318" width="10.6640625" style="100" customWidth="1"/>
    <col min="2319" max="2319" width="10.44140625" style="100" customWidth="1"/>
    <col min="2320" max="2320" width="5.109375" style="100" customWidth="1"/>
    <col min="2321" max="2563" width="25.6640625" style="100"/>
    <col min="2564" max="2564" width="14.109375" style="100" customWidth="1"/>
    <col min="2565" max="2565" width="10.88671875" style="100" customWidth="1"/>
    <col min="2566" max="2567" width="9.33203125" style="100" customWidth="1"/>
    <col min="2568" max="2568" width="10.44140625" style="100" customWidth="1"/>
    <col min="2569" max="2569" width="10.6640625" style="100" customWidth="1"/>
    <col min="2570" max="2570" width="9.6640625" style="100" customWidth="1"/>
    <col min="2571" max="2571" width="10.5546875" style="100" customWidth="1"/>
    <col min="2572" max="2572" width="10.6640625" style="100" customWidth="1"/>
    <col min="2573" max="2573" width="11.33203125" style="100" customWidth="1"/>
    <col min="2574" max="2574" width="10.6640625" style="100" customWidth="1"/>
    <col min="2575" max="2575" width="10.44140625" style="100" customWidth="1"/>
    <col min="2576" max="2576" width="5.109375" style="100" customWidth="1"/>
    <col min="2577" max="2819" width="25.6640625" style="100"/>
    <col min="2820" max="2820" width="14.109375" style="100" customWidth="1"/>
    <col min="2821" max="2821" width="10.88671875" style="100" customWidth="1"/>
    <col min="2822" max="2823" width="9.33203125" style="100" customWidth="1"/>
    <col min="2824" max="2824" width="10.44140625" style="100" customWidth="1"/>
    <col min="2825" max="2825" width="10.6640625" style="100" customWidth="1"/>
    <col min="2826" max="2826" width="9.6640625" style="100" customWidth="1"/>
    <col min="2827" max="2827" width="10.5546875" style="100" customWidth="1"/>
    <col min="2828" max="2828" width="10.6640625" style="100" customWidth="1"/>
    <col min="2829" max="2829" width="11.33203125" style="100" customWidth="1"/>
    <col min="2830" max="2830" width="10.6640625" style="100" customWidth="1"/>
    <col min="2831" max="2831" width="10.44140625" style="100" customWidth="1"/>
    <col min="2832" max="2832" width="5.109375" style="100" customWidth="1"/>
    <col min="2833" max="3075" width="25.6640625" style="100"/>
    <col min="3076" max="3076" width="14.109375" style="100" customWidth="1"/>
    <col min="3077" max="3077" width="10.88671875" style="100" customWidth="1"/>
    <col min="3078" max="3079" width="9.33203125" style="100" customWidth="1"/>
    <col min="3080" max="3080" width="10.44140625" style="100" customWidth="1"/>
    <col min="3081" max="3081" width="10.6640625" style="100" customWidth="1"/>
    <col min="3082" max="3082" width="9.6640625" style="100" customWidth="1"/>
    <col min="3083" max="3083" width="10.5546875" style="100" customWidth="1"/>
    <col min="3084" max="3084" width="10.6640625" style="100" customWidth="1"/>
    <col min="3085" max="3085" width="11.33203125" style="100" customWidth="1"/>
    <col min="3086" max="3086" width="10.6640625" style="100" customWidth="1"/>
    <col min="3087" max="3087" width="10.44140625" style="100" customWidth="1"/>
    <col min="3088" max="3088" width="5.109375" style="100" customWidth="1"/>
    <col min="3089" max="3331" width="25.6640625" style="100"/>
    <col min="3332" max="3332" width="14.109375" style="100" customWidth="1"/>
    <col min="3333" max="3333" width="10.88671875" style="100" customWidth="1"/>
    <col min="3334" max="3335" width="9.33203125" style="100" customWidth="1"/>
    <col min="3336" max="3336" width="10.44140625" style="100" customWidth="1"/>
    <col min="3337" max="3337" width="10.6640625" style="100" customWidth="1"/>
    <col min="3338" max="3338" width="9.6640625" style="100" customWidth="1"/>
    <col min="3339" max="3339" width="10.5546875" style="100" customWidth="1"/>
    <col min="3340" max="3340" width="10.6640625" style="100" customWidth="1"/>
    <col min="3341" max="3341" width="11.33203125" style="100" customWidth="1"/>
    <col min="3342" max="3342" width="10.6640625" style="100" customWidth="1"/>
    <col min="3343" max="3343" width="10.44140625" style="100" customWidth="1"/>
    <col min="3344" max="3344" width="5.109375" style="100" customWidth="1"/>
    <col min="3345" max="3587" width="25.6640625" style="100"/>
    <col min="3588" max="3588" width="14.109375" style="100" customWidth="1"/>
    <col min="3589" max="3589" width="10.88671875" style="100" customWidth="1"/>
    <col min="3590" max="3591" width="9.33203125" style="100" customWidth="1"/>
    <col min="3592" max="3592" width="10.44140625" style="100" customWidth="1"/>
    <col min="3593" max="3593" width="10.6640625" style="100" customWidth="1"/>
    <col min="3594" max="3594" width="9.6640625" style="100" customWidth="1"/>
    <col min="3595" max="3595" width="10.5546875" style="100" customWidth="1"/>
    <col min="3596" max="3596" width="10.6640625" style="100" customWidth="1"/>
    <col min="3597" max="3597" width="11.33203125" style="100" customWidth="1"/>
    <col min="3598" max="3598" width="10.6640625" style="100" customWidth="1"/>
    <col min="3599" max="3599" width="10.44140625" style="100" customWidth="1"/>
    <col min="3600" max="3600" width="5.109375" style="100" customWidth="1"/>
    <col min="3601" max="3843" width="25.6640625" style="100"/>
    <col min="3844" max="3844" width="14.109375" style="100" customWidth="1"/>
    <col min="3845" max="3845" width="10.88671875" style="100" customWidth="1"/>
    <col min="3846" max="3847" width="9.33203125" style="100" customWidth="1"/>
    <col min="3848" max="3848" width="10.44140625" style="100" customWidth="1"/>
    <col min="3849" max="3849" width="10.6640625" style="100" customWidth="1"/>
    <col min="3850" max="3850" width="9.6640625" style="100" customWidth="1"/>
    <col min="3851" max="3851" width="10.5546875" style="100" customWidth="1"/>
    <col min="3852" max="3852" width="10.6640625" style="100" customWidth="1"/>
    <col min="3853" max="3853" width="11.33203125" style="100" customWidth="1"/>
    <col min="3854" max="3854" width="10.6640625" style="100" customWidth="1"/>
    <col min="3855" max="3855" width="10.44140625" style="100" customWidth="1"/>
    <col min="3856" max="3856" width="5.109375" style="100" customWidth="1"/>
    <col min="3857" max="4099" width="25.6640625" style="100"/>
    <col min="4100" max="4100" width="14.109375" style="100" customWidth="1"/>
    <col min="4101" max="4101" width="10.88671875" style="100" customWidth="1"/>
    <col min="4102" max="4103" width="9.33203125" style="100" customWidth="1"/>
    <col min="4104" max="4104" width="10.44140625" style="100" customWidth="1"/>
    <col min="4105" max="4105" width="10.6640625" style="100" customWidth="1"/>
    <col min="4106" max="4106" width="9.6640625" style="100" customWidth="1"/>
    <col min="4107" max="4107" width="10.5546875" style="100" customWidth="1"/>
    <col min="4108" max="4108" width="10.6640625" style="100" customWidth="1"/>
    <col min="4109" max="4109" width="11.33203125" style="100" customWidth="1"/>
    <col min="4110" max="4110" width="10.6640625" style="100" customWidth="1"/>
    <col min="4111" max="4111" width="10.44140625" style="100" customWidth="1"/>
    <col min="4112" max="4112" width="5.109375" style="100" customWidth="1"/>
    <col min="4113" max="4355" width="25.6640625" style="100"/>
    <col min="4356" max="4356" width="14.109375" style="100" customWidth="1"/>
    <col min="4357" max="4357" width="10.88671875" style="100" customWidth="1"/>
    <col min="4358" max="4359" width="9.33203125" style="100" customWidth="1"/>
    <col min="4360" max="4360" width="10.44140625" style="100" customWidth="1"/>
    <col min="4361" max="4361" width="10.6640625" style="100" customWidth="1"/>
    <col min="4362" max="4362" width="9.6640625" style="100" customWidth="1"/>
    <col min="4363" max="4363" width="10.5546875" style="100" customWidth="1"/>
    <col min="4364" max="4364" width="10.6640625" style="100" customWidth="1"/>
    <col min="4365" max="4365" width="11.33203125" style="100" customWidth="1"/>
    <col min="4366" max="4366" width="10.6640625" style="100" customWidth="1"/>
    <col min="4367" max="4367" width="10.44140625" style="100" customWidth="1"/>
    <col min="4368" max="4368" width="5.109375" style="100" customWidth="1"/>
    <col min="4369" max="4611" width="25.6640625" style="100"/>
    <col min="4612" max="4612" width="14.109375" style="100" customWidth="1"/>
    <col min="4613" max="4613" width="10.88671875" style="100" customWidth="1"/>
    <col min="4614" max="4615" width="9.33203125" style="100" customWidth="1"/>
    <col min="4616" max="4616" width="10.44140625" style="100" customWidth="1"/>
    <col min="4617" max="4617" width="10.6640625" style="100" customWidth="1"/>
    <col min="4618" max="4618" width="9.6640625" style="100" customWidth="1"/>
    <col min="4619" max="4619" width="10.5546875" style="100" customWidth="1"/>
    <col min="4620" max="4620" width="10.6640625" style="100" customWidth="1"/>
    <col min="4621" max="4621" width="11.33203125" style="100" customWidth="1"/>
    <col min="4622" max="4622" width="10.6640625" style="100" customWidth="1"/>
    <col min="4623" max="4623" width="10.44140625" style="100" customWidth="1"/>
    <col min="4624" max="4624" width="5.109375" style="100" customWidth="1"/>
    <col min="4625" max="4867" width="25.6640625" style="100"/>
    <col min="4868" max="4868" width="14.109375" style="100" customWidth="1"/>
    <col min="4869" max="4869" width="10.88671875" style="100" customWidth="1"/>
    <col min="4870" max="4871" width="9.33203125" style="100" customWidth="1"/>
    <col min="4872" max="4872" width="10.44140625" style="100" customWidth="1"/>
    <col min="4873" max="4873" width="10.6640625" style="100" customWidth="1"/>
    <col min="4874" max="4874" width="9.6640625" style="100" customWidth="1"/>
    <col min="4875" max="4875" width="10.5546875" style="100" customWidth="1"/>
    <col min="4876" max="4876" width="10.6640625" style="100" customWidth="1"/>
    <col min="4877" max="4877" width="11.33203125" style="100" customWidth="1"/>
    <col min="4878" max="4878" width="10.6640625" style="100" customWidth="1"/>
    <col min="4879" max="4879" width="10.44140625" style="100" customWidth="1"/>
    <col min="4880" max="4880" width="5.109375" style="100" customWidth="1"/>
    <col min="4881" max="5123" width="25.6640625" style="100"/>
    <col min="5124" max="5124" width="14.109375" style="100" customWidth="1"/>
    <col min="5125" max="5125" width="10.88671875" style="100" customWidth="1"/>
    <col min="5126" max="5127" width="9.33203125" style="100" customWidth="1"/>
    <col min="5128" max="5128" width="10.44140625" style="100" customWidth="1"/>
    <col min="5129" max="5129" width="10.6640625" style="100" customWidth="1"/>
    <col min="5130" max="5130" width="9.6640625" style="100" customWidth="1"/>
    <col min="5131" max="5131" width="10.5546875" style="100" customWidth="1"/>
    <col min="5132" max="5132" width="10.6640625" style="100" customWidth="1"/>
    <col min="5133" max="5133" width="11.33203125" style="100" customWidth="1"/>
    <col min="5134" max="5134" width="10.6640625" style="100" customWidth="1"/>
    <col min="5135" max="5135" width="10.44140625" style="100" customWidth="1"/>
    <col min="5136" max="5136" width="5.109375" style="100" customWidth="1"/>
    <col min="5137" max="5379" width="25.6640625" style="100"/>
    <col min="5380" max="5380" width="14.109375" style="100" customWidth="1"/>
    <col min="5381" max="5381" width="10.88671875" style="100" customWidth="1"/>
    <col min="5382" max="5383" width="9.33203125" style="100" customWidth="1"/>
    <col min="5384" max="5384" width="10.44140625" style="100" customWidth="1"/>
    <col min="5385" max="5385" width="10.6640625" style="100" customWidth="1"/>
    <col min="5386" max="5386" width="9.6640625" style="100" customWidth="1"/>
    <col min="5387" max="5387" width="10.5546875" style="100" customWidth="1"/>
    <col min="5388" max="5388" width="10.6640625" style="100" customWidth="1"/>
    <col min="5389" max="5389" width="11.33203125" style="100" customWidth="1"/>
    <col min="5390" max="5390" width="10.6640625" style="100" customWidth="1"/>
    <col min="5391" max="5391" width="10.44140625" style="100" customWidth="1"/>
    <col min="5392" max="5392" width="5.109375" style="100" customWidth="1"/>
    <col min="5393" max="5635" width="25.6640625" style="100"/>
    <col min="5636" max="5636" width="14.109375" style="100" customWidth="1"/>
    <col min="5637" max="5637" width="10.88671875" style="100" customWidth="1"/>
    <col min="5638" max="5639" width="9.33203125" style="100" customWidth="1"/>
    <col min="5640" max="5640" width="10.44140625" style="100" customWidth="1"/>
    <col min="5641" max="5641" width="10.6640625" style="100" customWidth="1"/>
    <col min="5642" max="5642" width="9.6640625" style="100" customWidth="1"/>
    <col min="5643" max="5643" width="10.5546875" style="100" customWidth="1"/>
    <col min="5644" max="5644" width="10.6640625" style="100" customWidth="1"/>
    <col min="5645" max="5645" width="11.33203125" style="100" customWidth="1"/>
    <col min="5646" max="5646" width="10.6640625" style="100" customWidth="1"/>
    <col min="5647" max="5647" width="10.44140625" style="100" customWidth="1"/>
    <col min="5648" max="5648" width="5.109375" style="100" customWidth="1"/>
    <col min="5649" max="5891" width="25.6640625" style="100"/>
    <col min="5892" max="5892" width="14.109375" style="100" customWidth="1"/>
    <col min="5893" max="5893" width="10.88671875" style="100" customWidth="1"/>
    <col min="5894" max="5895" width="9.33203125" style="100" customWidth="1"/>
    <col min="5896" max="5896" width="10.44140625" style="100" customWidth="1"/>
    <col min="5897" max="5897" width="10.6640625" style="100" customWidth="1"/>
    <col min="5898" max="5898" width="9.6640625" style="100" customWidth="1"/>
    <col min="5899" max="5899" width="10.5546875" style="100" customWidth="1"/>
    <col min="5900" max="5900" width="10.6640625" style="100" customWidth="1"/>
    <col min="5901" max="5901" width="11.33203125" style="100" customWidth="1"/>
    <col min="5902" max="5902" width="10.6640625" style="100" customWidth="1"/>
    <col min="5903" max="5903" width="10.44140625" style="100" customWidth="1"/>
    <col min="5904" max="5904" width="5.109375" style="100" customWidth="1"/>
    <col min="5905" max="6147" width="25.6640625" style="100"/>
    <col min="6148" max="6148" width="14.109375" style="100" customWidth="1"/>
    <col min="6149" max="6149" width="10.88671875" style="100" customWidth="1"/>
    <col min="6150" max="6151" width="9.33203125" style="100" customWidth="1"/>
    <col min="6152" max="6152" width="10.44140625" style="100" customWidth="1"/>
    <col min="6153" max="6153" width="10.6640625" style="100" customWidth="1"/>
    <col min="6154" max="6154" width="9.6640625" style="100" customWidth="1"/>
    <col min="6155" max="6155" width="10.5546875" style="100" customWidth="1"/>
    <col min="6156" max="6156" width="10.6640625" style="100" customWidth="1"/>
    <col min="6157" max="6157" width="11.33203125" style="100" customWidth="1"/>
    <col min="6158" max="6158" width="10.6640625" style="100" customWidth="1"/>
    <col min="6159" max="6159" width="10.44140625" style="100" customWidth="1"/>
    <col min="6160" max="6160" width="5.109375" style="100" customWidth="1"/>
    <col min="6161" max="6403" width="25.6640625" style="100"/>
    <col min="6404" max="6404" width="14.109375" style="100" customWidth="1"/>
    <col min="6405" max="6405" width="10.88671875" style="100" customWidth="1"/>
    <col min="6406" max="6407" width="9.33203125" style="100" customWidth="1"/>
    <col min="6408" max="6408" width="10.44140625" style="100" customWidth="1"/>
    <col min="6409" max="6409" width="10.6640625" style="100" customWidth="1"/>
    <col min="6410" max="6410" width="9.6640625" style="100" customWidth="1"/>
    <col min="6411" max="6411" width="10.5546875" style="100" customWidth="1"/>
    <col min="6412" max="6412" width="10.6640625" style="100" customWidth="1"/>
    <col min="6413" max="6413" width="11.33203125" style="100" customWidth="1"/>
    <col min="6414" max="6414" width="10.6640625" style="100" customWidth="1"/>
    <col min="6415" max="6415" width="10.44140625" style="100" customWidth="1"/>
    <col min="6416" max="6416" width="5.109375" style="100" customWidth="1"/>
    <col min="6417" max="6659" width="25.6640625" style="100"/>
    <col min="6660" max="6660" width="14.109375" style="100" customWidth="1"/>
    <col min="6661" max="6661" width="10.88671875" style="100" customWidth="1"/>
    <col min="6662" max="6663" width="9.33203125" style="100" customWidth="1"/>
    <col min="6664" max="6664" width="10.44140625" style="100" customWidth="1"/>
    <col min="6665" max="6665" width="10.6640625" style="100" customWidth="1"/>
    <col min="6666" max="6666" width="9.6640625" style="100" customWidth="1"/>
    <col min="6667" max="6667" width="10.5546875" style="100" customWidth="1"/>
    <col min="6668" max="6668" width="10.6640625" style="100" customWidth="1"/>
    <col min="6669" max="6669" width="11.33203125" style="100" customWidth="1"/>
    <col min="6670" max="6670" width="10.6640625" style="100" customWidth="1"/>
    <col min="6671" max="6671" width="10.44140625" style="100" customWidth="1"/>
    <col min="6672" max="6672" width="5.109375" style="100" customWidth="1"/>
    <col min="6673" max="6915" width="25.6640625" style="100"/>
    <col min="6916" max="6916" width="14.109375" style="100" customWidth="1"/>
    <col min="6917" max="6917" width="10.88671875" style="100" customWidth="1"/>
    <col min="6918" max="6919" width="9.33203125" style="100" customWidth="1"/>
    <col min="6920" max="6920" width="10.44140625" style="100" customWidth="1"/>
    <col min="6921" max="6921" width="10.6640625" style="100" customWidth="1"/>
    <col min="6922" max="6922" width="9.6640625" style="100" customWidth="1"/>
    <col min="6923" max="6923" width="10.5546875" style="100" customWidth="1"/>
    <col min="6924" max="6924" width="10.6640625" style="100" customWidth="1"/>
    <col min="6925" max="6925" width="11.33203125" style="100" customWidth="1"/>
    <col min="6926" max="6926" width="10.6640625" style="100" customWidth="1"/>
    <col min="6927" max="6927" width="10.44140625" style="100" customWidth="1"/>
    <col min="6928" max="6928" width="5.109375" style="100" customWidth="1"/>
    <col min="6929" max="7171" width="25.6640625" style="100"/>
    <col min="7172" max="7172" width="14.109375" style="100" customWidth="1"/>
    <col min="7173" max="7173" width="10.88671875" style="100" customWidth="1"/>
    <col min="7174" max="7175" width="9.33203125" style="100" customWidth="1"/>
    <col min="7176" max="7176" width="10.44140625" style="100" customWidth="1"/>
    <col min="7177" max="7177" width="10.6640625" style="100" customWidth="1"/>
    <col min="7178" max="7178" width="9.6640625" style="100" customWidth="1"/>
    <col min="7179" max="7179" width="10.5546875" style="100" customWidth="1"/>
    <col min="7180" max="7180" width="10.6640625" style="100" customWidth="1"/>
    <col min="7181" max="7181" width="11.33203125" style="100" customWidth="1"/>
    <col min="7182" max="7182" width="10.6640625" style="100" customWidth="1"/>
    <col min="7183" max="7183" width="10.44140625" style="100" customWidth="1"/>
    <col min="7184" max="7184" width="5.109375" style="100" customWidth="1"/>
    <col min="7185" max="7427" width="25.6640625" style="100"/>
    <col min="7428" max="7428" width="14.109375" style="100" customWidth="1"/>
    <col min="7429" max="7429" width="10.88671875" style="100" customWidth="1"/>
    <col min="7430" max="7431" width="9.33203125" style="100" customWidth="1"/>
    <col min="7432" max="7432" width="10.44140625" style="100" customWidth="1"/>
    <col min="7433" max="7433" width="10.6640625" style="100" customWidth="1"/>
    <col min="7434" max="7434" width="9.6640625" style="100" customWidth="1"/>
    <col min="7435" max="7435" width="10.5546875" style="100" customWidth="1"/>
    <col min="7436" max="7436" width="10.6640625" style="100" customWidth="1"/>
    <col min="7437" max="7437" width="11.33203125" style="100" customWidth="1"/>
    <col min="7438" max="7438" width="10.6640625" style="100" customWidth="1"/>
    <col min="7439" max="7439" width="10.44140625" style="100" customWidth="1"/>
    <col min="7440" max="7440" width="5.109375" style="100" customWidth="1"/>
    <col min="7441" max="7683" width="25.6640625" style="100"/>
    <col min="7684" max="7684" width="14.109375" style="100" customWidth="1"/>
    <col min="7685" max="7685" width="10.88671875" style="100" customWidth="1"/>
    <col min="7686" max="7687" width="9.33203125" style="100" customWidth="1"/>
    <col min="7688" max="7688" width="10.44140625" style="100" customWidth="1"/>
    <col min="7689" max="7689" width="10.6640625" style="100" customWidth="1"/>
    <col min="7690" max="7690" width="9.6640625" style="100" customWidth="1"/>
    <col min="7691" max="7691" width="10.5546875" style="100" customWidth="1"/>
    <col min="7692" max="7692" width="10.6640625" style="100" customWidth="1"/>
    <col min="7693" max="7693" width="11.33203125" style="100" customWidth="1"/>
    <col min="7694" max="7694" width="10.6640625" style="100" customWidth="1"/>
    <col min="7695" max="7695" width="10.44140625" style="100" customWidth="1"/>
    <col min="7696" max="7696" width="5.109375" style="100" customWidth="1"/>
    <col min="7697" max="7939" width="25.6640625" style="100"/>
    <col min="7940" max="7940" width="14.109375" style="100" customWidth="1"/>
    <col min="7941" max="7941" width="10.88671875" style="100" customWidth="1"/>
    <col min="7942" max="7943" width="9.33203125" style="100" customWidth="1"/>
    <col min="7944" max="7944" width="10.44140625" style="100" customWidth="1"/>
    <col min="7945" max="7945" width="10.6640625" style="100" customWidth="1"/>
    <col min="7946" max="7946" width="9.6640625" style="100" customWidth="1"/>
    <col min="7947" max="7947" width="10.5546875" style="100" customWidth="1"/>
    <col min="7948" max="7948" width="10.6640625" style="100" customWidth="1"/>
    <col min="7949" max="7949" width="11.33203125" style="100" customWidth="1"/>
    <col min="7950" max="7950" width="10.6640625" style="100" customWidth="1"/>
    <col min="7951" max="7951" width="10.44140625" style="100" customWidth="1"/>
    <col min="7952" max="7952" width="5.109375" style="100" customWidth="1"/>
    <col min="7953" max="8195" width="25.6640625" style="100"/>
    <col min="8196" max="8196" width="14.109375" style="100" customWidth="1"/>
    <col min="8197" max="8197" width="10.88671875" style="100" customWidth="1"/>
    <col min="8198" max="8199" width="9.33203125" style="100" customWidth="1"/>
    <col min="8200" max="8200" width="10.44140625" style="100" customWidth="1"/>
    <col min="8201" max="8201" width="10.6640625" style="100" customWidth="1"/>
    <col min="8202" max="8202" width="9.6640625" style="100" customWidth="1"/>
    <col min="8203" max="8203" width="10.5546875" style="100" customWidth="1"/>
    <col min="8204" max="8204" width="10.6640625" style="100" customWidth="1"/>
    <col min="8205" max="8205" width="11.33203125" style="100" customWidth="1"/>
    <col min="8206" max="8206" width="10.6640625" style="100" customWidth="1"/>
    <col min="8207" max="8207" width="10.44140625" style="100" customWidth="1"/>
    <col min="8208" max="8208" width="5.109375" style="100" customWidth="1"/>
    <col min="8209" max="8451" width="25.6640625" style="100"/>
    <col min="8452" max="8452" width="14.109375" style="100" customWidth="1"/>
    <col min="8453" max="8453" width="10.88671875" style="100" customWidth="1"/>
    <col min="8454" max="8455" width="9.33203125" style="100" customWidth="1"/>
    <col min="8456" max="8456" width="10.44140625" style="100" customWidth="1"/>
    <col min="8457" max="8457" width="10.6640625" style="100" customWidth="1"/>
    <col min="8458" max="8458" width="9.6640625" style="100" customWidth="1"/>
    <col min="8459" max="8459" width="10.5546875" style="100" customWidth="1"/>
    <col min="8460" max="8460" width="10.6640625" style="100" customWidth="1"/>
    <col min="8461" max="8461" width="11.33203125" style="100" customWidth="1"/>
    <col min="8462" max="8462" width="10.6640625" style="100" customWidth="1"/>
    <col min="8463" max="8463" width="10.44140625" style="100" customWidth="1"/>
    <col min="8464" max="8464" width="5.109375" style="100" customWidth="1"/>
    <col min="8465" max="8707" width="25.6640625" style="100"/>
    <col min="8708" max="8708" width="14.109375" style="100" customWidth="1"/>
    <col min="8709" max="8709" width="10.88671875" style="100" customWidth="1"/>
    <col min="8710" max="8711" width="9.33203125" style="100" customWidth="1"/>
    <col min="8712" max="8712" width="10.44140625" style="100" customWidth="1"/>
    <col min="8713" max="8713" width="10.6640625" style="100" customWidth="1"/>
    <col min="8714" max="8714" width="9.6640625" style="100" customWidth="1"/>
    <col min="8715" max="8715" width="10.5546875" style="100" customWidth="1"/>
    <col min="8716" max="8716" width="10.6640625" style="100" customWidth="1"/>
    <col min="8717" max="8717" width="11.33203125" style="100" customWidth="1"/>
    <col min="8718" max="8718" width="10.6640625" style="100" customWidth="1"/>
    <col min="8719" max="8719" width="10.44140625" style="100" customWidth="1"/>
    <col min="8720" max="8720" width="5.109375" style="100" customWidth="1"/>
    <col min="8721" max="8963" width="25.6640625" style="100"/>
    <col min="8964" max="8964" width="14.109375" style="100" customWidth="1"/>
    <col min="8965" max="8965" width="10.88671875" style="100" customWidth="1"/>
    <col min="8966" max="8967" width="9.33203125" style="100" customWidth="1"/>
    <col min="8968" max="8968" width="10.44140625" style="100" customWidth="1"/>
    <col min="8969" max="8969" width="10.6640625" style="100" customWidth="1"/>
    <col min="8970" max="8970" width="9.6640625" style="100" customWidth="1"/>
    <col min="8971" max="8971" width="10.5546875" style="100" customWidth="1"/>
    <col min="8972" max="8972" width="10.6640625" style="100" customWidth="1"/>
    <col min="8973" max="8973" width="11.33203125" style="100" customWidth="1"/>
    <col min="8974" max="8974" width="10.6640625" style="100" customWidth="1"/>
    <col min="8975" max="8975" width="10.44140625" style="100" customWidth="1"/>
    <col min="8976" max="8976" width="5.109375" style="100" customWidth="1"/>
    <col min="8977" max="9219" width="25.6640625" style="100"/>
    <col min="9220" max="9220" width="14.109375" style="100" customWidth="1"/>
    <col min="9221" max="9221" width="10.88671875" style="100" customWidth="1"/>
    <col min="9222" max="9223" width="9.33203125" style="100" customWidth="1"/>
    <col min="9224" max="9224" width="10.44140625" style="100" customWidth="1"/>
    <col min="9225" max="9225" width="10.6640625" style="100" customWidth="1"/>
    <col min="9226" max="9226" width="9.6640625" style="100" customWidth="1"/>
    <col min="9227" max="9227" width="10.5546875" style="100" customWidth="1"/>
    <col min="9228" max="9228" width="10.6640625" style="100" customWidth="1"/>
    <col min="9229" max="9229" width="11.33203125" style="100" customWidth="1"/>
    <col min="9230" max="9230" width="10.6640625" style="100" customWidth="1"/>
    <col min="9231" max="9231" width="10.44140625" style="100" customWidth="1"/>
    <col min="9232" max="9232" width="5.109375" style="100" customWidth="1"/>
    <col min="9233" max="9475" width="25.6640625" style="100"/>
    <col min="9476" max="9476" width="14.109375" style="100" customWidth="1"/>
    <col min="9477" max="9477" width="10.88671875" style="100" customWidth="1"/>
    <col min="9478" max="9479" width="9.33203125" style="100" customWidth="1"/>
    <col min="9480" max="9480" width="10.44140625" style="100" customWidth="1"/>
    <col min="9481" max="9481" width="10.6640625" style="100" customWidth="1"/>
    <col min="9482" max="9482" width="9.6640625" style="100" customWidth="1"/>
    <col min="9483" max="9483" width="10.5546875" style="100" customWidth="1"/>
    <col min="9484" max="9484" width="10.6640625" style="100" customWidth="1"/>
    <col min="9485" max="9485" width="11.33203125" style="100" customWidth="1"/>
    <col min="9486" max="9486" width="10.6640625" style="100" customWidth="1"/>
    <col min="9487" max="9487" width="10.44140625" style="100" customWidth="1"/>
    <col min="9488" max="9488" width="5.109375" style="100" customWidth="1"/>
    <col min="9489" max="9731" width="25.6640625" style="100"/>
    <col min="9732" max="9732" width="14.109375" style="100" customWidth="1"/>
    <col min="9733" max="9733" width="10.88671875" style="100" customWidth="1"/>
    <col min="9734" max="9735" width="9.33203125" style="100" customWidth="1"/>
    <col min="9736" max="9736" width="10.44140625" style="100" customWidth="1"/>
    <col min="9737" max="9737" width="10.6640625" style="100" customWidth="1"/>
    <col min="9738" max="9738" width="9.6640625" style="100" customWidth="1"/>
    <col min="9739" max="9739" width="10.5546875" style="100" customWidth="1"/>
    <col min="9740" max="9740" width="10.6640625" style="100" customWidth="1"/>
    <col min="9741" max="9741" width="11.33203125" style="100" customWidth="1"/>
    <col min="9742" max="9742" width="10.6640625" style="100" customWidth="1"/>
    <col min="9743" max="9743" width="10.44140625" style="100" customWidth="1"/>
    <col min="9744" max="9744" width="5.109375" style="100" customWidth="1"/>
    <col min="9745" max="9987" width="25.6640625" style="100"/>
    <col min="9988" max="9988" width="14.109375" style="100" customWidth="1"/>
    <col min="9989" max="9989" width="10.88671875" style="100" customWidth="1"/>
    <col min="9990" max="9991" width="9.33203125" style="100" customWidth="1"/>
    <col min="9992" max="9992" width="10.44140625" style="100" customWidth="1"/>
    <col min="9993" max="9993" width="10.6640625" style="100" customWidth="1"/>
    <col min="9994" max="9994" width="9.6640625" style="100" customWidth="1"/>
    <col min="9995" max="9995" width="10.5546875" style="100" customWidth="1"/>
    <col min="9996" max="9996" width="10.6640625" style="100" customWidth="1"/>
    <col min="9997" max="9997" width="11.33203125" style="100" customWidth="1"/>
    <col min="9998" max="9998" width="10.6640625" style="100" customWidth="1"/>
    <col min="9999" max="9999" width="10.44140625" style="100" customWidth="1"/>
    <col min="10000" max="10000" width="5.109375" style="100" customWidth="1"/>
    <col min="10001" max="10243" width="25.6640625" style="100"/>
    <col min="10244" max="10244" width="14.109375" style="100" customWidth="1"/>
    <col min="10245" max="10245" width="10.88671875" style="100" customWidth="1"/>
    <col min="10246" max="10247" width="9.33203125" style="100" customWidth="1"/>
    <col min="10248" max="10248" width="10.44140625" style="100" customWidth="1"/>
    <col min="10249" max="10249" width="10.6640625" style="100" customWidth="1"/>
    <col min="10250" max="10250" width="9.6640625" style="100" customWidth="1"/>
    <col min="10251" max="10251" width="10.5546875" style="100" customWidth="1"/>
    <col min="10252" max="10252" width="10.6640625" style="100" customWidth="1"/>
    <col min="10253" max="10253" width="11.33203125" style="100" customWidth="1"/>
    <col min="10254" max="10254" width="10.6640625" style="100" customWidth="1"/>
    <col min="10255" max="10255" width="10.44140625" style="100" customWidth="1"/>
    <col min="10256" max="10256" width="5.109375" style="100" customWidth="1"/>
    <col min="10257" max="10499" width="25.6640625" style="100"/>
    <col min="10500" max="10500" width="14.109375" style="100" customWidth="1"/>
    <col min="10501" max="10501" width="10.88671875" style="100" customWidth="1"/>
    <col min="10502" max="10503" width="9.33203125" style="100" customWidth="1"/>
    <col min="10504" max="10504" width="10.44140625" style="100" customWidth="1"/>
    <col min="10505" max="10505" width="10.6640625" style="100" customWidth="1"/>
    <col min="10506" max="10506" width="9.6640625" style="100" customWidth="1"/>
    <col min="10507" max="10507" width="10.5546875" style="100" customWidth="1"/>
    <col min="10508" max="10508" width="10.6640625" style="100" customWidth="1"/>
    <col min="10509" max="10509" width="11.33203125" style="100" customWidth="1"/>
    <col min="10510" max="10510" width="10.6640625" style="100" customWidth="1"/>
    <col min="10511" max="10511" width="10.44140625" style="100" customWidth="1"/>
    <col min="10512" max="10512" width="5.109375" style="100" customWidth="1"/>
    <col min="10513" max="10755" width="25.6640625" style="100"/>
    <col min="10756" max="10756" width="14.109375" style="100" customWidth="1"/>
    <col min="10757" max="10757" width="10.88671875" style="100" customWidth="1"/>
    <col min="10758" max="10759" width="9.33203125" style="100" customWidth="1"/>
    <col min="10760" max="10760" width="10.44140625" style="100" customWidth="1"/>
    <col min="10761" max="10761" width="10.6640625" style="100" customWidth="1"/>
    <col min="10762" max="10762" width="9.6640625" style="100" customWidth="1"/>
    <col min="10763" max="10763" width="10.5546875" style="100" customWidth="1"/>
    <col min="10764" max="10764" width="10.6640625" style="100" customWidth="1"/>
    <col min="10765" max="10765" width="11.33203125" style="100" customWidth="1"/>
    <col min="10766" max="10766" width="10.6640625" style="100" customWidth="1"/>
    <col min="10767" max="10767" width="10.44140625" style="100" customWidth="1"/>
    <col min="10768" max="10768" width="5.109375" style="100" customWidth="1"/>
    <col min="10769" max="11011" width="25.6640625" style="100"/>
    <col min="11012" max="11012" width="14.109375" style="100" customWidth="1"/>
    <col min="11013" max="11013" width="10.88671875" style="100" customWidth="1"/>
    <col min="11014" max="11015" width="9.33203125" style="100" customWidth="1"/>
    <col min="11016" max="11016" width="10.44140625" style="100" customWidth="1"/>
    <col min="11017" max="11017" width="10.6640625" style="100" customWidth="1"/>
    <col min="11018" max="11018" width="9.6640625" style="100" customWidth="1"/>
    <col min="11019" max="11019" width="10.5546875" style="100" customWidth="1"/>
    <col min="11020" max="11020" width="10.6640625" style="100" customWidth="1"/>
    <col min="11021" max="11021" width="11.33203125" style="100" customWidth="1"/>
    <col min="11022" max="11022" width="10.6640625" style="100" customWidth="1"/>
    <col min="11023" max="11023" width="10.44140625" style="100" customWidth="1"/>
    <col min="11024" max="11024" width="5.109375" style="100" customWidth="1"/>
    <col min="11025" max="11267" width="25.6640625" style="100"/>
    <col min="11268" max="11268" width="14.109375" style="100" customWidth="1"/>
    <col min="11269" max="11269" width="10.88671875" style="100" customWidth="1"/>
    <col min="11270" max="11271" width="9.33203125" style="100" customWidth="1"/>
    <col min="11272" max="11272" width="10.44140625" style="100" customWidth="1"/>
    <col min="11273" max="11273" width="10.6640625" style="100" customWidth="1"/>
    <col min="11274" max="11274" width="9.6640625" style="100" customWidth="1"/>
    <col min="11275" max="11275" width="10.5546875" style="100" customWidth="1"/>
    <col min="11276" max="11276" width="10.6640625" style="100" customWidth="1"/>
    <col min="11277" max="11277" width="11.33203125" style="100" customWidth="1"/>
    <col min="11278" max="11278" width="10.6640625" style="100" customWidth="1"/>
    <col min="11279" max="11279" width="10.44140625" style="100" customWidth="1"/>
    <col min="11280" max="11280" width="5.109375" style="100" customWidth="1"/>
    <col min="11281" max="11523" width="25.6640625" style="100"/>
    <col min="11524" max="11524" width="14.109375" style="100" customWidth="1"/>
    <col min="11525" max="11525" width="10.88671875" style="100" customWidth="1"/>
    <col min="11526" max="11527" width="9.33203125" style="100" customWidth="1"/>
    <col min="11528" max="11528" width="10.44140625" style="100" customWidth="1"/>
    <col min="11529" max="11529" width="10.6640625" style="100" customWidth="1"/>
    <col min="11530" max="11530" width="9.6640625" style="100" customWidth="1"/>
    <col min="11531" max="11531" width="10.5546875" style="100" customWidth="1"/>
    <col min="11532" max="11532" width="10.6640625" style="100" customWidth="1"/>
    <col min="11533" max="11533" width="11.33203125" style="100" customWidth="1"/>
    <col min="11534" max="11534" width="10.6640625" style="100" customWidth="1"/>
    <col min="11535" max="11535" width="10.44140625" style="100" customWidth="1"/>
    <col min="11536" max="11536" width="5.109375" style="100" customWidth="1"/>
    <col min="11537" max="11779" width="25.6640625" style="100"/>
    <col min="11780" max="11780" width="14.109375" style="100" customWidth="1"/>
    <col min="11781" max="11781" width="10.88671875" style="100" customWidth="1"/>
    <col min="11782" max="11783" width="9.33203125" style="100" customWidth="1"/>
    <col min="11784" max="11784" width="10.44140625" style="100" customWidth="1"/>
    <col min="11785" max="11785" width="10.6640625" style="100" customWidth="1"/>
    <col min="11786" max="11786" width="9.6640625" style="100" customWidth="1"/>
    <col min="11787" max="11787" width="10.5546875" style="100" customWidth="1"/>
    <col min="11788" max="11788" width="10.6640625" style="100" customWidth="1"/>
    <col min="11789" max="11789" width="11.33203125" style="100" customWidth="1"/>
    <col min="11790" max="11790" width="10.6640625" style="100" customWidth="1"/>
    <col min="11791" max="11791" width="10.44140625" style="100" customWidth="1"/>
    <col min="11792" max="11792" width="5.109375" style="100" customWidth="1"/>
    <col min="11793" max="12035" width="25.6640625" style="100"/>
    <col min="12036" max="12036" width="14.109375" style="100" customWidth="1"/>
    <col min="12037" max="12037" width="10.88671875" style="100" customWidth="1"/>
    <col min="12038" max="12039" width="9.33203125" style="100" customWidth="1"/>
    <col min="12040" max="12040" width="10.44140625" style="100" customWidth="1"/>
    <col min="12041" max="12041" width="10.6640625" style="100" customWidth="1"/>
    <col min="12042" max="12042" width="9.6640625" style="100" customWidth="1"/>
    <col min="12043" max="12043" width="10.5546875" style="100" customWidth="1"/>
    <col min="12044" max="12044" width="10.6640625" style="100" customWidth="1"/>
    <col min="12045" max="12045" width="11.33203125" style="100" customWidth="1"/>
    <col min="12046" max="12046" width="10.6640625" style="100" customWidth="1"/>
    <col min="12047" max="12047" width="10.44140625" style="100" customWidth="1"/>
    <col min="12048" max="12048" width="5.109375" style="100" customWidth="1"/>
    <col min="12049" max="12291" width="25.6640625" style="100"/>
    <col min="12292" max="12292" width="14.109375" style="100" customWidth="1"/>
    <col min="12293" max="12293" width="10.88671875" style="100" customWidth="1"/>
    <col min="12294" max="12295" width="9.33203125" style="100" customWidth="1"/>
    <col min="12296" max="12296" width="10.44140625" style="100" customWidth="1"/>
    <col min="12297" max="12297" width="10.6640625" style="100" customWidth="1"/>
    <col min="12298" max="12298" width="9.6640625" style="100" customWidth="1"/>
    <col min="12299" max="12299" width="10.5546875" style="100" customWidth="1"/>
    <col min="12300" max="12300" width="10.6640625" style="100" customWidth="1"/>
    <col min="12301" max="12301" width="11.33203125" style="100" customWidth="1"/>
    <col min="12302" max="12302" width="10.6640625" style="100" customWidth="1"/>
    <col min="12303" max="12303" width="10.44140625" style="100" customWidth="1"/>
    <col min="12304" max="12304" width="5.109375" style="100" customWidth="1"/>
    <col min="12305" max="12547" width="25.6640625" style="100"/>
    <col min="12548" max="12548" width="14.109375" style="100" customWidth="1"/>
    <col min="12549" max="12549" width="10.88671875" style="100" customWidth="1"/>
    <col min="12550" max="12551" width="9.33203125" style="100" customWidth="1"/>
    <col min="12552" max="12552" width="10.44140625" style="100" customWidth="1"/>
    <col min="12553" max="12553" width="10.6640625" style="100" customWidth="1"/>
    <col min="12554" max="12554" width="9.6640625" style="100" customWidth="1"/>
    <col min="12555" max="12555" width="10.5546875" style="100" customWidth="1"/>
    <col min="12556" max="12556" width="10.6640625" style="100" customWidth="1"/>
    <col min="12557" max="12557" width="11.33203125" style="100" customWidth="1"/>
    <col min="12558" max="12558" width="10.6640625" style="100" customWidth="1"/>
    <col min="12559" max="12559" width="10.44140625" style="100" customWidth="1"/>
    <col min="12560" max="12560" width="5.109375" style="100" customWidth="1"/>
    <col min="12561" max="12803" width="25.6640625" style="100"/>
    <col min="12804" max="12804" width="14.109375" style="100" customWidth="1"/>
    <col min="12805" max="12805" width="10.88671875" style="100" customWidth="1"/>
    <col min="12806" max="12807" width="9.33203125" style="100" customWidth="1"/>
    <col min="12808" max="12808" width="10.44140625" style="100" customWidth="1"/>
    <col min="12809" max="12809" width="10.6640625" style="100" customWidth="1"/>
    <col min="12810" max="12810" width="9.6640625" style="100" customWidth="1"/>
    <col min="12811" max="12811" width="10.5546875" style="100" customWidth="1"/>
    <col min="12812" max="12812" width="10.6640625" style="100" customWidth="1"/>
    <col min="12813" max="12813" width="11.33203125" style="100" customWidth="1"/>
    <col min="12814" max="12814" width="10.6640625" style="100" customWidth="1"/>
    <col min="12815" max="12815" width="10.44140625" style="100" customWidth="1"/>
    <col min="12816" max="12816" width="5.109375" style="100" customWidth="1"/>
    <col min="12817" max="13059" width="25.6640625" style="100"/>
    <col min="13060" max="13060" width="14.109375" style="100" customWidth="1"/>
    <col min="13061" max="13061" width="10.88671875" style="100" customWidth="1"/>
    <col min="13062" max="13063" width="9.33203125" style="100" customWidth="1"/>
    <col min="13064" max="13064" width="10.44140625" style="100" customWidth="1"/>
    <col min="13065" max="13065" width="10.6640625" style="100" customWidth="1"/>
    <col min="13066" max="13066" width="9.6640625" style="100" customWidth="1"/>
    <col min="13067" max="13067" width="10.5546875" style="100" customWidth="1"/>
    <col min="13068" max="13068" width="10.6640625" style="100" customWidth="1"/>
    <col min="13069" max="13069" width="11.33203125" style="100" customWidth="1"/>
    <col min="13070" max="13070" width="10.6640625" style="100" customWidth="1"/>
    <col min="13071" max="13071" width="10.44140625" style="100" customWidth="1"/>
    <col min="13072" max="13072" width="5.109375" style="100" customWidth="1"/>
    <col min="13073" max="13315" width="25.6640625" style="100"/>
    <col min="13316" max="13316" width="14.109375" style="100" customWidth="1"/>
    <col min="13317" max="13317" width="10.88671875" style="100" customWidth="1"/>
    <col min="13318" max="13319" width="9.33203125" style="100" customWidth="1"/>
    <col min="13320" max="13320" width="10.44140625" style="100" customWidth="1"/>
    <col min="13321" max="13321" width="10.6640625" style="100" customWidth="1"/>
    <col min="13322" max="13322" width="9.6640625" style="100" customWidth="1"/>
    <col min="13323" max="13323" width="10.5546875" style="100" customWidth="1"/>
    <col min="13324" max="13324" width="10.6640625" style="100" customWidth="1"/>
    <col min="13325" max="13325" width="11.33203125" style="100" customWidth="1"/>
    <col min="13326" max="13326" width="10.6640625" style="100" customWidth="1"/>
    <col min="13327" max="13327" width="10.44140625" style="100" customWidth="1"/>
    <col min="13328" max="13328" width="5.109375" style="100" customWidth="1"/>
    <col min="13329" max="13571" width="25.6640625" style="100"/>
    <col min="13572" max="13572" width="14.109375" style="100" customWidth="1"/>
    <col min="13573" max="13573" width="10.88671875" style="100" customWidth="1"/>
    <col min="13574" max="13575" width="9.33203125" style="100" customWidth="1"/>
    <col min="13576" max="13576" width="10.44140625" style="100" customWidth="1"/>
    <col min="13577" max="13577" width="10.6640625" style="100" customWidth="1"/>
    <col min="13578" max="13578" width="9.6640625" style="100" customWidth="1"/>
    <col min="13579" max="13579" width="10.5546875" style="100" customWidth="1"/>
    <col min="13580" max="13580" width="10.6640625" style="100" customWidth="1"/>
    <col min="13581" max="13581" width="11.33203125" style="100" customWidth="1"/>
    <col min="13582" max="13582" width="10.6640625" style="100" customWidth="1"/>
    <col min="13583" max="13583" width="10.44140625" style="100" customWidth="1"/>
    <col min="13584" max="13584" width="5.109375" style="100" customWidth="1"/>
    <col min="13585" max="13827" width="25.6640625" style="100"/>
    <col min="13828" max="13828" width="14.109375" style="100" customWidth="1"/>
    <col min="13829" max="13829" width="10.88671875" style="100" customWidth="1"/>
    <col min="13830" max="13831" width="9.33203125" style="100" customWidth="1"/>
    <col min="13832" max="13832" width="10.44140625" style="100" customWidth="1"/>
    <col min="13833" max="13833" width="10.6640625" style="100" customWidth="1"/>
    <col min="13834" max="13834" width="9.6640625" style="100" customWidth="1"/>
    <col min="13835" max="13835" width="10.5546875" style="100" customWidth="1"/>
    <col min="13836" max="13836" width="10.6640625" style="100" customWidth="1"/>
    <col min="13837" max="13837" width="11.33203125" style="100" customWidth="1"/>
    <col min="13838" max="13838" width="10.6640625" style="100" customWidth="1"/>
    <col min="13839" max="13839" width="10.44140625" style="100" customWidth="1"/>
    <col min="13840" max="13840" width="5.109375" style="100" customWidth="1"/>
    <col min="13841" max="14083" width="25.6640625" style="100"/>
    <col min="14084" max="14084" width="14.109375" style="100" customWidth="1"/>
    <col min="14085" max="14085" width="10.88671875" style="100" customWidth="1"/>
    <col min="14086" max="14087" width="9.33203125" style="100" customWidth="1"/>
    <col min="14088" max="14088" width="10.44140625" style="100" customWidth="1"/>
    <col min="14089" max="14089" width="10.6640625" style="100" customWidth="1"/>
    <col min="14090" max="14090" width="9.6640625" style="100" customWidth="1"/>
    <col min="14091" max="14091" width="10.5546875" style="100" customWidth="1"/>
    <col min="14092" max="14092" width="10.6640625" style="100" customWidth="1"/>
    <col min="14093" max="14093" width="11.33203125" style="100" customWidth="1"/>
    <col min="14094" max="14094" width="10.6640625" style="100" customWidth="1"/>
    <col min="14095" max="14095" width="10.44140625" style="100" customWidth="1"/>
    <col min="14096" max="14096" width="5.109375" style="100" customWidth="1"/>
    <col min="14097" max="14339" width="25.6640625" style="100"/>
    <col min="14340" max="14340" width="14.109375" style="100" customWidth="1"/>
    <col min="14341" max="14341" width="10.88671875" style="100" customWidth="1"/>
    <col min="14342" max="14343" width="9.33203125" style="100" customWidth="1"/>
    <col min="14344" max="14344" width="10.44140625" style="100" customWidth="1"/>
    <col min="14345" max="14345" width="10.6640625" style="100" customWidth="1"/>
    <col min="14346" max="14346" width="9.6640625" style="100" customWidth="1"/>
    <col min="14347" max="14347" width="10.5546875" style="100" customWidth="1"/>
    <col min="14348" max="14348" width="10.6640625" style="100" customWidth="1"/>
    <col min="14349" max="14349" width="11.33203125" style="100" customWidth="1"/>
    <col min="14350" max="14350" width="10.6640625" style="100" customWidth="1"/>
    <col min="14351" max="14351" width="10.44140625" style="100" customWidth="1"/>
    <col min="14352" max="14352" width="5.109375" style="100" customWidth="1"/>
    <col min="14353" max="14595" width="25.6640625" style="100"/>
    <col min="14596" max="14596" width="14.109375" style="100" customWidth="1"/>
    <col min="14597" max="14597" width="10.88671875" style="100" customWidth="1"/>
    <col min="14598" max="14599" width="9.33203125" style="100" customWidth="1"/>
    <col min="14600" max="14600" width="10.44140625" style="100" customWidth="1"/>
    <col min="14601" max="14601" width="10.6640625" style="100" customWidth="1"/>
    <col min="14602" max="14602" width="9.6640625" style="100" customWidth="1"/>
    <col min="14603" max="14603" width="10.5546875" style="100" customWidth="1"/>
    <col min="14604" max="14604" width="10.6640625" style="100" customWidth="1"/>
    <col min="14605" max="14605" width="11.33203125" style="100" customWidth="1"/>
    <col min="14606" max="14606" width="10.6640625" style="100" customWidth="1"/>
    <col min="14607" max="14607" width="10.44140625" style="100" customWidth="1"/>
    <col min="14608" max="14608" width="5.109375" style="100" customWidth="1"/>
    <col min="14609" max="14851" width="25.6640625" style="100"/>
    <col min="14852" max="14852" width="14.109375" style="100" customWidth="1"/>
    <col min="14853" max="14853" width="10.88671875" style="100" customWidth="1"/>
    <col min="14854" max="14855" width="9.33203125" style="100" customWidth="1"/>
    <col min="14856" max="14856" width="10.44140625" style="100" customWidth="1"/>
    <col min="14857" max="14857" width="10.6640625" style="100" customWidth="1"/>
    <col min="14858" max="14858" width="9.6640625" style="100" customWidth="1"/>
    <col min="14859" max="14859" width="10.5546875" style="100" customWidth="1"/>
    <col min="14860" max="14860" width="10.6640625" style="100" customWidth="1"/>
    <col min="14861" max="14861" width="11.33203125" style="100" customWidth="1"/>
    <col min="14862" max="14862" width="10.6640625" style="100" customWidth="1"/>
    <col min="14863" max="14863" width="10.44140625" style="100" customWidth="1"/>
    <col min="14864" max="14864" width="5.109375" style="100" customWidth="1"/>
    <col min="14865" max="15107" width="25.6640625" style="100"/>
    <col min="15108" max="15108" width="14.109375" style="100" customWidth="1"/>
    <col min="15109" max="15109" width="10.88671875" style="100" customWidth="1"/>
    <col min="15110" max="15111" width="9.33203125" style="100" customWidth="1"/>
    <col min="15112" max="15112" width="10.44140625" style="100" customWidth="1"/>
    <col min="15113" max="15113" width="10.6640625" style="100" customWidth="1"/>
    <col min="15114" max="15114" width="9.6640625" style="100" customWidth="1"/>
    <col min="15115" max="15115" width="10.5546875" style="100" customWidth="1"/>
    <col min="15116" max="15116" width="10.6640625" style="100" customWidth="1"/>
    <col min="15117" max="15117" width="11.33203125" style="100" customWidth="1"/>
    <col min="15118" max="15118" width="10.6640625" style="100" customWidth="1"/>
    <col min="15119" max="15119" width="10.44140625" style="100" customWidth="1"/>
    <col min="15120" max="15120" width="5.109375" style="100" customWidth="1"/>
    <col min="15121" max="15363" width="25.6640625" style="100"/>
    <col min="15364" max="15364" width="14.109375" style="100" customWidth="1"/>
    <col min="15365" max="15365" width="10.88671875" style="100" customWidth="1"/>
    <col min="15366" max="15367" width="9.33203125" style="100" customWidth="1"/>
    <col min="15368" max="15368" width="10.44140625" style="100" customWidth="1"/>
    <col min="15369" max="15369" width="10.6640625" style="100" customWidth="1"/>
    <col min="15370" max="15370" width="9.6640625" style="100" customWidth="1"/>
    <col min="15371" max="15371" width="10.5546875" style="100" customWidth="1"/>
    <col min="15372" max="15372" width="10.6640625" style="100" customWidth="1"/>
    <col min="15373" max="15373" width="11.33203125" style="100" customWidth="1"/>
    <col min="15374" max="15374" width="10.6640625" style="100" customWidth="1"/>
    <col min="15375" max="15375" width="10.44140625" style="100" customWidth="1"/>
    <col min="15376" max="15376" width="5.109375" style="100" customWidth="1"/>
    <col min="15377" max="15619" width="25.6640625" style="100"/>
    <col min="15620" max="15620" width="14.109375" style="100" customWidth="1"/>
    <col min="15621" max="15621" width="10.88671875" style="100" customWidth="1"/>
    <col min="15622" max="15623" width="9.33203125" style="100" customWidth="1"/>
    <col min="15624" max="15624" width="10.44140625" style="100" customWidth="1"/>
    <col min="15625" max="15625" width="10.6640625" style="100" customWidth="1"/>
    <col min="15626" max="15626" width="9.6640625" style="100" customWidth="1"/>
    <col min="15627" max="15627" width="10.5546875" style="100" customWidth="1"/>
    <col min="15628" max="15628" width="10.6640625" style="100" customWidth="1"/>
    <col min="15629" max="15629" width="11.33203125" style="100" customWidth="1"/>
    <col min="15630" max="15630" width="10.6640625" style="100" customWidth="1"/>
    <col min="15631" max="15631" width="10.44140625" style="100" customWidth="1"/>
    <col min="15632" max="15632" width="5.109375" style="100" customWidth="1"/>
    <col min="15633" max="15875" width="25.6640625" style="100"/>
    <col min="15876" max="15876" width="14.109375" style="100" customWidth="1"/>
    <col min="15877" max="15877" width="10.88671875" style="100" customWidth="1"/>
    <col min="15878" max="15879" width="9.33203125" style="100" customWidth="1"/>
    <col min="15880" max="15880" width="10.44140625" style="100" customWidth="1"/>
    <col min="15881" max="15881" width="10.6640625" style="100" customWidth="1"/>
    <col min="15882" max="15882" width="9.6640625" style="100" customWidth="1"/>
    <col min="15883" max="15883" width="10.5546875" style="100" customWidth="1"/>
    <col min="15884" max="15884" width="10.6640625" style="100" customWidth="1"/>
    <col min="15885" max="15885" width="11.33203125" style="100" customWidth="1"/>
    <col min="15886" max="15886" width="10.6640625" style="100" customWidth="1"/>
    <col min="15887" max="15887" width="10.44140625" style="100" customWidth="1"/>
    <col min="15888" max="15888" width="5.109375" style="100" customWidth="1"/>
    <col min="15889" max="16131" width="25.6640625" style="100"/>
    <col min="16132" max="16132" width="14.109375" style="100" customWidth="1"/>
    <col min="16133" max="16133" width="10.88671875" style="100" customWidth="1"/>
    <col min="16134" max="16135" width="9.33203125" style="100" customWidth="1"/>
    <col min="16136" max="16136" width="10.44140625" style="100" customWidth="1"/>
    <col min="16137" max="16137" width="10.6640625" style="100" customWidth="1"/>
    <col min="16138" max="16138" width="9.6640625" style="100" customWidth="1"/>
    <col min="16139" max="16139" width="10.5546875" style="100" customWidth="1"/>
    <col min="16140" max="16140" width="10.6640625" style="100" customWidth="1"/>
    <col min="16141" max="16141" width="11.33203125" style="100" customWidth="1"/>
    <col min="16142" max="16142" width="10.6640625" style="100" customWidth="1"/>
    <col min="16143" max="16143" width="10.44140625" style="100" customWidth="1"/>
    <col min="16144" max="16144" width="5.109375" style="100" customWidth="1"/>
    <col min="16145" max="16384" width="25.6640625" style="100"/>
  </cols>
  <sheetData>
    <row r="1" spans="1:17" ht="13.5" customHeight="1" thickBot="1" x14ac:dyDescent="0.25">
      <c r="A1" s="561" t="s">
        <v>1</v>
      </c>
      <c r="B1" s="566" t="s">
        <v>582</v>
      </c>
      <c r="C1" s="275"/>
      <c r="D1" s="275"/>
      <c r="E1" s="248"/>
      <c r="F1" s="285"/>
      <c r="G1" s="568" t="s">
        <v>132</v>
      </c>
      <c r="H1" s="569"/>
      <c r="I1" s="569"/>
      <c r="J1" s="569"/>
      <c r="K1" s="569"/>
      <c r="L1" s="124"/>
      <c r="M1" s="124"/>
      <c r="N1" s="570" t="s">
        <v>549</v>
      </c>
      <c r="O1" s="561" t="s">
        <v>550</v>
      </c>
      <c r="P1" s="561" t="s">
        <v>551</v>
      </c>
      <c r="Q1" s="561" t="s">
        <v>134</v>
      </c>
    </row>
    <row r="2" spans="1:17" ht="42.75" customHeight="1" thickBot="1" x14ac:dyDescent="0.25">
      <c r="A2" s="562"/>
      <c r="B2" s="567"/>
      <c r="C2" s="249" t="s">
        <v>579</v>
      </c>
      <c r="D2" s="284" t="s">
        <v>580</v>
      </c>
      <c r="E2" s="283" t="s">
        <v>581</v>
      </c>
      <c r="F2" s="286" t="s">
        <v>122</v>
      </c>
      <c r="G2" s="102" t="s">
        <v>135</v>
      </c>
      <c r="H2" s="103" t="s">
        <v>137</v>
      </c>
      <c r="I2" s="103" t="s">
        <v>518</v>
      </c>
      <c r="J2" s="103" t="s">
        <v>525</v>
      </c>
      <c r="K2" s="102" t="s">
        <v>136</v>
      </c>
      <c r="L2" s="101"/>
      <c r="M2" s="101"/>
      <c r="N2" s="571"/>
      <c r="O2" s="562"/>
      <c r="P2" s="562"/>
      <c r="Q2" s="562"/>
    </row>
    <row r="3" spans="1:17" x14ac:dyDescent="0.2">
      <c r="A3" s="104" t="s">
        <v>143</v>
      </c>
      <c r="B3" s="105">
        <f>+B4+B48</f>
        <v>141260013006</v>
      </c>
      <c r="C3" s="105">
        <f>+C4+C48</f>
        <v>11494506268.1</v>
      </c>
      <c r="D3" s="240">
        <f>+D4+D48</f>
        <v>5614497520</v>
      </c>
      <c r="E3" s="287">
        <f>+E4+E48</f>
        <v>12363481377.75</v>
      </c>
      <c r="F3" s="279"/>
      <c r="G3" s="105">
        <f>G4+G53</f>
        <v>35678457181</v>
      </c>
      <c r="H3" s="105"/>
      <c r="I3" s="105">
        <f>+I4+I48</f>
        <v>0</v>
      </c>
      <c r="J3" s="105"/>
      <c r="K3" s="105">
        <f>+K4+K48</f>
        <v>11143805251.200001</v>
      </c>
      <c r="L3" s="105"/>
      <c r="M3" s="240"/>
      <c r="N3" s="232">
        <f>N4+N53+N49</f>
        <v>1052353368</v>
      </c>
      <c r="O3" s="105">
        <f>+O4+O48</f>
        <v>8427178527.8000002</v>
      </c>
      <c r="P3" s="232">
        <f>P4+P53+P49</f>
        <v>972746942.14999962</v>
      </c>
      <c r="Q3" s="232">
        <f>+B3-C3-D3-E3-G3-I3-K3-N3-O3-P3</f>
        <v>54512986569.999992</v>
      </c>
    </row>
    <row r="4" spans="1:17" x14ac:dyDescent="0.2">
      <c r="A4" s="106" t="s">
        <v>5</v>
      </c>
      <c r="B4" s="107">
        <f>+B5+B9</f>
        <v>140755637686</v>
      </c>
      <c r="C4" s="107">
        <f>+C5+C9</f>
        <v>11494506268.1</v>
      </c>
      <c r="D4" s="123">
        <f>+D5+D9</f>
        <v>5614497520</v>
      </c>
      <c r="E4" s="108">
        <f>+E5+E9</f>
        <v>12313043845.75</v>
      </c>
      <c r="F4" s="280"/>
      <c r="G4" s="107">
        <f>+G5+G9</f>
        <v>35678457181</v>
      </c>
      <c r="H4" s="107">
        <f>H5+H21</f>
        <v>0</v>
      </c>
      <c r="I4" s="107">
        <f>+I5+I9</f>
        <v>0</v>
      </c>
      <c r="J4" s="107"/>
      <c r="K4" s="107">
        <f>+K5+K9</f>
        <v>11143805251.200001</v>
      </c>
      <c r="L4" s="107"/>
      <c r="M4" s="123"/>
      <c r="N4" s="108">
        <f>+N5+N9</f>
        <v>1044003082</v>
      </c>
      <c r="O4" s="107">
        <f>+O5+O9</f>
        <v>8427178527.8000002</v>
      </c>
      <c r="P4" s="108">
        <f>+P5+P9</f>
        <v>972746942.14999962</v>
      </c>
      <c r="Q4" s="108">
        <f t="shared" ref="Q4:Q58" si="0">+B4-C4-D4-E4-G4-I4-K4-N4-O4-P4</f>
        <v>54067399067.999992</v>
      </c>
    </row>
    <row r="5" spans="1:17" x14ac:dyDescent="0.2">
      <c r="A5" s="106" t="s">
        <v>144</v>
      </c>
      <c r="B5" s="107">
        <f>+B6</f>
        <v>16422288760</v>
      </c>
      <c r="C5" s="107"/>
      <c r="D5" s="123"/>
      <c r="E5" s="108">
        <f>+E6</f>
        <v>1642228876</v>
      </c>
      <c r="F5" s="280"/>
      <c r="G5" s="107">
        <f t="shared" ref="G5:H5" si="1">G6</f>
        <v>0</v>
      </c>
      <c r="H5" s="107">
        <f t="shared" si="1"/>
        <v>0</v>
      </c>
      <c r="I5" s="107"/>
      <c r="J5" s="107"/>
      <c r="K5" s="108"/>
      <c r="L5" s="107"/>
      <c r="M5" s="123"/>
      <c r="N5" s="108">
        <f>+N6</f>
        <v>271882450</v>
      </c>
      <c r="O5" s="108"/>
      <c r="P5" s="108"/>
      <c r="Q5" s="108">
        <f t="shared" si="0"/>
        <v>14508177434</v>
      </c>
    </row>
    <row r="6" spans="1:17" x14ac:dyDescent="0.2">
      <c r="A6" s="270" t="s">
        <v>145</v>
      </c>
      <c r="B6" s="271">
        <f>+B7+B8</f>
        <v>16422288760</v>
      </c>
      <c r="C6" s="271"/>
      <c r="D6" s="276"/>
      <c r="E6" s="288">
        <f>+B6*10%</f>
        <v>1642228876</v>
      </c>
      <c r="F6" s="293">
        <v>0.1</v>
      </c>
      <c r="G6" s="271"/>
      <c r="H6" s="271"/>
      <c r="I6" s="271"/>
      <c r="J6" s="271"/>
      <c r="K6" s="288"/>
      <c r="L6" s="271">
        <f>+B6-G6-H6-K6</f>
        <v>16422288760</v>
      </c>
      <c r="M6" s="296">
        <f>+L6/$L$58</f>
        <v>0.18935947968466205</v>
      </c>
      <c r="N6" s="288">
        <v>271882450</v>
      </c>
      <c r="O6" s="288"/>
      <c r="P6" s="288"/>
      <c r="Q6" s="288">
        <f t="shared" si="0"/>
        <v>14508177434</v>
      </c>
    </row>
    <row r="7" spans="1:17" x14ac:dyDescent="0.2">
      <c r="A7" s="106" t="s">
        <v>575</v>
      </c>
      <c r="B7" s="107">
        <v>12170590332</v>
      </c>
      <c r="C7" s="107"/>
      <c r="D7" s="123"/>
      <c r="E7" s="108"/>
      <c r="F7" s="280"/>
      <c r="G7" s="107"/>
      <c r="H7" s="107"/>
      <c r="I7" s="107"/>
      <c r="J7" s="107"/>
      <c r="K7" s="108"/>
      <c r="L7" s="107"/>
      <c r="M7" s="234"/>
      <c r="N7" s="108"/>
      <c r="O7" s="108"/>
      <c r="P7" s="108"/>
      <c r="Q7" s="108">
        <f t="shared" si="0"/>
        <v>12170590332</v>
      </c>
    </row>
    <row r="8" spans="1:17" x14ac:dyDescent="0.2">
      <c r="A8" s="106" t="s">
        <v>576</v>
      </c>
      <c r="B8" s="107">
        <v>4251698428</v>
      </c>
      <c r="C8" s="107"/>
      <c r="D8" s="123"/>
      <c r="E8" s="108"/>
      <c r="F8" s="280"/>
      <c r="G8" s="107"/>
      <c r="H8" s="107"/>
      <c r="I8" s="107"/>
      <c r="J8" s="107"/>
      <c r="K8" s="108"/>
      <c r="L8" s="107"/>
      <c r="M8" s="234"/>
      <c r="N8" s="108"/>
      <c r="O8" s="108"/>
      <c r="P8" s="108"/>
      <c r="Q8" s="108">
        <f t="shared" si="0"/>
        <v>4251698428</v>
      </c>
    </row>
    <row r="9" spans="1:17" x14ac:dyDescent="0.2">
      <c r="A9" s="270" t="s">
        <v>17</v>
      </c>
      <c r="B9" s="271">
        <f>+B10+B21+B39+B43</f>
        <v>124333348926</v>
      </c>
      <c r="C9" s="271">
        <f>+C10+C21+C39+C43</f>
        <v>11494506268.1</v>
      </c>
      <c r="D9" s="276">
        <f>+D10+D21+D39+D43</f>
        <v>5614497520</v>
      </c>
      <c r="E9" s="288">
        <f>+E10+E21+E39+E43</f>
        <v>10670814969.75</v>
      </c>
      <c r="F9" s="280"/>
      <c r="G9" s="271">
        <f>+G10+G21+G39+G43</f>
        <v>35678457181</v>
      </c>
      <c r="H9" s="271"/>
      <c r="I9" s="271">
        <f>+I10+I21+I39+I43</f>
        <v>0</v>
      </c>
      <c r="J9" s="271"/>
      <c r="K9" s="271">
        <f>+K10+K21+K39+K43</f>
        <v>11143805251.200001</v>
      </c>
      <c r="L9" s="271"/>
      <c r="M9" s="298"/>
      <c r="N9" s="271">
        <f>+N10+N21+N39+N43</f>
        <v>772120632</v>
      </c>
      <c r="O9" s="271">
        <f>+O10+O21+O39+O43</f>
        <v>8427178527.8000002</v>
      </c>
      <c r="P9" s="271">
        <f>+P10+P21+P39+P43</f>
        <v>972746942.14999962</v>
      </c>
      <c r="Q9" s="288">
        <f>+B9-C9-D9-E9-G9-I9-K9-N9-O9-P9</f>
        <v>39559221633.999992</v>
      </c>
    </row>
    <row r="10" spans="1:17" x14ac:dyDescent="0.2">
      <c r="A10" s="106" t="s">
        <v>19</v>
      </c>
      <c r="B10" s="107">
        <f>+B11</f>
        <v>16976626274</v>
      </c>
      <c r="C10" s="107">
        <f>+C11</f>
        <v>1697662627.4000001</v>
      </c>
      <c r="D10" s="123">
        <f>+D11</f>
        <v>3395325254.8000002</v>
      </c>
      <c r="E10" s="108">
        <f>+E11</f>
        <v>1028180886.8500001</v>
      </c>
      <c r="F10" s="277"/>
      <c r="G10" s="108"/>
      <c r="H10" s="108"/>
      <c r="I10" s="108"/>
      <c r="J10" s="108"/>
      <c r="K10" s="108"/>
      <c r="L10" s="107"/>
      <c r="M10" s="116"/>
      <c r="N10" s="108">
        <f>+N11</f>
        <v>57819324</v>
      </c>
      <c r="O10" s="108">
        <f>+O11</f>
        <v>2112604778.8</v>
      </c>
      <c r="P10" s="108">
        <f>+P11</f>
        <v>972746942.14999962</v>
      </c>
      <c r="Q10" s="108">
        <v>0</v>
      </c>
    </row>
    <row r="11" spans="1:17" x14ac:dyDescent="0.2">
      <c r="A11" s="106" t="s">
        <v>146</v>
      </c>
      <c r="B11" s="107">
        <f>+B12+B15+B18</f>
        <v>16976626274</v>
      </c>
      <c r="C11" s="107">
        <f>+C12+C15+C18</f>
        <v>1697662627.4000001</v>
      </c>
      <c r="D11" s="123">
        <f>+D12+D15+D18</f>
        <v>3395325254.8000002</v>
      </c>
      <c r="E11" s="108">
        <f>+E12+E15+E18</f>
        <v>1028180886.8500001</v>
      </c>
      <c r="F11" s="277"/>
      <c r="G11" s="108"/>
      <c r="H11" s="108"/>
      <c r="I11" s="108"/>
      <c r="J11" s="108"/>
      <c r="K11" s="108"/>
      <c r="L11" s="107"/>
      <c r="M11" s="116"/>
      <c r="N11" s="108">
        <f>+N12+N15+N18</f>
        <v>57819324</v>
      </c>
      <c r="O11" s="108">
        <f>+O12+O15+O18</f>
        <v>2112604778.8</v>
      </c>
      <c r="P11" s="108">
        <f>+P12+P15+P18</f>
        <v>972746942.14999962</v>
      </c>
      <c r="Q11" s="108">
        <v>0</v>
      </c>
    </row>
    <row r="12" spans="1:17" x14ac:dyDescent="0.2">
      <c r="A12" s="270" t="s">
        <v>163</v>
      </c>
      <c r="B12" s="271">
        <f>+B13+B14</f>
        <v>13389634811</v>
      </c>
      <c r="C12" s="276">
        <f>+B12*10%</f>
        <v>1338963481.1000001</v>
      </c>
      <c r="D12" s="276">
        <f>+B12*20%</f>
        <v>2677926962.2000003</v>
      </c>
      <c r="E12" s="288">
        <f>+B12*5%</f>
        <v>669481740.55000007</v>
      </c>
      <c r="F12" s="293">
        <v>0.05</v>
      </c>
      <c r="G12" s="276"/>
      <c r="H12" s="276"/>
      <c r="I12" s="276">
        <v>7712286460</v>
      </c>
      <c r="J12" s="276"/>
      <c r="K12" s="288"/>
      <c r="L12" s="271">
        <f>+B12-I12</f>
        <v>5677348351</v>
      </c>
      <c r="M12" s="294">
        <f>+L12/L58</f>
        <v>6.5463453081672285E-2</v>
      </c>
      <c r="N12" s="295">
        <v>18229225</v>
      </c>
      <c r="O12" s="295"/>
      <c r="P12" s="295">
        <f>+B12-C12-D12-E12-I12-N12</f>
        <v>972746942.14999962</v>
      </c>
      <c r="Q12" s="295">
        <v>0</v>
      </c>
    </row>
    <row r="13" spans="1:17" x14ac:dyDescent="0.2">
      <c r="A13" s="106" t="s">
        <v>575</v>
      </c>
      <c r="B13" s="107">
        <v>12446702782</v>
      </c>
      <c r="C13" s="123"/>
      <c r="D13" s="123"/>
      <c r="E13" s="108"/>
      <c r="F13" s="277"/>
      <c r="G13" s="123"/>
      <c r="H13" s="123"/>
      <c r="I13" s="123"/>
      <c r="J13" s="123"/>
      <c r="K13" s="108"/>
      <c r="L13" s="107"/>
      <c r="M13" s="236"/>
      <c r="N13" s="238"/>
      <c r="O13" s="238"/>
      <c r="P13" s="238"/>
      <c r="Q13" s="238">
        <v>0</v>
      </c>
    </row>
    <row r="14" spans="1:17" x14ac:dyDescent="0.2">
      <c r="A14" s="106" t="s">
        <v>576</v>
      </c>
      <c r="B14" s="107">
        <v>942932029</v>
      </c>
      <c r="C14" s="123"/>
      <c r="D14" s="123"/>
      <c r="E14" s="108"/>
      <c r="F14" s="277"/>
      <c r="G14" s="123"/>
      <c r="H14" s="123"/>
      <c r="I14" s="123"/>
      <c r="J14" s="123"/>
      <c r="K14" s="108"/>
      <c r="L14" s="107"/>
      <c r="M14" s="236"/>
      <c r="N14" s="238"/>
      <c r="O14" s="238"/>
      <c r="P14" s="238"/>
      <c r="Q14" s="238">
        <v>0</v>
      </c>
    </row>
    <row r="15" spans="1:17" x14ac:dyDescent="0.2">
      <c r="A15" s="270" t="s">
        <v>164</v>
      </c>
      <c r="B15" s="271">
        <f>+B16+B17</f>
        <v>3456991463</v>
      </c>
      <c r="C15" s="276">
        <f>+B15*10%</f>
        <v>345699146.30000001</v>
      </c>
      <c r="D15" s="276">
        <f>+B15*20%</f>
        <v>691398292.60000002</v>
      </c>
      <c r="E15" s="288">
        <f>+B15*10%</f>
        <v>345699146.30000001</v>
      </c>
      <c r="F15" s="293">
        <v>0.1</v>
      </c>
      <c r="G15" s="276"/>
      <c r="H15" s="276"/>
      <c r="I15" s="276"/>
      <c r="J15" s="276"/>
      <c r="K15" s="288"/>
      <c r="L15" s="271">
        <f>+B15</f>
        <v>3456991463</v>
      </c>
      <c r="M15" s="294">
        <f>+L15/$L$58</f>
        <v>3.9861319836395244E-2</v>
      </c>
      <c r="N15" s="295">
        <v>38155272</v>
      </c>
      <c r="O15" s="295">
        <f>+B15-C15-D15-E15-N15</f>
        <v>2036039605.8</v>
      </c>
      <c r="P15" s="295"/>
      <c r="Q15" s="295">
        <v>0</v>
      </c>
    </row>
    <row r="16" spans="1:17" x14ac:dyDescent="0.2">
      <c r="A16" s="106" t="s">
        <v>575</v>
      </c>
      <c r="B16" s="107">
        <v>3213541360</v>
      </c>
      <c r="C16" s="123"/>
      <c r="D16" s="123"/>
      <c r="E16" s="108"/>
      <c r="F16" s="277"/>
      <c r="G16" s="123"/>
      <c r="H16" s="123"/>
      <c r="I16" s="123"/>
      <c r="J16" s="123"/>
      <c r="K16" s="108"/>
      <c r="L16" s="107"/>
      <c r="M16" s="236"/>
      <c r="N16" s="238"/>
      <c r="O16" s="238"/>
      <c r="P16" s="238"/>
      <c r="Q16" s="238">
        <f t="shared" si="0"/>
        <v>3213541360</v>
      </c>
    </row>
    <row r="17" spans="1:17" x14ac:dyDescent="0.2">
      <c r="A17" s="106" t="s">
        <v>576</v>
      </c>
      <c r="B17" s="107">
        <v>243450103</v>
      </c>
      <c r="C17" s="123"/>
      <c r="D17" s="123"/>
      <c r="E17" s="108"/>
      <c r="F17" s="277"/>
      <c r="G17" s="123"/>
      <c r="H17" s="123"/>
      <c r="I17" s="123"/>
      <c r="J17" s="123"/>
      <c r="K17" s="108"/>
      <c r="L17" s="107"/>
      <c r="M17" s="236"/>
      <c r="N17" s="238"/>
      <c r="O17" s="238"/>
      <c r="P17" s="238"/>
      <c r="Q17" s="238">
        <f t="shared" si="0"/>
        <v>243450103</v>
      </c>
    </row>
    <row r="18" spans="1:17" x14ac:dyDescent="0.2">
      <c r="A18" s="270" t="s">
        <v>577</v>
      </c>
      <c r="B18" s="271">
        <f>+B19+B20</f>
        <v>130000000</v>
      </c>
      <c r="C18" s="276">
        <f>+B18*10%</f>
        <v>13000000</v>
      </c>
      <c r="D18" s="276">
        <f>+B18*20%</f>
        <v>26000000</v>
      </c>
      <c r="E18" s="288">
        <f>+B18*10%</f>
        <v>13000000</v>
      </c>
      <c r="F18" s="281">
        <v>0.1</v>
      </c>
      <c r="G18" s="123"/>
      <c r="H18" s="123"/>
      <c r="I18" s="123"/>
      <c r="J18" s="123"/>
      <c r="K18" s="108"/>
      <c r="L18" s="107">
        <f t="shared" ref="L18" si="2">+B18-G18-H18-K18</f>
        <v>130000000</v>
      </c>
      <c r="M18" s="236">
        <f>+L18/$L$58</f>
        <v>1.4989830418135983E-3</v>
      </c>
      <c r="N18" s="238">
        <v>1434827</v>
      </c>
      <c r="O18" s="238">
        <f>+B18-C18-D18-E18-N18</f>
        <v>76565173</v>
      </c>
      <c r="P18" s="238"/>
      <c r="Q18" s="238">
        <f t="shared" si="0"/>
        <v>0</v>
      </c>
    </row>
    <row r="19" spans="1:17" x14ac:dyDescent="0.2">
      <c r="A19" s="106" t="s">
        <v>575</v>
      </c>
      <c r="B19" s="107">
        <v>120000000</v>
      </c>
      <c r="C19" s="123"/>
      <c r="D19" s="123"/>
      <c r="E19" s="108"/>
      <c r="F19" s="277"/>
      <c r="G19" s="123"/>
      <c r="H19" s="123"/>
      <c r="I19" s="123"/>
      <c r="J19" s="123"/>
      <c r="K19" s="108"/>
      <c r="L19" s="107"/>
      <c r="M19" s="236"/>
      <c r="N19" s="238"/>
      <c r="O19" s="238"/>
      <c r="P19" s="238"/>
      <c r="Q19" s="238">
        <f t="shared" si="0"/>
        <v>120000000</v>
      </c>
    </row>
    <row r="20" spans="1:17" x14ac:dyDescent="0.2">
      <c r="A20" s="106" t="s">
        <v>576</v>
      </c>
      <c r="B20" s="107">
        <v>10000000</v>
      </c>
      <c r="C20" s="123"/>
      <c r="D20" s="123"/>
      <c r="E20" s="108"/>
      <c r="F20" s="277"/>
      <c r="G20" s="123"/>
      <c r="H20" s="123"/>
      <c r="I20" s="123"/>
      <c r="J20" s="123"/>
      <c r="K20" s="108"/>
      <c r="L20" s="107"/>
      <c r="M20" s="236"/>
      <c r="N20" s="238"/>
      <c r="O20" s="238"/>
      <c r="P20" s="238"/>
      <c r="Q20" s="238">
        <f t="shared" si="0"/>
        <v>10000000</v>
      </c>
    </row>
    <row r="21" spans="1:17" x14ac:dyDescent="0.2">
      <c r="A21" s="270" t="s">
        <v>147</v>
      </c>
      <c r="B21" s="271">
        <f>+B22+B24+B27+B30+B33+B36</f>
        <v>21836413818</v>
      </c>
      <c r="C21" s="271">
        <f>+C22+C24+C27+C30+C33+C36</f>
        <v>9477065690.1000004</v>
      </c>
      <c r="D21" s="276">
        <f>+D22+D24+D27+D30+D33+D36</f>
        <v>2183641381.8000002</v>
      </c>
      <c r="E21" s="288">
        <f>+E22+E24+E27+E30+E33+E36</f>
        <v>1130634082.9000001</v>
      </c>
      <c r="F21" s="280"/>
      <c r="G21" s="271">
        <f>21836413818-B21</f>
        <v>0</v>
      </c>
      <c r="H21" s="271"/>
      <c r="I21" s="271"/>
      <c r="J21" s="271"/>
      <c r="K21" s="288">
        <f>+K22+K24+K27+K30+K33+K36</f>
        <v>1035805251.2000008</v>
      </c>
      <c r="L21" s="271"/>
      <c r="M21" s="298"/>
      <c r="N21" s="288">
        <f>+N22+N24+N27+N30+N33+N36</f>
        <v>147332238</v>
      </c>
      <c r="O21" s="288"/>
      <c r="P21" s="288"/>
      <c r="Q21" s="288">
        <f t="shared" si="0"/>
        <v>7861935173.9999981</v>
      </c>
    </row>
    <row r="22" spans="1:17" x14ac:dyDescent="0.2">
      <c r="A22" s="270" t="s">
        <v>148</v>
      </c>
      <c r="B22" s="271">
        <f>+B23</f>
        <v>176363974</v>
      </c>
      <c r="C22" s="271">
        <f>+B22*90%</f>
        <v>158727576.59999999</v>
      </c>
      <c r="D22" s="276">
        <f>+B22*10%</f>
        <v>17636397.400000002</v>
      </c>
      <c r="E22" s="288"/>
      <c r="F22" s="280"/>
      <c r="G22" s="107">
        <f t="shared" ref="G22" si="3">SUM(G24:G39)</f>
        <v>0</v>
      </c>
      <c r="H22" s="107"/>
      <c r="I22" s="107"/>
      <c r="J22" s="107"/>
      <c r="K22" s="108"/>
      <c r="L22" s="107">
        <f t="shared" ref="L22:L36" si="4">+B22-G22-H22-K22</f>
        <v>176363974</v>
      </c>
      <c r="M22" s="235"/>
      <c r="N22" s="108"/>
      <c r="O22" s="108"/>
      <c r="P22" s="108"/>
      <c r="Q22" s="108">
        <f t="shared" si="0"/>
        <v>3.7252902984619141E-9</v>
      </c>
    </row>
    <row r="23" spans="1:17" x14ac:dyDescent="0.2">
      <c r="A23" s="106" t="s">
        <v>578</v>
      </c>
      <c r="B23" s="107">
        <v>176363974</v>
      </c>
      <c r="C23" s="123"/>
      <c r="D23" s="123"/>
      <c r="E23" s="108"/>
      <c r="F23" s="277"/>
      <c r="G23" s="123"/>
      <c r="H23" s="123"/>
      <c r="I23" s="123"/>
      <c r="J23" s="123"/>
      <c r="K23" s="108"/>
      <c r="L23" s="107"/>
      <c r="M23" s="116"/>
      <c r="N23" s="108"/>
      <c r="O23" s="108"/>
      <c r="P23" s="108"/>
      <c r="Q23" s="108">
        <f t="shared" si="0"/>
        <v>176363974</v>
      </c>
    </row>
    <row r="24" spans="1:17" x14ac:dyDescent="0.2">
      <c r="A24" s="270" t="s">
        <v>149</v>
      </c>
      <c r="B24" s="271">
        <f>+B25+B26</f>
        <v>8106255758</v>
      </c>
      <c r="C24" s="271">
        <f>+B24*90%</f>
        <v>7295630182.1999998</v>
      </c>
      <c r="D24" s="276">
        <f>+B24*10%</f>
        <v>810625575.80000007</v>
      </c>
      <c r="E24" s="288"/>
      <c r="F24" s="277"/>
      <c r="G24" s="108"/>
      <c r="H24" s="108"/>
      <c r="I24" s="108"/>
      <c r="J24" s="108"/>
      <c r="K24" s="108"/>
      <c r="L24" s="107">
        <f t="shared" si="4"/>
        <v>8106255758</v>
      </c>
      <c r="M24" s="116"/>
      <c r="N24" s="238"/>
      <c r="O24" s="238"/>
      <c r="P24" s="238"/>
      <c r="Q24" s="238">
        <f t="shared" si="0"/>
        <v>1.1920928955078125E-7</v>
      </c>
    </row>
    <row r="25" spans="1:17" x14ac:dyDescent="0.2">
      <c r="A25" s="106" t="s">
        <v>575</v>
      </c>
      <c r="B25" s="107">
        <v>7482697623</v>
      </c>
      <c r="C25" s="123"/>
      <c r="D25" s="123"/>
      <c r="E25" s="108"/>
      <c r="F25" s="277"/>
      <c r="G25" s="108"/>
      <c r="H25" s="108"/>
      <c r="I25" s="108"/>
      <c r="J25" s="108"/>
      <c r="K25" s="108"/>
      <c r="L25" s="107"/>
      <c r="M25" s="116"/>
      <c r="N25" s="238"/>
      <c r="O25" s="238"/>
      <c r="P25" s="238"/>
      <c r="Q25" s="238">
        <f t="shared" si="0"/>
        <v>7482697623</v>
      </c>
    </row>
    <row r="26" spans="1:17" x14ac:dyDescent="0.2">
      <c r="A26" s="106" t="s">
        <v>576</v>
      </c>
      <c r="B26" s="107">
        <v>623558135</v>
      </c>
      <c r="C26" s="123"/>
      <c r="D26" s="123"/>
      <c r="E26" s="108"/>
      <c r="F26" s="277"/>
      <c r="G26" s="108"/>
      <c r="H26" s="108"/>
      <c r="I26" s="108"/>
      <c r="J26" s="108"/>
      <c r="K26" s="108"/>
      <c r="L26" s="107"/>
      <c r="M26" s="116"/>
      <c r="N26" s="238"/>
      <c r="O26" s="238"/>
      <c r="P26" s="238"/>
      <c r="Q26" s="238">
        <f t="shared" si="0"/>
        <v>623558135</v>
      </c>
    </row>
    <row r="27" spans="1:17" ht="15.75" customHeight="1" x14ac:dyDescent="0.2">
      <c r="A27" s="272" t="s">
        <v>150</v>
      </c>
      <c r="B27" s="271">
        <f>+B28+B29</f>
        <v>2247453257</v>
      </c>
      <c r="C27" s="271">
        <f>+B27*90%</f>
        <v>2022707931.3</v>
      </c>
      <c r="D27" s="276">
        <f>+B27*10%</f>
        <v>224745325.70000002</v>
      </c>
      <c r="E27" s="288"/>
      <c r="F27" s="277"/>
      <c r="G27" s="108">
        <v>0</v>
      </c>
      <c r="H27" s="108"/>
      <c r="I27" s="108"/>
      <c r="J27" s="108"/>
      <c r="K27" s="108"/>
      <c r="L27" s="107">
        <f t="shared" si="4"/>
        <v>2247453257</v>
      </c>
      <c r="M27" s="116"/>
      <c r="N27" s="238"/>
      <c r="O27" s="238"/>
      <c r="P27" s="238"/>
      <c r="Q27" s="238">
        <f t="shared" si="0"/>
        <v>2.9802322387695313E-8</v>
      </c>
    </row>
    <row r="28" spans="1:17" ht="15.75" customHeight="1" x14ac:dyDescent="0.2">
      <c r="A28" s="106" t="s">
        <v>575</v>
      </c>
      <c r="B28" s="107">
        <v>1926388506</v>
      </c>
      <c r="C28" s="123"/>
      <c r="D28" s="123"/>
      <c r="E28" s="108"/>
      <c r="F28" s="277"/>
      <c r="G28" s="108"/>
      <c r="H28" s="108"/>
      <c r="I28" s="108"/>
      <c r="J28" s="108"/>
      <c r="K28" s="108"/>
      <c r="L28" s="107"/>
      <c r="M28" s="116"/>
      <c r="N28" s="238"/>
      <c r="O28" s="238"/>
      <c r="P28" s="238"/>
      <c r="Q28" s="238">
        <v>0</v>
      </c>
    </row>
    <row r="29" spans="1:17" ht="15.75" customHeight="1" x14ac:dyDescent="0.2">
      <c r="A29" s="106" t="s">
        <v>576</v>
      </c>
      <c r="B29" s="107">
        <v>321064751</v>
      </c>
      <c r="C29" s="123"/>
      <c r="D29" s="123"/>
      <c r="E29" s="108"/>
      <c r="F29" s="277"/>
      <c r="G29" s="108"/>
      <c r="H29" s="108"/>
      <c r="I29" s="108"/>
      <c r="J29" s="108"/>
      <c r="K29" s="108"/>
      <c r="L29" s="107"/>
      <c r="M29" s="116"/>
      <c r="N29" s="238"/>
      <c r="O29" s="238"/>
      <c r="P29" s="238"/>
      <c r="Q29" s="238">
        <v>0</v>
      </c>
    </row>
    <row r="30" spans="1:17" x14ac:dyDescent="0.2">
      <c r="A30" s="270" t="s">
        <v>151</v>
      </c>
      <c r="B30" s="271">
        <f>+B31+B32</f>
        <v>2278275218</v>
      </c>
      <c r="C30" s="276"/>
      <c r="D30" s="276">
        <f>+B30*10%</f>
        <v>227827521.80000001</v>
      </c>
      <c r="E30" s="288">
        <f>+B30*10%</f>
        <v>227827521.80000001</v>
      </c>
      <c r="F30" s="293">
        <v>0.1</v>
      </c>
      <c r="G30" s="288">
        <v>0</v>
      </c>
      <c r="H30" s="288"/>
      <c r="I30" s="288"/>
      <c r="J30" s="288"/>
      <c r="K30" s="288"/>
      <c r="L30" s="271">
        <f t="shared" si="4"/>
        <v>2278275218</v>
      </c>
      <c r="M30" s="297">
        <f>+L30/$L$58</f>
        <v>2.6269968587432146E-2</v>
      </c>
      <c r="N30" s="295">
        <v>33527500</v>
      </c>
      <c r="O30" s="295"/>
      <c r="P30" s="295"/>
      <c r="Q30" s="295">
        <f t="shared" si="0"/>
        <v>1789092674.4000001</v>
      </c>
    </row>
    <row r="31" spans="1:17" x14ac:dyDescent="0.2">
      <c r="A31" s="106" t="s">
        <v>575</v>
      </c>
      <c r="B31" s="107">
        <v>2219354152</v>
      </c>
      <c r="C31" s="123"/>
      <c r="D31" s="123"/>
      <c r="E31" s="108"/>
      <c r="F31" s="277"/>
      <c r="G31" s="108"/>
      <c r="H31" s="108"/>
      <c r="I31" s="108"/>
      <c r="J31" s="108"/>
      <c r="K31" s="108"/>
      <c r="L31" s="107"/>
      <c r="M31" s="237"/>
      <c r="N31" s="238"/>
      <c r="O31" s="238"/>
      <c r="P31" s="238"/>
      <c r="Q31" s="238">
        <v>0</v>
      </c>
    </row>
    <row r="32" spans="1:17" x14ac:dyDescent="0.2">
      <c r="A32" s="106" t="s">
        <v>576</v>
      </c>
      <c r="B32" s="107">
        <v>58921066</v>
      </c>
      <c r="C32" s="123"/>
      <c r="D32" s="123"/>
      <c r="E32" s="108"/>
      <c r="F32" s="277"/>
      <c r="G32" s="108"/>
      <c r="H32" s="108"/>
      <c r="I32" s="108"/>
      <c r="J32" s="108"/>
      <c r="K32" s="108"/>
      <c r="L32" s="107"/>
      <c r="M32" s="237"/>
      <c r="N32" s="238"/>
      <c r="O32" s="238"/>
      <c r="P32" s="238"/>
      <c r="Q32" s="238">
        <v>0</v>
      </c>
    </row>
    <row r="33" spans="1:17" x14ac:dyDescent="0.2">
      <c r="A33" s="270" t="s">
        <v>152</v>
      </c>
      <c r="B33" s="271">
        <f>+B34+B35</f>
        <v>8872752617</v>
      </c>
      <c r="C33" s="276"/>
      <c r="D33" s="276">
        <f>+B33*10%</f>
        <v>887275261.70000005</v>
      </c>
      <c r="E33" s="288">
        <f>+B33*10%</f>
        <v>887275261.70000005</v>
      </c>
      <c r="F33" s="281">
        <v>0.1</v>
      </c>
      <c r="G33" s="108">
        <v>0</v>
      </c>
      <c r="H33" s="108"/>
      <c r="I33" s="108"/>
      <c r="J33" s="108"/>
      <c r="K33" s="288">
        <f>+Q90-K44</f>
        <v>1035805251.2000008</v>
      </c>
      <c r="L33" s="271">
        <f>+B33-K33</f>
        <v>7836947365.7999992</v>
      </c>
      <c r="M33" s="297">
        <f>+L33/$L$58</f>
        <v>9.0365009237845767E-2</v>
      </c>
      <c r="N33" s="295">
        <v>111519125</v>
      </c>
      <c r="O33" s="295"/>
      <c r="P33" s="295"/>
      <c r="Q33" s="295">
        <f t="shared" si="0"/>
        <v>5950877717.3999996</v>
      </c>
    </row>
    <row r="34" spans="1:17" x14ac:dyDescent="0.2">
      <c r="A34" s="106" t="s">
        <v>575</v>
      </c>
      <c r="B34" s="107">
        <v>8729500519</v>
      </c>
      <c r="C34" s="123"/>
      <c r="D34" s="123"/>
      <c r="E34" s="108"/>
      <c r="F34" s="277"/>
      <c r="G34" s="108"/>
      <c r="H34" s="108"/>
      <c r="I34" s="108"/>
      <c r="J34" s="108"/>
      <c r="K34" s="108"/>
      <c r="L34" s="107"/>
      <c r="M34" s="237"/>
      <c r="N34" s="238"/>
      <c r="O34" s="238"/>
      <c r="P34" s="238"/>
      <c r="Q34" s="238">
        <v>0</v>
      </c>
    </row>
    <row r="35" spans="1:17" x14ac:dyDescent="0.2">
      <c r="A35" s="106" t="s">
        <v>576</v>
      </c>
      <c r="B35" s="107">
        <v>143252098</v>
      </c>
      <c r="C35" s="123"/>
      <c r="D35" s="123"/>
      <c r="E35" s="108"/>
      <c r="F35" s="277"/>
      <c r="G35" s="108"/>
      <c r="H35" s="108"/>
      <c r="I35" s="108"/>
      <c r="J35" s="108"/>
      <c r="K35" s="108"/>
      <c r="L35" s="107"/>
      <c r="M35" s="237"/>
      <c r="N35" s="238"/>
      <c r="O35" s="238"/>
      <c r="P35" s="238"/>
      <c r="Q35" s="238">
        <v>0</v>
      </c>
    </row>
    <row r="36" spans="1:17" x14ac:dyDescent="0.2">
      <c r="A36" s="270" t="s">
        <v>153</v>
      </c>
      <c r="B36" s="271">
        <f>+B37+B38</f>
        <v>155312994</v>
      </c>
      <c r="C36" s="276"/>
      <c r="D36" s="276">
        <f>+B36*10%</f>
        <v>15531299.4</v>
      </c>
      <c r="E36" s="288">
        <f>+B36*10%</f>
        <v>15531299.4</v>
      </c>
      <c r="F36" s="281">
        <v>0.1</v>
      </c>
      <c r="G36" s="108">
        <v>0</v>
      </c>
      <c r="H36" s="108"/>
      <c r="I36" s="108"/>
      <c r="J36" s="108"/>
      <c r="K36" s="108"/>
      <c r="L36" s="107">
        <f t="shared" si="4"/>
        <v>155312994</v>
      </c>
      <c r="M36" s="237">
        <f>+L36/$L$58</f>
        <v>1.7908580321484397E-3</v>
      </c>
      <c r="N36" s="238">
        <v>2285613</v>
      </c>
      <c r="O36" s="238"/>
      <c r="P36" s="238"/>
      <c r="Q36" s="238">
        <f t="shared" si="0"/>
        <v>121964782.19999999</v>
      </c>
    </row>
    <row r="37" spans="1:17" x14ac:dyDescent="0.2">
      <c r="A37" s="106" t="s">
        <v>575</v>
      </c>
      <c r="B37" s="112">
        <v>150000000</v>
      </c>
      <c r="C37" s="125"/>
      <c r="D37" s="125"/>
      <c r="E37" s="108"/>
      <c r="F37" s="277"/>
      <c r="G37" s="108"/>
      <c r="H37" s="108"/>
      <c r="I37" s="108"/>
      <c r="J37" s="108"/>
      <c r="K37" s="108"/>
      <c r="L37" s="112"/>
      <c r="M37" s="273"/>
      <c r="N37" s="238"/>
      <c r="O37" s="238"/>
      <c r="P37" s="238"/>
      <c r="Q37" s="238">
        <v>0</v>
      </c>
    </row>
    <row r="38" spans="1:17" x14ac:dyDescent="0.2">
      <c r="A38" s="106" t="s">
        <v>576</v>
      </c>
      <c r="B38" s="112">
        <v>5312994</v>
      </c>
      <c r="C38" s="125"/>
      <c r="D38" s="125"/>
      <c r="E38" s="108"/>
      <c r="F38" s="277"/>
      <c r="G38" s="108"/>
      <c r="H38" s="108"/>
      <c r="I38" s="108"/>
      <c r="J38" s="108"/>
      <c r="K38" s="108"/>
      <c r="L38" s="112"/>
      <c r="M38" s="273"/>
      <c r="N38" s="238"/>
      <c r="O38" s="238"/>
      <c r="P38" s="238"/>
      <c r="Q38" s="238">
        <v>0</v>
      </c>
    </row>
    <row r="39" spans="1:17" x14ac:dyDescent="0.2">
      <c r="A39" s="270" t="s">
        <v>154</v>
      </c>
      <c r="B39" s="274">
        <f>+B40</f>
        <v>355308834</v>
      </c>
      <c r="C39" s="276">
        <f>+B39*90%</f>
        <v>319777950.60000002</v>
      </c>
      <c r="D39" s="276">
        <f>+B39*10%</f>
        <v>35530883.399999999</v>
      </c>
      <c r="E39" s="288"/>
      <c r="F39" s="277"/>
      <c r="G39" s="108"/>
      <c r="H39" s="108"/>
      <c r="I39" s="108"/>
      <c r="J39" s="108"/>
      <c r="K39" s="108"/>
      <c r="L39" s="112"/>
      <c r="M39" s="116"/>
      <c r="N39" s="238">
        <f>+N40</f>
        <v>0</v>
      </c>
      <c r="O39" s="238"/>
      <c r="P39" s="238"/>
      <c r="Q39" s="238">
        <v>0</v>
      </c>
    </row>
    <row r="40" spans="1:17" x14ac:dyDescent="0.2">
      <c r="A40" s="270" t="s">
        <v>155</v>
      </c>
      <c r="B40" s="271">
        <f>+B41+B42</f>
        <v>355308834</v>
      </c>
      <c r="C40" s="271"/>
      <c r="D40" s="276"/>
      <c r="E40" s="288"/>
      <c r="F40" s="280"/>
      <c r="G40" s="107"/>
      <c r="H40" s="107"/>
      <c r="I40" s="107"/>
      <c r="J40" s="107"/>
      <c r="K40" s="108"/>
      <c r="L40" s="107">
        <f>+B40-G40-H40-K40</f>
        <v>355308834</v>
      </c>
      <c r="M40" s="235"/>
      <c r="N40" s="108"/>
      <c r="O40" s="108"/>
      <c r="P40" s="108"/>
      <c r="Q40" s="108">
        <f t="shared" si="0"/>
        <v>355308834</v>
      </c>
    </row>
    <row r="41" spans="1:17" x14ac:dyDescent="0.2">
      <c r="A41" s="106" t="s">
        <v>575</v>
      </c>
      <c r="B41" s="107">
        <v>300645936</v>
      </c>
      <c r="C41" s="123"/>
      <c r="D41" s="123"/>
      <c r="E41" s="108"/>
      <c r="F41" s="277"/>
      <c r="G41" s="123"/>
      <c r="H41" s="123"/>
      <c r="I41" s="123"/>
      <c r="J41" s="123"/>
      <c r="K41" s="108"/>
      <c r="L41" s="107"/>
      <c r="M41" s="116"/>
      <c r="N41" s="108"/>
      <c r="O41" s="108"/>
      <c r="P41" s="108"/>
      <c r="Q41" s="238">
        <v>0</v>
      </c>
    </row>
    <row r="42" spans="1:17" x14ac:dyDescent="0.2">
      <c r="A42" s="106" t="s">
        <v>576</v>
      </c>
      <c r="B42" s="107">
        <v>54662898</v>
      </c>
      <c r="C42" s="123"/>
      <c r="D42" s="123"/>
      <c r="E42" s="108"/>
      <c r="F42" s="277"/>
      <c r="G42" s="123"/>
      <c r="H42" s="123"/>
      <c r="I42" s="123"/>
      <c r="J42" s="123"/>
      <c r="K42" s="108"/>
      <c r="L42" s="107"/>
      <c r="M42" s="116"/>
      <c r="N42" s="108"/>
      <c r="O42" s="108"/>
      <c r="P42" s="108"/>
      <c r="Q42" s="238">
        <v>0</v>
      </c>
    </row>
    <row r="43" spans="1:17" x14ac:dyDescent="0.2">
      <c r="A43" s="106" t="s">
        <v>156</v>
      </c>
      <c r="B43" s="107">
        <f>+B44+B47</f>
        <v>85165000000</v>
      </c>
      <c r="C43" s="123"/>
      <c r="D43" s="123"/>
      <c r="E43" s="108">
        <f>+E44+E47</f>
        <v>8512000000</v>
      </c>
      <c r="F43" s="277"/>
      <c r="G43" s="108">
        <f>+G44</f>
        <v>35678457181</v>
      </c>
      <c r="H43" s="108"/>
      <c r="I43" s="108"/>
      <c r="J43" s="108"/>
      <c r="K43" s="107">
        <f>+K44+K47</f>
        <v>10108000000</v>
      </c>
      <c r="L43" s="107"/>
      <c r="M43" s="116"/>
      <c r="N43" s="238">
        <f>+N44</f>
        <v>566969070</v>
      </c>
      <c r="O43" s="107">
        <f>+O44+O47</f>
        <v>6314573749</v>
      </c>
      <c r="P43" s="238"/>
      <c r="Q43" s="238">
        <f t="shared" si="0"/>
        <v>23985000000</v>
      </c>
    </row>
    <row r="44" spans="1:17" x14ac:dyDescent="0.2">
      <c r="A44" s="270" t="s">
        <v>157</v>
      </c>
      <c r="B44" s="271">
        <f>+B45+B46</f>
        <v>85120000000</v>
      </c>
      <c r="C44" s="276"/>
      <c r="D44" s="276"/>
      <c r="E44" s="288">
        <f>+B44*10%</f>
        <v>8512000000</v>
      </c>
      <c r="F44" s="290">
        <v>0.1</v>
      </c>
      <c r="G44" s="108">
        <v>35678457181</v>
      </c>
      <c r="H44" s="108"/>
      <c r="I44" s="108"/>
      <c r="J44" s="108"/>
      <c r="K44" s="108">
        <f>40432000000*0.25</f>
        <v>10108000000</v>
      </c>
      <c r="L44" s="107">
        <f>+B44-G44-K44</f>
        <v>39333542819</v>
      </c>
      <c r="M44" s="237">
        <f>+L44/$L$58</f>
        <v>0.45354087430869261</v>
      </c>
      <c r="N44" s="238">
        <v>566969070</v>
      </c>
      <c r="O44" s="238">
        <f>85120000000/2-35678457181-566969070</f>
        <v>6314573749</v>
      </c>
      <c r="P44" s="238"/>
      <c r="Q44" s="238">
        <f>+B44-C44-D44-E44-G44-I44-K44-N44-O44-P44</f>
        <v>23940000000</v>
      </c>
    </row>
    <row r="45" spans="1:17" x14ac:dyDescent="0.2">
      <c r="A45" s="106" t="s">
        <v>575</v>
      </c>
      <c r="B45" s="107">
        <v>78120000000</v>
      </c>
      <c r="C45" s="123"/>
      <c r="D45" s="123"/>
      <c r="E45" s="108"/>
      <c r="F45" s="277"/>
      <c r="G45" s="108"/>
      <c r="H45" s="108"/>
      <c r="I45" s="108"/>
      <c r="J45" s="108"/>
      <c r="K45" s="108"/>
      <c r="L45" s="107"/>
      <c r="M45" s="273"/>
      <c r="N45" s="238"/>
      <c r="O45" s="238"/>
      <c r="P45" s="238"/>
      <c r="Q45" s="238">
        <v>0</v>
      </c>
    </row>
    <row r="46" spans="1:17" x14ac:dyDescent="0.2">
      <c r="A46" s="106" t="s">
        <v>576</v>
      </c>
      <c r="B46" s="107">
        <v>7000000000</v>
      </c>
      <c r="C46" s="123"/>
      <c r="D46" s="123"/>
      <c r="E46" s="108"/>
      <c r="F46" s="277"/>
      <c r="G46" s="108"/>
      <c r="H46" s="108"/>
      <c r="I46" s="108"/>
      <c r="J46" s="108"/>
      <c r="K46" s="108"/>
      <c r="L46" s="107"/>
      <c r="M46" s="273"/>
      <c r="N46" s="238"/>
      <c r="O46" s="238"/>
      <c r="P46" s="238"/>
      <c r="Q46" s="238">
        <v>0</v>
      </c>
    </row>
    <row r="47" spans="1:17" x14ac:dyDescent="0.2">
      <c r="A47" s="270" t="s">
        <v>158</v>
      </c>
      <c r="B47" s="271">
        <f>+'INGRESOS 2024'!Q56</f>
        <v>45000000</v>
      </c>
      <c r="C47" s="276"/>
      <c r="D47" s="276"/>
      <c r="E47" s="288"/>
      <c r="F47" s="277"/>
      <c r="G47" s="108"/>
      <c r="H47" s="108"/>
      <c r="I47" s="108"/>
      <c r="J47" s="108"/>
      <c r="K47" s="108"/>
      <c r="L47" s="107">
        <f>+B47</f>
        <v>45000000</v>
      </c>
      <c r="M47" s="125"/>
      <c r="N47" s="238">
        <v>0</v>
      </c>
      <c r="O47" s="238"/>
      <c r="P47" s="238"/>
      <c r="Q47" s="238">
        <f t="shared" si="0"/>
        <v>45000000</v>
      </c>
    </row>
    <row r="48" spans="1:17" x14ac:dyDescent="0.2">
      <c r="A48" s="106" t="s">
        <v>86</v>
      </c>
      <c r="B48" s="107">
        <f>+B49+B51+B53</f>
        <v>504375320</v>
      </c>
      <c r="C48" s="123"/>
      <c r="D48" s="123"/>
      <c r="E48" s="108">
        <f>+E49+E51+E53</f>
        <v>50437532</v>
      </c>
      <c r="F48" s="277"/>
      <c r="G48" s="108"/>
      <c r="H48" s="108"/>
      <c r="I48" s="108"/>
      <c r="J48" s="108"/>
      <c r="K48" s="108"/>
      <c r="L48" s="107">
        <f>+L49+L51+L53</f>
        <v>0</v>
      </c>
      <c r="M48" s="125"/>
      <c r="N48" s="238">
        <f>+N49</f>
        <v>8350286</v>
      </c>
      <c r="O48" s="238"/>
      <c r="P48" s="238"/>
      <c r="Q48" s="238">
        <f t="shared" si="0"/>
        <v>445587502</v>
      </c>
    </row>
    <row r="49" spans="1:17" x14ac:dyDescent="0.2">
      <c r="A49" s="106" t="s">
        <v>88</v>
      </c>
      <c r="B49" s="107">
        <f>+B50</f>
        <v>504375320</v>
      </c>
      <c r="C49" s="123"/>
      <c r="D49" s="123"/>
      <c r="E49" s="108">
        <f>+E50</f>
        <v>50437532</v>
      </c>
      <c r="F49" s="277"/>
      <c r="G49" s="108"/>
      <c r="H49" s="108"/>
      <c r="I49" s="108"/>
      <c r="J49" s="108"/>
      <c r="K49" s="108"/>
      <c r="L49" s="107"/>
      <c r="M49" s="128"/>
      <c r="N49" s="238">
        <f>+N50</f>
        <v>8350286</v>
      </c>
      <c r="O49" s="238"/>
      <c r="P49" s="238"/>
      <c r="Q49" s="238">
        <f t="shared" si="0"/>
        <v>445587502</v>
      </c>
    </row>
    <row r="50" spans="1:17" x14ac:dyDescent="0.2">
      <c r="A50" s="106" t="s">
        <v>159</v>
      </c>
      <c r="B50" s="107">
        <v>504375320</v>
      </c>
      <c r="C50" s="123"/>
      <c r="D50" s="123"/>
      <c r="E50" s="108">
        <f>+B50*10%</f>
        <v>50437532</v>
      </c>
      <c r="F50" s="290">
        <v>0.1</v>
      </c>
      <c r="G50" s="108"/>
      <c r="H50" s="108"/>
      <c r="I50" s="108"/>
      <c r="J50" s="108"/>
      <c r="K50" s="108"/>
      <c r="L50" s="107">
        <f>+B50</f>
        <v>504375320</v>
      </c>
      <c r="M50" s="237">
        <f>+L50/$L$58</f>
        <v>5.8157696260715932E-3</v>
      </c>
      <c r="N50" s="238">
        <v>8350286</v>
      </c>
      <c r="O50" s="238"/>
      <c r="P50" s="238"/>
      <c r="Q50" s="238">
        <f t="shared" si="0"/>
        <v>445587502</v>
      </c>
    </row>
    <row r="51" spans="1:17" x14ac:dyDescent="0.2">
      <c r="A51" s="106" t="s">
        <v>160</v>
      </c>
      <c r="B51" s="107">
        <f>+B52</f>
        <v>0</v>
      </c>
      <c r="C51" s="123"/>
      <c r="D51" s="123"/>
      <c r="E51" s="108"/>
      <c r="F51" s="277"/>
      <c r="G51" s="108"/>
      <c r="H51" s="108"/>
      <c r="I51" s="108"/>
      <c r="J51" s="108"/>
      <c r="K51" s="108"/>
      <c r="L51" s="107">
        <f>+L52</f>
        <v>0</v>
      </c>
      <c r="M51" s="125"/>
      <c r="N51" s="238">
        <v>0</v>
      </c>
      <c r="O51" s="238"/>
      <c r="P51" s="238"/>
      <c r="Q51" s="238">
        <f t="shared" si="0"/>
        <v>0</v>
      </c>
    </row>
    <row r="52" spans="1:17" x14ac:dyDescent="0.2">
      <c r="A52" s="106" t="s">
        <v>161</v>
      </c>
      <c r="B52" s="107">
        <f>+'INGRESOS 2024'!Q64</f>
        <v>0</v>
      </c>
      <c r="C52" s="123"/>
      <c r="D52" s="123"/>
      <c r="E52" s="108"/>
      <c r="F52" s="277"/>
      <c r="G52" s="108"/>
      <c r="H52" s="108"/>
      <c r="I52" s="108"/>
      <c r="J52" s="108">
        <f>+B52</f>
        <v>0</v>
      </c>
      <c r="K52" s="108"/>
      <c r="L52" s="107"/>
      <c r="M52" s="125"/>
      <c r="N52" s="238"/>
      <c r="O52" s="238"/>
      <c r="P52" s="238"/>
      <c r="Q52" s="238">
        <f t="shared" si="0"/>
        <v>0</v>
      </c>
    </row>
    <row r="53" spans="1:17" x14ac:dyDescent="0.2">
      <c r="A53" s="106" t="s">
        <v>162</v>
      </c>
      <c r="B53" s="107">
        <f>+'INGRESOS 2024'!Q62</f>
        <v>0</v>
      </c>
      <c r="C53" s="107"/>
      <c r="D53" s="123"/>
      <c r="E53" s="108"/>
      <c r="F53" s="280"/>
      <c r="G53" s="107">
        <f t="shared" ref="G53:N53" si="5">SUM(G54:G55)</f>
        <v>0</v>
      </c>
      <c r="H53" s="107"/>
      <c r="I53" s="107"/>
      <c r="J53" s="107"/>
      <c r="K53" s="108"/>
      <c r="L53" s="107">
        <f>+'INGRESOS 2024'!V62</f>
        <v>0</v>
      </c>
      <c r="M53" s="123"/>
      <c r="N53" s="108">
        <f t="shared" si="5"/>
        <v>0</v>
      </c>
      <c r="O53" s="108"/>
      <c r="P53" s="108"/>
      <c r="Q53" s="108">
        <f t="shared" si="0"/>
        <v>0</v>
      </c>
    </row>
    <row r="54" spans="1:17" x14ac:dyDescent="0.2">
      <c r="A54" s="106"/>
      <c r="B54" s="107"/>
      <c r="C54" s="123"/>
      <c r="D54" s="123"/>
      <c r="E54" s="108"/>
      <c r="F54" s="277"/>
      <c r="G54" s="108"/>
      <c r="H54" s="108"/>
      <c r="I54" s="108"/>
      <c r="J54" s="108"/>
      <c r="K54" s="108"/>
      <c r="L54" s="107"/>
      <c r="M54" s="125"/>
      <c r="N54" s="238"/>
      <c r="O54" s="238"/>
      <c r="P54" s="238"/>
      <c r="Q54" s="238">
        <f t="shared" si="0"/>
        <v>0</v>
      </c>
    </row>
    <row r="55" spans="1:17" x14ac:dyDescent="0.2">
      <c r="A55" s="270" t="s">
        <v>101</v>
      </c>
      <c r="B55" s="271">
        <f>+B56+B57</f>
        <v>2311989800</v>
      </c>
      <c r="C55" s="276">
        <f>+B55</f>
        <v>2311989800</v>
      </c>
      <c r="D55" s="276"/>
      <c r="E55" s="288"/>
      <c r="F55" s="277"/>
      <c r="G55" s="108"/>
      <c r="H55" s="108"/>
      <c r="I55" s="108"/>
      <c r="J55" s="108"/>
      <c r="K55" s="108"/>
      <c r="L55" s="107">
        <f>+L56+L57</f>
        <v>0</v>
      </c>
      <c r="M55" s="125"/>
      <c r="N55" s="238"/>
      <c r="O55" s="238"/>
      <c r="P55" s="238"/>
      <c r="Q55" s="238">
        <f t="shared" si="0"/>
        <v>0</v>
      </c>
    </row>
    <row r="56" spans="1:17" x14ac:dyDescent="0.2">
      <c r="A56" s="106" t="s">
        <v>138</v>
      </c>
      <c r="B56" s="107">
        <v>2311989800</v>
      </c>
      <c r="C56" s="107">
        <v>2311989800</v>
      </c>
      <c r="D56" s="123"/>
      <c r="E56" s="108"/>
      <c r="F56" s="277"/>
      <c r="G56" s="108"/>
      <c r="H56" s="108"/>
      <c r="I56" s="108"/>
      <c r="J56" s="108"/>
      <c r="K56" s="108"/>
      <c r="L56" s="107"/>
      <c r="M56" s="125"/>
      <c r="N56" s="238"/>
      <c r="O56" s="238"/>
      <c r="P56" s="238"/>
      <c r="Q56" s="238">
        <v>0</v>
      </c>
    </row>
    <row r="57" spans="1:17" ht="10.8" thickBot="1" x14ac:dyDescent="0.25">
      <c r="A57" s="106" t="s">
        <v>139</v>
      </c>
      <c r="B57" s="107"/>
      <c r="C57" s="123"/>
      <c r="D57" s="123"/>
      <c r="E57" s="108"/>
      <c r="F57" s="277"/>
      <c r="G57" s="110"/>
      <c r="H57" s="110"/>
      <c r="I57" s="110"/>
      <c r="J57" s="110"/>
      <c r="K57" s="233"/>
      <c r="L57" s="107"/>
      <c r="M57" s="126"/>
      <c r="N57" s="239"/>
      <c r="O57" s="239"/>
      <c r="P57" s="239"/>
      <c r="Q57" s="239">
        <f t="shared" si="0"/>
        <v>0</v>
      </c>
    </row>
    <row r="58" spans="1:17" ht="10.8" thickBot="1" x14ac:dyDescent="0.25">
      <c r="A58" s="113" t="s">
        <v>140</v>
      </c>
      <c r="B58" s="114">
        <f>+B55+B3</f>
        <v>143572002806</v>
      </c>
      <c r="C58" s="114">
        <f>+C55+C3</f>
        <v>13806496068.1</v>
      </c>
      <c r="D58" s="278">
        <f>+D55+D3</f>
        <v>5614497520</v>
      </c>
      <c r="E58" s="289">
        <f>+E55+E3</f>
        <v>12363481377.75</v>
      </c>
      <c r="F58" s="282"/>
      <c r="G58" s="114">
        <f>G3</f>
        <v>35678457181</v>
      </c>
      <c r="H58" s="114">
        <f>+H12</f>
        <v>0</v>
      </c>
      <c r="I58" s="114">
        <f>+I12</f>
        <v>7712286460</v>
      </c>
      <c r="J58" s="114">
        <f>+J52</f>
        <v>0</v>
      </c>
      <c r="K58" s="114">
        <f>+K33+K44</f>
        <v>11143805251.200001</v>
      </c>
      <c r="L58" s="114">
        <f>SUM(L3:L55)</f>
        <v>86725464113.800003</v>
      </c>
      <c r="M58" s="114"/>
      <c r="N58" s="114">
        <f>+N55+N3</f>
        <v>1052353368</v>
      </c>
      <c r="O58" s="114">
        <f>+O55+O3</f>
        <v>8427178527.8000002</v>
      </c>
      <c r="P58" s="114">
        <f>+P55+P3</f>
        <v>972746942.14999962</v>
      </c>
      <c r="Q58" s="114">
        <f t="shared" si="0"/>
        <v>46800700109.999992</v>
      </c>
    </row>
    <row r="59" spans="1:17" ht="11.25" customHeight="1" thickBot="1" x14ac:dyDescent="0.25">
      <c r="B59" s="115"/>
      <c r="C59" s="115"/>
      <c r="D59" s="115"/>
      <c r="E59" s="115"/>
      <c r="F59" s="115"/>
      <c r="G59" s="563" t="s">
        <v>141</v>
      </c>
      <c r="H59" s="564"/>
      <c r="I59" s="564"/>
      <c r="J59" s="564"/>
      <c r="K59" s="565"/>
      <c r="L59" s="127"/>
      <c r="M59" s="127"/>
      <c r="N59" s="117"/>
      <c r="O59" s="117"/>
      <c r="P59" s="117"/>
      <c r="Q59" s="109"/>
    </row>
    <row r="60" spans="1:17" ht="52.5" hidden="1" customHeight="1" thickBot="1" x14ac:dyDescent="0.25">
      <c r="A60" s="118" t="s">
        <v>142</v>
      </c>
      <c r="B60" s="119" t="e">
        <f>SUM(#REF!+#REF!)</f>
        <v>#REF!</v>
      </c>
      <c r="C60" s="119"/>
      <c r="D60" s="119"/>
      <c r="E60" s="119"/>
      <c r="F60" s="119"/>
      <c r="G60" s="120"/>
      <c r="H60" s="120"/>
      <c r="I60" s="120"/>
      <c r="J60" s="120"/>
    </row>
    <row r="61" spans="1:17" ht="11.25" customHeight="1" x14ac:dyDescent="0.2">
      <c r="B61" s="122"/>
      <c r="C61" s="122"/>
      <c r="D61" s="122"/>
      <c r="E61" s="122"/>
      <c r="F61" s="122"/>
      <c r="L61" s="126"/>
      <c r="Q61" s="291"/>
    </row>
    <row r="62" spans="1:17" hidden="1" x14ac:dyDescent="0.2">
      <c r="Q62" s="291"/>
    </row>
    <row r="63" spans="1:17" hidden="1" x14ac:dyDescent="0.2">
      <c r="N63" s="121" t="s">
        <v>128</v>
      </c>
      <c r="Q63" s="291"/>
    </row>
    <row r="64" spans="1:17" hidden="1" x14ac:dyDescent="0.2">
      <c r="N64" s="121" t="s">
        <v>540</v>
      </c>
      <c r="Q64" s="291"/>
    </row>
    <row r="65" spans="4:17" hidden="1" x14ac:dyDescent="0.2">
      <c r="Q65" s="291"/>
    </row>
    <row r="66" spans="4:17" hidden="1" x14ac:dyDescent="0.2">
      <c r="Q66" s="291"/>
    </row>
    <row r="67" spans="4:17" hidden="1" x14ac:dyDescent="0.2">
      <c r="Q67" s="291"/>
    </row>
    <row r="68" spans="4:17" hidden="1" x14ac:dyDescent="0.2">
      <c r="N68" s="121" t="s">
        <v>542</v>
      </c>
      <c r="Q68" s="291"/>
    </row>
    <row r="69" spans="4:17" x14ac:dyDescent="0.2">
      <c r="G69" s="126"/>
      <c r="Q69" s="291"/>
    </row>
    <row r="70" spans="4:17" x14ac:dyDescent="0.2">
      <c r="L70" s="126"/>
      <c r="Q70" s="291"/>
    </row>
    <row r="71" spans="4:17" x14ac:dyDescent="0.2">
      <c r="D71" s="351"/>
      <c r="E71" s="351"/>
      <c r="F71" s="351"/>
      <c r="G71" s="352"/>
      <c r="L71" s="126"/>
      <c r="Q71" s="291"/>
    </row>
    <row r="72" spans="4:17" x14ac:dyDescent="0.2">
      <c r="D72" s="351">
        <f>+'RESUMEN PRESUPUESTAL '!AA9</f>
        <v>3957791223.8999996</v>
      </c>
      <c r="E72" s="351"/>
      <c r="F72" s="351"/>
      <c r="G72" s="352">
        <f>+B58-C58-D58-K58-D72</f>
        <v>109049412742.8</v>
      </c>
      <c r="L72" s="126"/>
      <c r="Q72" s="291"/>
    </row>
    <row r="73" spans="4:17" x14ac:dyDescent="0.2">
      <c r="D73" s="351"/>
      <c r="E73" s="351"/>
      <c r="F73" s="351"/>
      <c r="G73" s="353"/>
      <c r="Q73" s="292"/>
    </row>
    <row r="75" spans="4:17" x14ac:dyDescent="0.2">
      <c r="Q75" s="231"/>
    </row>
    <row r="83" spans="15:17" x14ac:dyDescent="0.2">
      <c r="P83" s="121" t="s">
        <v>128</v>
      </c>
      <c r="Q83" s="126">
        <f>+Q58+P58+O58+N58+K58+I58+G58</f>
        <v>111787527840.14999</v>
      </c>
    </row>
    <row r="85" spans="15:17" x14ac:dyDescent="0.2">
      <c r="Q85" s="126">
        <f>+Q58+N58+K58+I58+H58+G58+J58</f>
        <v>102387602370.2</v>
      </c>
    </row>
    <row r="86" spans="15:17" x14ac:dyDescent="0.2">
      <c r="Q86" s="207">
        <f>+'INGRESOS 2024'!O70</f>
        <v>12363481377.636566</v>
      </c>
    </row>
    <row r="87" spans="15:17" x14ac:dyDescent="0.2">
      <c r="Q87" s="126">
        <f>+Q85+Q86</f>
        <v>114751083747.83656</v>
      </c>
    </row>
    <row r="88" spans="15:17" x14ac:dyDescent="0.2">
      <c r="Q88" s="111"/>
    </row>
    <row r="90" spans="15:17" x14ac:dyDescent="0.2">
      <c r="Q90" s="231">
        <f>+'[3]RESUMEN 2024'!$D$4</f>
        <v>11143805251.200001</v>
      </c>
    </row>
    <row r="91" spans="15:17" x14ac:dyDescent="0.2">
      <c r="P91" s="121" t="s">
        <v>552</v>
      </c>
      <c r="Q91" s="207">
        <f>+'INGRESOS 2024'!O70</f>
        <v>12363481377.636566</v>
      </c>
    </row>
    <row r="92" spans="15:17" x14ac:dyDescent="0.2">
      <c r="P92" s="121" t="s">
        <v>553</v>
      </c>
      <c r="Q92" s="126">
        <f>+Q83+Q91</f>
        <v>124151009217.78656</v>
      </c>
    </row>
    <row r="93" spans="15:17" x14ac:dyDescent="0.2">
      <c r="Q93" s="126"/>
    </row>
    <row r="94" spans="15:17" x14ac:dyDescent="0.2">
      <c r="O94" s="550" t="s">
        <v>561</v>
      </c>
      <c r="P94" s="241" t="s">
        <v>554</v>
      </c>
      <c r="Q94" s="242">
        <f>+G58</f>
        <v>35678457181</v>
      </c>
    </row>
    <row r="95" spans="15:17" x14ac:dyDescent="0.2">
      <c r="O95" s="550"/>
      <c r="P95" s="241" t="s">
        <v>555</v>
      </c>
      <c r="Q95" s="242">
        <f>+I58</f>
        <v>7712286460</v>
      </c>
    </row>
    <row r="96" spans="15:17" x14ac:dyDescent="0.2">
      <c r="O96" s="550"/>
      <c r="P96" s="241" t="s">
        <v>556</v>
      </c>
      <c r="Q96" s="242">
        <f>+K58</f>
        <v>11143805251.200001</v>
      </c>
    </row>
    <row r="97" spans="15:17" x14ac:dyDescent="0.2">
      <c r="O97" s="550"/>
      <c r="P97" s="241" t="s">
        <v>557</v>
      </c>
      <c r="Q97" s="242">
        <f>+N58</f>
        <v>1052353368</v>
      </c>
    </row>
    <row r="98" spans="15:17" x14ac:dyDescent="0.2">
      <c r="O98" s="550"/>
      <c r="P98" s="241" t="s">
        <v>558</v>
      </c>
      <c r="Q98" s="242">
        <f>+O58</f>
        <v>8427178527.8000002</v>
      </c>
    </row>
    <row r="99" spans="15:17" x14ac:dyDescent="0.2">
      <c r="O99" s="550"/>
      <c r="P99" s="241" t="s">
        <v>559</v>
      </c>
      <c r="Q99" s="242">
        <f>+P58</f>
        <v>972746942.14999962</v>
      </c>
    </row>
    <row r="100" spans="15:17" x14ac:dyDescent="0.2">
      <c r="O100" s="550"/>
      <c r="P100" s="241" t="s">
        <v>560</v>
      </c>
      <c r="Q100" s="242">
        <f>+Q58+Q91</f>
        <v>59164181487.636559</v>
      </c>
    </row>
    <row r="101" spans="15:17" x14ac:dyDescent="0.2">
      <c r="O101" s="243"/>
      <c r="P101" s="243"/>
      <c r="Q101" s="242">
        <f>SUM(Q94:Q100)</f>
        <v>124151009217.78656</v>
      </c>
    </row>
    <row r="102" spans="15:17" x14ac:dyDescent="0.2">
      <c r="O102" s="243"/>
      <c r="P102" s="243"/>
      <c r="Q102" s="244"/>
    </row>
    <row r="103" spans="15:17" x14ac:dyDescent="0.2">
      <c r="O103" s="241" t="s">
        <v>562</v>
      </c>
      <c r="P103" s="241"/>
      <c r="Q103" s="242">
        <f>+Q101-Q96</f>
        <v>113007203966.58656</v>
      </c>
    </row>
    <row r="106" spans="15:17" x14ac:dyDescent="0.2">
      <c r="Q106" s="126">
        <f>+Q103-Q97</f>
        <v>111954850598.58656</v>
      </c>
    </row>
  </sheetData>
  <mergeCells count="9">
    <mergeCell ref="A1:A2"/>
    <mergeCell ref="B1:B2"/>
    <mergeCell ref="G1:K1"/>
    <mergeCell ref="N1:N2"/>
    <mergeCell ref="O94:O100"/>
    <mergeCell ref="O1:O2"/>
    <mergeCell ref="P1:P2"/>
    <mergeCell ref="Q1:Q2"/>
    <mergeCell ref="G59:K59"/>
  </mergeCells>
  <pageMargins left="0.7" right="0.7" top="0.75" bottom="0.75" header="0.3" footer="0.3"/>
  <pageSetup paperSize="12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30400-41FC-4AEE-B793-EBC19C0232D8}">
  <dimension ref="A1:N209"/>
  <sheetViews>
    <sheetView workbookViewId="0">
      <selection activeCell="A3" sqref="A3"/>
    </sheetView>
  </sheetViews>
  <sheetFormatPr baseColWidth="10" defaultColWidth="8.88671875" defaultRowHeight="14.4" x14ac:dyDescent="0.3"/>
  <cols>
    <col min="1" max="1" width="69.44140625" customWidth="1"/>
    <col min="2" max="2" width="29.109375" customWidth="1"/>
    <col min="3" max="3" width="19" bestFit="1" customWidth="1"/>
    <col min="4" max="4" width="13.5546875" bestFit="1" customWidth="1"/>
    <col min="5" max="5" width="13.88671875" customWidth="1"/>
    <col min="6" max="6" width="16.88671875" bestFit="1" customWidth="1"/>
    <col min="7" max="7" width="15.88671875" bestFit="1" customWidth="1"/>
    <col min="8" max="8" width="14.88671875" bestFit="1" customWidth="1"/>
    <col min="9" max="9" width="17.33203125" customWidth="1"/>
    <col min="10" max="10" width="14.5546875" bestFit="1" customWidth="1"/>
    <col min="11" max="11" width="17.5546875" bestFit="1" customWidth="1"/>
    <col min="12" max="12" width="12.5546875" bestFit="1" customWidth="1"/>
    <col min="13" max="13" width="16.44140625" bestFit="1" customWidth="1"/>
    <col min="14" max="14" width="15.6640625" customWidth="1"/>
    <col min="256" max="256" width="69.44140625" customWidth="1"/>
    <col min="257" max="257" width="29.109375" customWidth="1"/>
    <col min="258" max="258" width="26" customWidth="1"/>
    <col min="259" max="259" width="16.88671875" bestFit="1" customWidth="1"/>
    <col min="260" max="260" width="16.88671875" customWidth="1"/>
    <col min="261" max="261" width="15.88671875" customWidth="1"/>
    <col min="262" max="262" width="16.88671875" bestFit="1" customWidth="1"/>
    <col min="263" max="263" width="17.44140625" customWidth="1"/>
    <col min="264" max="264" width="14.88671875" bestFit="1" customWidth="1"/>
    <col min="265" max="265" width="17.33203125" customWidth="1"/>
    <col min="266" max="266" width="13.88671875" customWidth="1"/>
    <col min="267" max="267" width="17.5546875" bestFit="1" customWidth="1"/>
    <col min="512" max="512" width="69.44140625" customWidth="1"/>
    <col min="513" max="513" width="29.109375" customWidth="1"/>
    <col min="514" max="514" width="26" customWidth="1"/>
    <col min="515" max="515" width="16.88671875" bestFit="1" customWidth="1"/>
    <col min="516" max="516" width="16.88671875" customWidth="1"/>
    <col min="517" max="517" width="15.88671875" customWidth="1"/>
    <col min="518" max="518" width="16.88671875" bestFit="1" customWidth="1"/>
    <col min="519" max="519" width="17.44140625" customWidth="1"/>
    <col min="520" max="520" width="14.88671875" bestFit="1" customWidth="1"/>
    <col min="521" max="521" width="17.33203125" customWidth="1"/>
    <col min="522" max="522" width="13.88671875" customWidth="1"/>
    <col min="523" max="523" width="17.5546875" bestFit="1" customWidth="1"/>
    <col min="768" max="768" width="69.44140625" customWidth="1"/>
    <col min="769" max="769" width="29.109375" customWidth="1"/>
    <col min="770" max="770" width="26" customWidth="1"/>
    <col min="771" max="771" width="16.88671875" bestFit="1" customWidth="1"/>
    <col min="772" max="772" width="16.88671875" customWidth="1"/>
    <col min="773" max="773" width="15.88671875" customWidth="1"/>
    <col min="774" max="774" width="16.88671875" bestFit="1" customWidth="1"/>
    <col min="775" max="775" width="17.44140625" customWidth="1"/>
    <col min="776" max="776" width="14.88671875" bestFit="1" customWidth="1"/>
    <col min="777" max="777" width="17.33203125" customWidth="1"/>
    <col min="778" max="778" width="13.88671875" customWidth="1"/>
    <col min="779" max="779" width="17.5546875" bestFit="1" customWidth="1"/>
    <col min="1024" max="1024" width="69.44140625" customWidth="1"/>
    <col min="1025" max="1025" width="29.109375" customWidth="1"/>
    <col min="1026" max="1026" width="26" customWidth="1"/>
    <col min="1027" max="1027" width="16.88671875" bestFit="1" customWidth="1"/>
    <col min="1028" max="1028" width="16.88671875" customWidth="1"/>
    <col min="1029" max="1029" width="15.88671875" customWidth="1"/>
    <col min="1030" max="1030" width="16.88671875" bestFit="1" customWidth="1"/>
    <col min="1031" max="1031" width="17.44140625" customWidth="1"/>
    <col min="1032" max="1032" width="14.88671875" bestFit="1" customWidth="1"/>
    <col min="1033" max="1033" width="17.33203125" customWidth="1"/>
    <col min="1034" max="1034" width="13.88671875" customWidth="1"/>
    <col min="1035" max="1035" width="17.5546875" bestFit="1" customWidth="1"/>
    <col min="1280" max="1280" width="69.44140625" customWidth="1"/>
    <col min="1281" max="1281" width="29.109375" customWidth="1"/>
    <col min="1282" max="1282" width="26" customWidth="1"/>
    <col min="1283" max="1283" width="16.88671875" bestFit="1" customWidth="1"/>
    <col min="1284" max="1284" width="16.88671875" customWidth="1"/>
    <col min="1285" max="1285" width="15.88671875" customWidth="1"/>
    <col min="1286" max="1286" width="16.88671875" bestFit="1" customWidth="1"/>
    <col min="1287" max="1287" width="17.44140625" customWidth="1"/>
    <col min="1288" max="1288" width="14.88671875" bestFit="1" customWidth="1"/>
    <col min="1289" max="1289" width="17.33203125" customWidth="1"/>
    <col min="1290" max="1290" width="13.88671875" customWidth="1"/>
    <col min="1291" max="1291" width="17.5546875" bestFit="1" customWidth="1"/>
    <col min="1536" max="1536" width="69.44140625" customWidth="1"/>
    <col min="1537" max="1537" width="29.109375" customWidth="1"/>
    <col min="1538" max="1538" width="26" customWidth="1"/>
    <col min="1539" max="1539" width="16.88671875" bestFit="1" customWidth="1"/>
    <col min="1540" max="1540" width="16.88671875" customWidth="1"/>
    <col min="1541" max="1541" width="15.88671875" customWidth="1"/>
    <col min="1542" max="1542" width="16.88671875" bestFit="1" customWidth="1"/>
    <col min="1543" max="1543" width="17.44140625" customWidth="1"/>
    <col min="1544" max="1544" width="14.88671875" bestFit="1" customWidth="1"/>
    <col min="1545" max="1545" width="17.33203125" customWidth="1"/>
    <col min="1546" max="1546" width="13.88671875" customWidth="1"/>
    <col min="1547" max="1547" width="17.5546875" bestFit="1" customWidth="1"/>
    <col min="1792" max="1792" width="69.44140625" customWidth="1"/>
    <col min="1793" max="1793" width="29.109375" customWidth="1"/>
    <col min="1794" max="1794" width="26" customWidth="1"/>
    <col min="1795" max="1795" width="16.88671875" bestFit="1" customWidth="1"/>
    <col min="1796" max="1796" width="16.88671875" customWidth="1"/>
    <col min="1797" max="1797" width="15.88671875" customWidth="1"/>
    <col min="1798" max="1798" width="16.88671875" bestFit="1" customWidth="1"/>
    <col min="1799" max="1799" width="17.44140625" customWidth="1"/>
    <col min="1800" max="1800" width="14.88671875" bestFit="1" customWidth="1"/>
    <col min="1801" max="1801" width="17.33203125" customWidth="1"/>
    <col min="1802" max="1802" width="13.88671875" customWidth="1"/>
    <col min="1803" max="1803" width="17.5546875" bestFit="1" customWidth="1"/>
    <col min="2048" max="2048" width="69.44140625" customWidth="1"/>
    <col min="2049" max="2049" width="29.109375" customWidth="1"/>
    <col min="2050" max="2050" width="26" customWidth="1"/>
    <col min="2051" max="2051" width="16.88671875" bestFit="1" customWidth="1"/>
    <col min="2052" max="2052" width="16.88671875" customWidth="1"/>
    <col min="2053" max="2053" width="15.88671875" customWidth="1"/>
    <col min="2054" max="2054" width="16.88671875" bestFit="1" customWidth="1"/>
    <col min="2055" max="2055" width="17.44140625" customWidth="1"/>
    <col min="2056" max="2056" width="14.88671875" bestFit="1" customWidth="1"/>
    <col min="2057" max="2057" width="17.33203125" customWidth="1"/>
    <col min="2058" max="2058" width="13.88671875" customWidth="1"/>
    <col min="2059" max="2059" width="17.5546875" bestFit="1" customWidth="1"/>
    <col min="2304" max="2304" width="69.44140625" customWidth="1"/>
    <col min="2305" max="2305" width="29.109375" customWidth="1"/>
    <col min="2306" max="2306" width="26" customWidth="1"/>
    <col min="2307" max="2307" width="16.88671875" bestFit="1" customWidth="1"/>
    <col min="2308" max="2308" width="16.88671875" customWidth="1"/>
    <col min="2309" max="2309" width="15.88671875" customWidth="1"/>
    <col min="2310" max="2310" width="16.88671875" bestFit="1" customWidth="1"/>
    <col min="2311" max="2311" width="17.44140625" customWidth="1"/>
    <col min="2312" max="2312" width="14.88671875" bestFit="1" customWidth="1"/>
    <col min="2313" max="2313" width="17.33203125" customWidth="1"/>
    <col min="2314" max="2314" width="13.88671875" customWidth="1"/>
    <col min="2315" max="2315" width="17.5546875" bestFit="1" customWidth="1"/>
    <col min="2560" max="2560" width="69.44140625" customWidth="1"/>
    <col min="2561" max="2561" width="29.109375" customWidth="1"/>
    <col min="2562" max="2562" width="26" customWidth="1"/>
    <col min="2563" max="2563" width="16.88671875" bestFit="1" customWidth="1"/>
    <col min="2564" max="2564" width="16.88671875" customWidth="1"/>
    <col min="2565" max="2565" width="15.88671875" customWidth="1"/>
    <col min="2566" max="2566" width="16.88671875" bestFit="1" customWidth="1"/>
    <col min="2567" max="2567" width="17.44140625" customWidth="1"/>
    <col min="2568" max="2568" width="14.88671875" bestFit="1" customWidth="1"/>
    <col min="2569" max="2569" width="17.33203125" customWidth="1"/>
    <col min="2570" max="2570" width="13.88671875" customWidth="1"/>
    <col min="2571" max="2571" width="17.5546875" bestFit="1" customWidth="1"/>
    <col min="2816" max="2816" width="69.44140625" customWidth="1"/>
    <col min="2817" max="2817" width="29.109375" customWidth="1"/>
    <col min="2818" max="2818" width="26" customWidth="1"/>
    <col min="2819" max="2819" width="16.88671875" bestFit="1" customWidth="1"/>
    <col min="2820" max="2820" width="16.88671875" customWidth="1"/>
    <col min="2821" max="2821" width="15.88671875" customWidth="1"/>
    <col min="2822" max="2822" width="16.88671875" bestFit="1" customWidth="1"/>
    <col min="2823" max="2823" width="17.44140625" customWidth="1"/>
    <col min="2824" max="2824" width="14.88671875" bestFit="1" customWidth="1"/>
    <col min="2825" max="2825" width="17.33203125" customWidth="1"/>
    <col min="2826" max="2826" width="13.88671875" customWidth="1"/>
    <col min="2827" max="2827" width="17.5546875" bestFit="1" customWidth="1"/>
    <col min="3072" max="3072" width="69.44140625" customWidth="1"/>
    <col min="3073" max="3073" width="29.109375" customWidth="1"/>
    <col min="3074" max="3074" width="26" customWidth="1"/>
    <col min="3075" max="3075" width="16.88671875" bestFit="1" customWidth="1"/>
    <col min="3076" max="3076" width="16.88671875" customWidth="1"/>
    <col min="3077" max="3077" width="15.88671875" customWidth="1"/>
    <col min="3078" max="3078" width="16.88671875" bestFit="1" customWidth="1"/>
    <col min="3079" max="3079" width="17.44140625" customWidth="1"/>
    <col min="3080" max="3080" width="14.88671875" bestFit="1" customWidth="1"/>
    <col min="3081" max="3081" width="17.33203125" customWidth="1"/>
    <col min="3082" max="3082" width="13.88671875" customWidth="1"/>
    <col min="3083" max="3083" width="17.5546875" bestFit="1" customWidth="1"/>
    <col min="3328" max="3328" width="69.44140625" customWidth="1"/>
    <col min="3329" max="3329" width="29.109375" customWidth="1"/>
    <col min="3330" max="3330" width="26" customWidth="1"/>
    <col min="3331" max="3331" width="16.88671875" bestFit="1" customWidth="1"/>
    <col min="3332" max="3332" width="16.88671875" customWidth="1"/>
    <col min="3333" max="3333" width="15.88671875" customWidth="1"/>
    <col min="3334" max="3334" width="16.88671875" bestFit="1" customWidth="1"/>
    <col min="3335" max="3335" width="17.44140625" customWidth="1"/>
    <col min="3336" max="3336" width="14.88671875" bestFit="1" customWidth="1"/>
    <col min="3337" max="3337" width="17.33203125" customWidth="1"/>
    <col min="3338" max="3338" width="13.88671875" customWidth="1"/>
    <col min="3339" max="3339" width="17.5546875" bestFit="1" customWidth="1"/>
    <col min="3584" max="3584" width="69.44140625" customWidth="1"/>
    <col min="3585" max="3585" width="29.109375" customWidth="1"/>
    <col min="3586" max="3586" width="26" customWidth="1"/>
    <col min="3587" max="3587" width="16.88671875" bestFit="1" customWidth="1"/>
    <col min="3588" max="3588" width="16.88671875" customWidth="1"/>
    <col min="3589" max="3589" width="15.88671875" customWidth="1"/>
    <col min="3590" max="3590" width="16.88671875" bestFit="1" customWidth="1"/>
    <col min="3591" max="3591" width="17.44140625" customWidth="1"/>
    <col min="3592" max="3592" width="14.88671875" bestFit="1" customWidth="1"/>
    <col min="3593" max="3593" width="17.33203125" customWidth="1"/>
    <col min="3594" max="3594" width="13.88671875" customWidth="1"/>
    <col min="3595" max="3595" width="17.5546875" bestFit="1" customWidth="1"/>
    <col min="3840" max="3840" width="69.44140625" customWidth="1"/>
    <col min="3841" max="3841" width="29.109375" customWidth="1"/>
    <col min="3842" max="3842" width="26" customWidth="1"/>
    <col min="3843" max="3843" width="16.88671875" bestFit="1" customWidth="1"/>
    <col min="3844" max="3844" width="16.88671875" customWidth="1"/>
    <col min="3845" max="3845" width="15.88671875" customWidth="1"/>
    <col min="3846" max="3846" width="16.88671875" bestFit="1" customWidth="1"/>
    <col min="3847" max="3847" width="17.44140625" customWidth="1"/>
    <col min="3848" max="3848" width="14.88671875" bestFit="1" customWidth="1"/>
    <col min="3849" max="3849" width="17.33203125" customWidth="1"/>
    <col min="3850" max="3850" width="13.88671875" customWidth="1"/>
    <col min="3851" max="3851" width="17.5546875" bestFit="1" customWidth="1"/>
    <col min="4096" max="4096" width="69.44140625" customWidth="1"/>
    <col min="4097" max="4097" width="29.109375" customWidth="1"/>
    <col min="4098" max="4098" width="26" customWidth="1"/>
    <col min="4099" max="4099" width="16.88671875" bestFit="1" customWidth="1"/>
    <col min="4100" max="4100" width="16.88671875" customWidth="1"/>
    <col min="4101" max="4101" width="15.88671875" customWidth="1"/>
    <col min="4102" max="4102" width="16.88671875" bestFit="1" customWidth="1"/>
    <col min="4103" max="4103" width="17.44140625" customWidth="1"/>
    <col min="4104" max="4104" width="14.88671875" bestFit="1" customWidth="1"/>
    <col min="4105" max="4105" width="17.33203125" customWidth="1"/>
    <col min="4106" max="4106" width="13.88671875" customWidth="1"/>
    <col min="4107" max="4107" width="17.5546875" bestFit="1" customWidth="1"/>
    <col min="4352" max="4352" width="69.44140625" customWidth="1"/>
    <col min="4353" max="4353" width="29.109375" customWidth="1"/>
    <col min="4354" max="4354" width="26" customWidth="1"/>
    <col min="4355" max="4355" width="16.88671875" bestFit="1" customWidth="1"/>
    <col min="4356" max="4356" width="16.88671875" customWidth="1"/>
    <col min="4357" max="4357" width="15.88671875" customWidth="1"/>
    <col min="4358" max="4358" width="16.88671875" bestFit="1" customWidth="1"/>
    <col min="4359" max="4359" width="17.44140625" customWidth="1"/>
    <col min="4360" max="4360" width="14.88671875" bestFit="1" customWidth="1"/>
    <col min="4361" max="4361" width="17.33203125" customWidth="1"/>
    <col min="4362" max="4362" width="13.88671875" customWidth="1"/>
    <col min="4363" max="4363" width="17.5546875" bestFit="1" customWidth="1"/>
    <col min="4608" max="4608" width="69.44140625" customWidth="1"/>
    <col min="4609" max="4609" width="29.109375" customWidth="1"/>
    <col min="4610" max="4610" width="26" customWidth="1"/>
    <col min="4611" max="4611" width="16.88671875" bestFit="1" customWidth="1"/>
    <col min="4612" max="4612" width="16.88671875" customWidth="1"/>
    <col min="4613" max="4613" width="15.88671875" customWidth="1"/>
    <col min="4614" max="4614" width="16.88671875" bestFit="1" customWidth="1"/>
    <col min="4615" max="4615" width="17.44140625" customWidth="1"/>
    <col min="4616" max="4616" width="14.88671875" bestFit="1" customWidth="1"/>
    <col min="4617" max="4617" width="17.33203125" customWidth="1"/>
    <col min="4618" max="4618" width="13.88671875" customWidth="1"/>
    <col min="4619" max="4619" width="17.5546875" bestFit="1" customWidth="1"/>
    <col min="4864" max="4864" width="69.44140625" customWidth="1"/>
    <col min="4865" max="4865" width="29.109375" customWidth="1"/>
    <col min="4866" max="4866" width="26" customWidth="1"/>
    <col min="4867" max="4867" width="16.88671875" bestFit="1" customWidth="1"/>
    <col min="4868" max="4868" width="16.88671875" customWidth="1"/>
    <col min="4869" max="4869" width="15.88671875" customWidth="1"/>
    <col min="4870" max="4870" width="16.88671875" bestFit="1" customWidth="1"/>
    <col min="4871" max="4871" width="17.44140625" customWidth="1"/>
    <col min="4872" max="4872" width="14.88671875" bestFit="1" customWidth="1"/>
    <col min="4873" max="4873" width="17.33203125" customWidth="1"/>
    <col min="4874" max="4874" width="13.88671875" customWidth="1"/>
    <col min="4875" max="4875" width="17.5546875" bestFit="1" customWidth="1"/>
    <col min="5120" max="5120" width="69.44140625" customWidth="1"/>
    <col min="5121" max="5121" width="29.109375" customWidth="1"/>
    <col min="5122" max="5122" width="26" customWidth="1"/>
    <col min="5123" max="5123" width="16.88671875" bestFit="1" customWidth="1"/>
    <col min="5124" max="5124" width="16.88671875" customWidth="1"/>
    <col min="5125" max="5125" width="15.88671875" customWidth="1"/>
    <col min="5126" max="5126" width="16.88671875" bestFit="1" customWidth="1"/>
    <col min="5127" max="5127" width="17.44140625" customWidth="1"/>
    <col min="5128" max="5128" width="14.88671875" bestFit="1" customWidth="1"/>
    <col min="5129" max="5129" width="17.33203125" customWidth="1"/>
    <col min="5130" max="5130" width="13.88671875" customWidth="1"/>
    <col min="5131" max="5131" width="17.5546875" bestFit="1" customWidth="1"/>
    <col min="5376" max="5376" width="69.44140625" customWidth="1"/>
    <col min="5377" max="5377" width="29.109375" customWidth="1"/>
    <col min="5378" max="5378" width="26" customWidth="1"/>
    <col min="5379" max="5379" width="16.88671875" bestFit="1" customWidth="1"/>
    <col min="5380" max="5380" width="16.88671875" customWidth="1"/>
    <col min="5381" max="5381" width="15.88671875" customWidth="1"/>
    <col min="5382" max="5382" width="16.88671875" bestFit="1" customWidth="1"/>
    <col min="5383" max="5383" width="17.44140625" customWidth="1"/>
    <col min="5384" max="5384" width="14.88671875" bestFit="1" customWidth="1"/>
    <col min="5385" max="5385" width="17.33203125" customWidth="1"/>
    <col min="5386" max="5386" width="13.88671875" customWidth="1"/>
    <col min="5387" max="5387" width="17.5546875" bestFit="1" customWidth="1"/>
    <col min="5632" max="5632" width="69.44140625" customWidth="1"/>
    <col min="5633" max="5633" width="29.109375" customWidth="1"/>
    <col min="5634" max="5634" width="26" customWidth="1"/>
    <col min="5635" max="5635" width="16.88671875" bestFit="1" customWidth="1"/>
    <col min="5636" max="5636" width="16.88671875" customWidth="1"/>
    <col min="5637" max="5637" width="15.88671875" customWidth="1"/>
    <col min="5638" max="5638" width="16.88671875" bestFit="1" customWidth="1"/>
    <col min="5639" max="5639" width="17.44140625" customWidth="1"/>
    <col min="5640" max="5640" width="14.88671875" bestFit="1" customWidth="1"/>
    <col min="5641" max="5641" width="17.33203125" customWidth="1"/>
    <col min="5642" max="5642" width="13.88671875" customWidth="1"/>
    <col min="5643" max="5643" width="17.5546875" bestFit="1" customWidth="1"/>
    <col min="5888" max="5888" width="69.44140625" customWidth="1"/>
    <col min="5889" max="5889" width="29.109375" customWidth="1"/>
    <col min="5890" max="5890" width="26" customWidth="1"/>
    <col min="5891" max="5891" width="16.88671875" bestFit="1" customWidth="1"/>
    <col min="5892" max="5892" width="16.88671875" customWidth="1"/>
    <col min="5893" max="5893" width="15.88671875" customWidth="1"/>
    <col min="5894" max="5894" width="16.88671875" bestFit="1" customWidth="1"/>
    <col min="5895" max="5895" width="17.44140625" customWidth="1"/>
    <col min="5896" max="5896" width="14.88671875" bestFit="1" customWidth="1"/>
    <col min="5897" max="5897" width="17.33203125" customWidth="1"/>
    <col min="5898" max="5898" width="13.88671875" customWidth="1"/>
    <col min="5899" max="5899" width="17.5546875" bestFit="1" customWidth="1"/>
    <col min="6144" max="6144" width="69.44140625" customWidth="1"/>
    <col min="6145" max="6145" width="29.109375" customWidth="1"/>
    <col min="6146" max="6146" width="26" customWidth="1"/>
    <col min="6147" max="6147" width="16.88671875" bestFit="1" customWidth="1"/>
    <col min="6148" max="6148" width="16.88671875" customWidth="1"/>
    <col min="6149" max="6149" width="15.88671875" customWidth="1"/>
    <col min="6150" max="6150" width="16.88671875" bestFit="1" customWidth="1"/>
    <col min="6151" max="6151" width="17.44140625" customWidth="1"/>
    <col min="6152" max="6152" width="14.88671875" bestFit="1" customWidth="1"/>
    <col min="6153" max="6153" width="17.33203125" customWidth="1"/>
    <col min="6154" max="6154" width="13.88671875" customWidth="1"/>
    <col min="6155" max="6155" width="17.5546875" bestFit="1" customWidth="1"/>
    <col min="6400" max="6400" width="69.44140625" customWidth="1"/>
    <col min="6401" max="6401" width="29.109375" customWidth="1"/>
    <col min="6402" max="6402" width="26" customWidth="1"/>
    <col min="6403" max="6403" width="16.88671875" bestFit="1" customWidth="1"/>
    <col min="6404" max="6404" width="16.88671875" customWidth="1"/>
    <col min="6405" max="6405" width="15.88671875" customWidth="1"/>
    <col min="6406" max="6406" width="16.88671875" bestFit="1" customWidth="1"/>
    <col min="6407" max="6407" width="17.44140625" customWidth="1"/>
    <col min="6408" max="6408" width="14.88671875" bestFit="1" customWidth="1"/>
    <col min="6409" max="6409" width="17.33203125" customWidth="1"/>
    <col min="6410" max="6410" width="13.88671875" customWidth="1"/>
    <col min="6411" max="6411" width="17.5546875" bestFit="1" customWidth="1"/>
    <col min="6656" max="6656" width="69.44140625" customWidth="1"/>
    <col min="6657" max="6657" width="29.109375" customWidth="1"/>
    <col min="6658" max="6658" width="26" customWidth="1"/>
    <col min="6659" max="6659" width="16.88671875" bestFit="1" customWidth="1"/>
    <col min="6660" max="6660" width="16.88671875" customWidth="1"/>
    <col min="6661" max="6661" width="15.88671875" customWidth="1"/>
    <col min="6662" max="6662" width="16.88671875" bestFit="1" customWidth="1"/>
    <col min="6663" max="6663" width="17.44140625" customWidth="1"/>
    <col min="6664" max="6664" width="14.88671875" bestFit="1" customWidth="1"/>
    <col min="6665" max="6665" width="17.33203125" customWidth="1"/>
    <col min="6666" max="6666" width="13.88671875" customWidth="1"/>
    <col min="6667" max="6667" width="17.5546875" bestFit="1" customWidth="1"/>
    <col min="6912" max="6912" width="69.44140625" customWidth="1"/>
    <col min="6913" max="6913" width="29.109375" customWidth="1"/>
    <col min="6914" max="6914" width="26" customWidth="1"/>
    <col min="6915" max="6915" width="16.88671875" bestFit="1" customWidth="1"/>
    <col min="6916" max="6916" width="16.88671875" customWidth="1"/>
    <col min="6917" max="6917" width="15.88671875" customWidth="1"/>
    <col min="6918" max="6918" width="16.88671875" bestFit="1" customWidth="1"/>
    <col min="6919" max="6919" width="17.44140625" customWidth="1"/>
    <col min="6920" max="6920" width="14.88671875" bestFit="1" customWidth="1"/>
    <col min="6921" max="6921" width="17.33203125" customWidth="1"/>
    <col min="6922" max="6922" width="13.88671875" customWidth="1"/>
    <col min="6923" max="6923" width="17.5546875" bestFit="1" customWidth="1"/>
    <col min="7168" max="7168" width="69.44140625" customWidth="1"/>
    <col min="7169" max="7169" width="29.109375" customWidth="1"/>
    <col min="7170" max="7170" width="26" customWidth="1"/>
    <col min="7171" max="7171" width="16.88671875" bestFit="1" customWidth="1"/>
    <col min="7172" max="7172" width="16.88671875" customWidth="1"/>
    <col min="7173" max="7173" width="15.88671875" customWidth="1"/>
    <col min="7174" max="7174" width="16.88671875" bestFit="1" customWidth="1"/>
    <col min="7175" max="7175" width="17.44140625" customWidth="1"/>
    <col min="7176" max="7176" width="14.88671875" bestFit="1" customWidth="1"/>
    <col min="7177" max="7177" width="17.33203125" customWidth="1"/>
    <col min="7178" max="7178" width="13.88671875" customWidth="1"/>
    <col min="7179" max="7179" width="17.5546875" bestFit="1" customWidth="1"/>
    <col min="7424" max="7424" width="69.44140625" customWidth="1"/>
    <col min="7425" max="7425" width="29.109375" customWidth="1"/>
    <col min="7426" max="7426" width="26" customWidth="1"/>
    <col min="7427" max="7427" width="16.88671875" bestFit="1" customWidth="1"/>
    <col min="7428" max="7428" width="16.88671875" customWidth="1"/>
    <col min="7429" max="7429" width="15.88671875" customWidth="1"/>
    <col min="7430" max="7430" width="16.88671875" bestFit="1" customWidth="1"/>
    <col min="7431" max="7431" width="17.44140625" customWidth="1"/>
    <col min="7432" max="7432" width="14.88671875" bestFit="1" customWidth="1"/>
    <col min="7433" max="7433" width="17.33203125" customWidth="1"/>
    <col min="7434" max="7434" width="13.88671875" customWidth="1"/>
    <col min="7435" max="7435" width="17.5546875" bestFit="1" customWidth="1"/>
    <col min="7680" max="7680" width="69.44140625" customWidth="1"/>
    <col min="7681" max="7681" width="29.109375" customWidth="1"/>
    <col min="7682" max="7682" width="26" customWidth="1"/>
    <col min="7683" max="7683" width="16.88671875" bestFit="1" customWidth="1"/>
    <col min="7684" max="7684" width="16.88671875" customWidth="1"/>
    <col min="7685" max="7685" width="15.88671875" customWidth="1"/>
    <col min="7686" max="7686" width="16.88671875" bestFit="1" customWidth="1"/>
    <col min="7687" max="7687" width="17.44140625" customWidth="1"/>
    <col min="7688" max="7688" width="14.88671875" bestFit="1" customWidth="1"/>
    <col min="7689" max="7689" width="17.33203125" customWidth="1"/>
    <col min="7690" max="7690" width="13.88671875" customWidth="1"/>
    <col min="7691" max="7691" width="17.5546875" bestFit="1" customWidth="1"/>
    <col min="7936" max="7936" width="69.44140625" customWidth="1"/>
    <col min="7937" max="7937" width="29.109375" customWidth="1"/>
    <col min="7938" max="7938" width="26" customWidth="1"/>
    <col min="7939" max="7939" width="16.88671875" bestFit="1" customWidth="1"/>
    <col min="7940" max="7940" width="16.88671875" customWidth="1"/>
    <col min="7941" max="7941" width="15.88671875" customWidth="1"/>
    <col min="7942" max="7942" width="16.88671875" bestFit="1" customWidth="1"/>
    <col min="7943" max="7943" width="17.44140625" customWidth="1"/>
    <col min="7944" max="7944" width="14.88671875" bestFit="1" customWidth="1"/>
    <col min="7945" max="7945" width="17.33203125" customWidth="1"/>
    <col min="7946" max="7946" width="13.88671875" customWidth="1"/>
    <col min="7947" max="7947" width="17.5546875" bestFit="1" customWidth="1"/>
    <col min="8192" max="8192" width="69.44140625" customWidth="1"/>
    <col min="8193" max="8193" width="29.109375" customWidth="1"/>
    <col min="8194" max="8194" width="26" customWidth="1"/>
    <col min="8195" max="8195" width="16.88671875" bestFit="1" customWidth="1"/>
    <col min="8196" max="8196" width="16.88671875" customWidth="1"/>
    <col min="8197" max="8197" width="15.88671875" customWidth="1"/>
    <col min="8198" max="8198" width="16.88671875" bestFit="1" customWidth="1"/>
    <col min="8199" max="8199" width="17.44140625" customWidth="1"/>
    <col min="8200" max="8200" width="14.88671875" bestFit="1" customWidth="1"/>
    <col min="8201" max="8201" width="17.33203125" customWidth="1"/>
    <col min="8202" max="8202" width="13.88671875" customWidth="1"/>
    <col min="8203" max="8203" width="17.5546875" bestFit="1" customWidth="1"/>
    <col min="8448" max="8448" width="69.44140625" customWidth="1"/>
    <col min="8449" max="8449" width="29.109375" customWidth="1"/>
    <col min="8450" max="8450" width="26" customWidth="1"/>
    <col min="8451" max="8451" width="16.88671875" bestFit="1" customWidth="1"/>
    <col min="8452" max="8452" width="16.88671875" customWidth="1"/>
    <col min="8453" max="8453" width="15.88671875" customWidth="1"/>
    <col min="8454" max="8454" width="16.88671875" bestFit="1" customWidth="1"/>
    <col min="8455" max="8455" width="17.44140625" customWidth="1"/>
    <col min="8456" max="8456" width="14.88671875" bestFit="1" customWidth="1"/>
    <col min="8457" max="8457" width="17.33203125" customWidth="1"/>
    <col min="8458" max="8458" width="13.88671875" customWidth="1"/>
    <col min="8459" max="8459" width="17.5546875" bestFit="1" customWidth="1"/>
    <col min="8704" max="8704" width="69.44140625" customWidth="1"/>
    <col min="8705" max="8705" width="29.109375" customWidth="1"/>
    <col min="8706" max="8706" width="26" customWidth="1"/>
    <col min="8707" max="8707" width="16.88671875" bestFit="1" customWidth="1"/>
    <col min="8708" max="8708" width="16.88671875" customWidth="1"/>
    <col min="8709" max="8709" width="15.88671875" customWidth="1"/>
    <col min="8710" max="8710" width="16.88671875" bestFit="1" customWidth="1"/>
    <col min="8711" max="8711" width="17.44140625" customWidth="1"/>
    <col min="8712" max="8712" width="14.88671875" bestFit="1" customWidth="1"/>
    <col min="8713" max="8713" width="17.33203125" customWidth="1"/>
    <col min="8714" max="8714" width="13.88671875" customWidth="1"/>
    <col min="8715" max="8715" width="17.5546875" bestFit="1" customWidth="1"/>
    <col min="8960" max="8960" width="69.44140625" customWidth="1"/>
    <col min="8961" max="8961" width="29.109375" customWidth="1"/>
    <col min="8962" max="8962" width="26" customWidth="1"/>
    <col min="8963" max="8963" width="16.88671875" bestFit="1" customWidth="1"/>
    <col min="8964" max="8964" width="16.88671875" customWidth="1"/>
    <col min="8965" max="8965" width="15.88671875" customWidth="1"/>
    <col min="8966" max="8966" width="16.88671875" bestFit="1" customWidth="1"/>
    <col min="8967" max="8967" width="17.44140625" customWidth="1"/>
    <col min="8968" max="8968" width="14.88671875" bestFit="1" customWidth="1"/>
    <col min="8969" max="8969" width="17.33203125" customWidth="1"/>
    <col min="8970" max="8970" width="13.88671875" customWidth="1"/>
    <col min="8971" max="8971" width="17.5546875" bestFit="1" customWidth="1"/>
    <col min="9216" max="9216" width="69.44140625" customWidth="1"/>
    <col min="9217" max="9217" width="29.109375" customWidth="1"/>
    <col min="9218" max="9218" width="26" customWidth="1"/>
    <col min="9219" max="9219" width="16.88671875" bestFit="1" customWidth="1"/>
    <col min="9220" max="9220" width="16.88671875" customWidth="1"/>
    <col min="9221" max="9221" width="15.88671875" customWidth="1"/>
    <col min="9222" max="9222" width="16.88671875" bestFit="1" customWidth="1"/>
    <col min="9223" max="9223" width="17.44140625" customWidth="1"/>
    <col min="9224" max="9224" width="14.88671875" bestFit="1" customWidth="1"/>
    <col min="9225" max="9225" width="17.33203125" customWidth="1"/>
    <col min="9226" max="9226" width="13.88671875" customWidth="1"/>
    <col min="9227" max="9227" width="17.5546875" bestFit="1" customWidth="1"/>
    <col min="9472" max="9472" width="69.44140625" customWidth="1"/>
    <col min="9473" max="9473" width="29.109375" customWidth="1"/>
    <col min="9474" max="9474" width="26" customWidth="1"/>
    <col min="9475" max="9475" width="16.88671875" bestFit="1" customWidth="1"/>
    <col min="9476" max="9476" width="16.88671875" customWidth="1"/>
    <col min="9477" max="9477" width="15.88671875" customWidth="1"/>
    <col min="9478" max="9478" width="16.88671875" bestFit="1" customWidth="1"/>
    <col min="9479" max="9479" width="17.44140625" customWidth="1"/>
    <col min="9480" max="9480" width="14.88671875" bestFit="1" customWidth="1"/>
    <col min="9481" max="9481" width="17.33203125" customWidth="1"/>
    <col min="9482" max="9482" width="13.88671875" customWidth="1"/>
    <col min="9483" max="9483" width="17.5546875" bestFit="1" customWidth="1"/>
    <col min="9728" max="9728" width="69.44140625" customWidth="1"/>
    <col min="9729" max="9729" width="29.109375" customWidth="1"/>
    <col min="9730" max="9730" width="26" customWidth="1"/>
    <col min="9731" max="9731" width="16.88671875" bestFit="1" customWidth="1"/>
    <col min="9732" max="9732" width="16.88671875" customWidth="1"/>
    <col min="9733" max="9733" width="15.88671875" customWidth="1"/>
    <col min="9734" max="9734" width="16.88671875" bestFit="1" customWidth="1"/>
    <col min="9735" max="9735" width="17.44140625" customWidth="1"/>
    <col min="9736" max="9736" width="14.88671875" bestFit="1" customWidth="1"/>
    <col min="9737" max="9737" width="17.33203125" customWidth="1"/>
    <col min="9738" max="9738" width="13.88671875" customWidth="1"/>
    <col min="9739" max="9739" width="17.5546875" bestFit="1" customWidth="1"/>
    <col min="9984" max="9984" width="69.44140625" customWidth="1"/>
    <col min="9985" max="9985" width="29.109375" customWidth="1"/>
    <col min="9986" max="9986" width="26" customWidth="1"/>
    <col min="9987" max="9987" width="16.88671875" bestFit="1" customWidth="1"/>
    <col min="9988" max="9988" width="16.88671875" customWidth="1"/>
    <col min="9989" max="9989" width="15.88671875" customWidth="1"/>
    <col min="9990" max="9990" width="16.88671875" bestFit="1" customWidth="1"/>
    <col min="9991" max="9991" width="17.44140625" customWidth="1"/>
    <col min="9992" max="9992" width="14.88671875" bestFit="1" customWidth="1"/>
    <col min="9993" max="9993" width="17.33203125" customWidth="1"/>
    <col min="9994" max="9994" width="13.88671875" customWidth="1"/>
    <col min="9995" max="9995" width="17.5546875" bestFit="1" customWidth="1"/>
    <col min="10240" max="10240" width="69.44140625" customWidth="1"/>
    <col min="10241" max="10241" width="29.109375" customWidth="1"/>
    <col min="10242" max="10242" width="26" customWidth="1"/>
    <col min="10243" max="10243" width="16.88671875" bestFit="1" customWidth="1"/>
    <col min="10244" max="10244" width="16.88671875" customWidth="1"/>
    <col min="10245" max="10245" width="15.88671875" customWidth="1"/>
    <col min="10246" max="10246" width="16.88671875" bestFit="1" customWidth="1"/>
    <col min="10247" max="10247" width="17.44140625" customWidth="1"/>
    <col min="10248" max="10248" width="14.88671875" bestFit="1" customWidth="1"/>
    <col min="10249" max="10249" width="17.33203125" customWidth="1"/>
    <col min="10250" max="10250" width="13.88671875" customWidth="1"/>
    <col min="10251" max="10251" width="17.5546875" bestFit="1" customWidth="1"/>
    <col min="10496" max="10496" width="69.44140625" customWidth="1"/>
    <col min="10497" max="10497" width="29.109375" customWidth="1"/>
    <col min="10498" max="10498" width="26" customWidth="1"/>
    <col min="10499" max="10499" width="16.88671875" bestFit="1" customWidth="1"/>
    <col min="10500" max="10500" width="16.88671875" customWidth="1"/>
    <col min="10501" max="10501" width="15.88671875" customWidth="1"/>
    <col min="10502" max="10502" width="16.88671875" bestFit="1" customWidth="1"/>
    <col min="10503" max="10503" width="17.44140625" customWidth="1"/>
    <col min="10504" max="10504" width="14.88671875" bestFit="1" customWidth="1"/>
    <col min="10505" max="10505" width="17.33203125" customWidth="1"/>
    <col min="10506" max="10506" width="13.88671875" customWidth="1"/>
    <col min="10507" max="10507" width="17.5546875" bestFit="1" customWidth="1"/>
    <col min="10752" max="10752" width="69.44140625" customWidth="1"/>
    <col min="10753" max="10753" width="29.109375" customWidth="1"/>
    <col min="10754" max="10754" width="26" customWidth="1"/>
    <col min="10755" max="10755" width="16.88671875" bestFit="1" customWidth="1"/>
    <col min="10756" max="10756" width="16.88671875" customWidth="1"/>
    <col min="10757" max="10757" width="15.88671875" customWidth="1"/>
    <col min="10758" max="10758" width="16.88671875" bestFit="1" customWidth="1"/>
    <col min="10759" max="10759" width="17.44140625" customWidth="1"/>
    <col min="10760" max="10760" width="14.88671875" bestFit="1" customWidth="1"/>
    <col min="10761" max="10761" width="17.33203125" customWidth="1"/>
    <col min="10762" max="10762" width="13.88671875" customWidth="1"/>
    <col min="10763" max="10763" width="17.5546875" bestFit="1" customWidth="1"/>
    <col min="11008" max="11008" width="69.44140625" customWidth="1"/>
    <col min="11009" max="11009" width="29.109375" customWidth="1"/>
    <col min="11010" max="11010" width="26" customWidth="1"/>
    <col min="11011" max="11011" width="16.88671875" bestFit="1" customWidth="1"/>
    <col min="11012" max="11012" width="16.88671875" customWidth="1"/>
    <col min="11013" max="11013" width="15.88671875" customWidth="1"/>
    <col min="11014" max="11014" width="16.88671875" bestFit="1" customWidth="1"/>
    <col min="11015" max="11015" width="17.44140625" customWidth="1"/>
    <col min="11016" max="11016" width="14.88671875" bestFit="1" customWidth="1"/>
    <col min="11017" max="11017" width="17.33203125" customWidth="1"/>
    <col min="11018" max="11018" width="13.88671875" customWidth="1"/>
    <col min="11019" max="11019" width="17.5546875" bestFit="1" customWidth="1"/>
    <col min="11264" max="11264" width="69.44140625" customWidth="1"/>
    <col min="11265" max="11265" width="29.109375" customWidth="1"/>
    <col min="11266" max="11266" width="26" customWidth="1"/>
    <col min="11267" max="11267" width="16.88671875" bestFit="1" customWidth="1"/>
    <col min="11268" max="11268" width="16.88671875" customWidth="1"/>
    <col min="11269" max="11269" width="15.88671875" customWidth="1"/>
    <col min="11270" max="11270" width="16.88671875" bestFit="1" customWidth="1"/>
    <col min="11271" max="11271" width="17.44140625" customWidth="1"/>
    <col min="11272" max="11272" width="14.88671875" bestFit="1" customWidth="1"/>
    <col min="11273" max="11273" width="17.33203125" customWidth="1"/>
    <col min="11274" max="11274" width="13.88671875" customWidth="1"/>
    <col min="11275" max="11275" width="17.5546875" bestFit="1" customWidth="1"/>
    <col min="11520" max="11520" width="69.44140625" customWidth="1"/>
    <col min="11521" max="11521" width="29.109375" customWidth="1"/>
    <col min="11522" max="11522" width="26" customWidth="1"/>
    <col min="11523" max="11523" width="16.88671875" bestFit="1" customWidth="1"/>
    <col min="11524" max="11524" width="16.88671875" customWidth="1"/>
    <col min="11525" max="11525" width="15.88671875" customWidth="1"/>
    <col min="11526" max="11526" width="16.88671875" bestFit="1" customWidth="1"/>
    <col min="11527" max="11527" width="17.44140625" customWidth="1"/>
    <col min="11528" max="11528" width="14.88671875" bestFit="1" customWidth="1"/>
    <col min="11529" max="11529" width="17.33203125" customWidth="1"/>
    <col min="11530" max="11530" width="13.88671875" customWidth="1"/>
    <col min="11531" max="11531" width="17.5546875" bestFit="1" customWidth="1"/>
    <col min="11776" max="11776" width="69.44140625" customWidth="1"/>
    <col min="11777" max="11777" width="29.109375" customWidth="1"/>
    <col min="11778" max="11778" width="26" customWidth="1"/>
    <col min="11779" max="11779" width="16.88671875" bestFit="1" customWidth="1"/>
    <col min="11780" max="11780" width="16.88671875" customWidth="1"/>
    <col min="11781" max="11781" width="15.88671875" customWidth="1"/>
    <col min="11782" max="11782" width="16.88671875" bestFit="1" customWidth="1"/>
    <col min="11783" max="11783" width="17.44140625" customWidth="1"/>
    <col min="11784" max="11784" width="14.88671875" bestFit="1" customWidth="1"/>
    <col min="11785" max="11785" width="17.33203125" customWidth="1"/>
    <col min="11786" max="11786" width="13.88671875" customWidth="1"/>
    <col min="11787" max="11787" width="17.5546875" bestFit="1" customWidth="1"/>
    <col min="12032" max="12032" width="69.44140625" customWidth="1"/>
    <col min="12033" max="12033" width="29.109375" customWidth="1"/>
    <col min="12034" max="12034" width="26" customWidth="1"/>
    <col min="12035" max="12035" width="16.88671875" bestFit="1" customWidth="1"/>
    <col min="12036" max="12036" width="16.88671875" customWidth="1"/>
    <col min="12037" max="12037" width="15.88671875" customWidth="1"/>
    <col min="12038" max="12038" width="16.88671875" bestFit="1" customWidth="1"/>
    <col min="12039" max="12039" width="17.44140625" customWidth="1"/>
    <col min="12040" max="12040" width="14.88671875" bestFit="1" customWidth="1"/>
    <col min="12041" max="12041" width="17.33203125" customWidth="1"/>
    <col min="12042" max="12042" width="13.88671875" customWidth="1"/>
    <col min="12043" max="12043" width="17.5546875" bestFit="1" customWidth="1"/>
    <col min="12288" max="12288" width="69.44140625" customWidth="1"/>
    <col min="12289" max="12289" width="29.109375" customWidth="1"/>
    <col min="12290" max="12290" width="26" customWidth="1"/>
    <col min="12291" max="12291" width="16.88671875" bestFit="1" customWidth="1"/>
    <col min="12292" max="12292" width="16.88671875" customWidth="1"/>
    <col min="12293" max="12293" width="15.88671875" customWidth="1"/>
    <col min="12294" max="12294" width="16.88671875" bestFit="1" customWidth="1"/>
    <col min="12295" max="12295" width="17.44140625" customWidth="1"/>
    <col min="12296" max="12296" width="14.88671875" bestFit="1" customWidth="1"/>
    <col min="12297" max="12297" width="17.33203125" customWidth="1"/>
    <col min="12298" max="12298" width="13.88671875" customWidth="1"/>
    <col min="12299" max="12299" width="17.5546875" bestFit="1" customWidth="1"/>
    <col min="12544" max="12544" width="69.44140625" customWidth="1"/>
    <col min="12545" max="12545" width="29.109375" customWidth="1"/>
    <col min="12546" max="12546" width="26" customWidth="1"/>
    <col min="12547" max="12547" width="16.88671875" bestFit="1" customWidth="1"/>
    <col min="12548" max="12548" width="16.88671875" customWidth="1"/>
    <col min="12549" max="12549" width="15.88671875" customWidth="1"/>
    <col min="12550" max="12550" width="16.88671875" bestFit="1" customWidth="1"/>
    <col min="12551" max="12551" width="17.44140625" customWidth="1"/>
    <col min="12552" max="12552" width="14.88671875" bestFit="1" customWidth="1"/>
    <col min="12553" max="12553" width="17.33203125" customWidth="1"/>
    <col min="12554" max="12554" width="13.88671875" customWidth="1"/>
    <col min="12555" max="12555" width="17.5546875" bestFit="1" customWidth="1"/>
    <col min="12800" max="12800" width="69.44140625" customWidth="1"/>
    <col min="12801" max="12801" width="29.109375" customWidth="1"/>
    <col min="12802" max="12802" width="26" customWidth="1"/>
    <col min="12803" max="12803" width="16.88671875" bestFit="1" customWidth="1"/>
    <col min="12804" max="12804" width="16.88671875" customWidth="1"/>
    <col min="12805" max="12805" width="15.88671875" customWidth="1"/>
    <col min="12806" max="12806" width="16.88671875" bestFit="1" customWidth="1"/>
    <col min="12807" max="12807" width="17.44140625" customWidth="1"/>
    <col min="12808" max="12808" width="14.88671875" bestFit="1" customWidth="1"/>
    <col min="12809" max="12809" width="17.33203125" customWidth="1"/>
    <col min="12810" max="12810" width="13.88671875" customWidth="1"/>
    <col min="12811" max="12811" width="17.5546875" bestFit="1" customWidth="1"/>
    <col min="13056" max="13056" width="69.44140625" customWidth="1"/>
    <col min="13057" max="13057" width="29.109375" customWidth="1"/>
    <col min="13058" max="13058" width="26" customWidth="1"/>
    <col min="13059" max="13059" width="16.88671875" bestFit="1" customWidth="1"/>
    <col min="13060" max="13060" width="16.88671875" customWidth="1"/>
    <col min="13061" max="13061" width="15.88671875" customWidth="1"/>
    <col min="13062" max="13062" width="16.88671875" bestFit="1" customWidth="1"/>
    <col min="13063" max="13063" width="17.44140625" customWidth="1"/>
    <col min="13064" max="13064" width="14.88671875" bestFit="1" customWidth="1"/>
    <col min="13065" max="13065" width="17.33203125" customWidth="1"/>
    <col min="13066" max="13066" width="13.88671875" customWidth="1"/>
    <col min="13067" max="13067" width="17.5546875" bestFit="1" customWidth="1"/>
    <col min="13312" max="13312" width="69.44140625" customWidth="1"/>
    <col min="13313" max="13313" width="29.109375" customWidth="1"/>
    <col min="13314" max="13314" width="26" customWidth="1"/>
    <col min="13315" max="13315" width="16.88671875" bestFit="1" customWidth="1"/>
    <col min="13316" max="13316" width="16.88671875" customWidth="1"/>
    <col min="13317" max="13317" width="15.88671875" customWidth="1"/>
    <col min="13318" max="13318" width="16.88671875" bestFit="1" customWidth="1"/>
    <col min="13319" max="13319" width="17.44140625" customWidth="1"/>
    <col min="13320" max="13320" width="14.88671875" bestFit="1" customWidth="1"/>
    <col min="13321" max="13321" width="17.33203125" customWidth="1"/>
    <col min="13322" max="13322" width="13.88671875" customWidth="1"/>
    <col min="13323" max="13323" width="17.5546875" bestFit="1" customWidth="1"/>
    <col min="13568" max="13568" width="69.44140625" customWidth="1"/>
    <col min="13569" max="13569" width="29.109375" customWidth="1"/>
    <col min="13570" max="13570" width="26" customWidth="1"/>
    <col min="13571" max="13571" width="16.88671875" bestFit="1" customWidth="1"/>
    <col min="13572" max="13572" width="16.88671875" customWidth="1"/>
    <col min="13573" max="13573" width="15.88671875" customWidth="1"/>
    <col min="13574" max="13574" width="16.88671875" bestFit="1" customWidth="1"/>
    <col min="13575" max="13575" width="17.44140625" customWidth="1"/>
    <col min="13576" max="13576" width="14.88671875" bestFit="1" customWidth="1"/>
    <col min="13577" max="13577" width="17.33203125" customWidth="1"/>
    <col min="13578" max="13578" width="13.88671875" customWidth="1"/>
    <col min="13579" max="13579" width="17.5546875" bestFit="1" customWidth="1"/>
    <col min="13824" max="13824" width="69.44140625" customWidth="1"/>
    <col min="13825" max="13825" width="29.109375" customWidth="1"/>
    <col min="13826" max="13826" width="26" customWidth="1"/>
    <col min="13827" max="13827" width="16.88671875" bestFit="1" customWidth="1"/>
    <col min="13828" max="13828" width="16.88671875" customWidth="1"/>
    <col min="13829" max="13829" width="15.88671875" customWidth="1"/>
    <col min="13830" max="13830" width="16.88671875" bestFit="1" customWidth="1"/>
    <col min="13831" max="13831" width="17.44140625" customWidth="1"/>
    <col min="13832" max="13832" width="14.88671875" bestFit="1" customWidth="1"/>
    <col min="13833" max="13833" width="17.33203125" customWidth="1"/>
    <col min="13834" max="13834" width="13.88671875" customWidth="1"/>
    <col min="13835" max="13835" width="17.5546875" bestFit="1" customWidth="1"/>
    <col min="14080" max="14080" width="69.44140625" customWidth="1"/>
    <col min="14081" max="14081" width="29.109375" customWidth="1"/>
    <col min="14082" max="14082" width="26" customWidth="1"/>
    <col min="14083" max="14083" width="16.88671875" bestFit="1" customWidth="1"/>
    <col min="14084" max="14084" width="16.88671875" customWidth="1"/>
    <col min="14085" max="14085" width="15.88671875" customWidth="1"/>
    <col min="14086" max="14086" width="16.88671875" bestFit="1" customWidth="1"/>
    <col min="14087" max="14087" width="17.44140625" customWidth="1"/>
    <col min="14088" max="14088" width="14.88671875" bestFit="1" customWidth="1"/>
    <col min="14089" max="14089" width="17.33203125" customWidth="1"/>
    <col min="14090" max="14090" width="13.88671875" customWidth="1"/>
    <col min="14091" max="14091" width="17.5546875" bestFit="1" customWidth="1"/>
    <col min="14336" max="14336" width="69.44140625" customWidth="1"/>
    <col min="14337" max="14337" width="29.109375" customWidth="1"/>
    <col min="14338" max="14338" width="26" customWidth="1"/>
    <col min="14339" max="14339" width="16.88671875" bestFit="1" customWidth="1"/>
    <col min="14340" max="14340" width="16.88671875" customWidth="1"/>
    <col min="14341" max="14341" width="15.88671875" customWidth="1"/>
    <col min="14342" max="14342" width="16.88671875" bestFit="1" customWidth="1"/>
    <col min="14343" max="14343" width="17.44140625" customWidth="1"/>
    <col min="14344" max="14344" width="14.88671875" bestFit="1" customWidth="1"/>
    <col min="14345" max="14345" width="17.33203125" customWidth="1"/>
    <col min="14346" max="14346" width="13.88671875" customWidth="1"/>
    <col min="14347" max="14347" width="17.5546875" bestFit="1" customWidth="1"/>
    <col min="14592" max="14592" width="69.44140625" customWidth="1"/>
    <col min="14593" max="14593" width="29.109375" customWidth="1"/>
    <col min="14594" max="14594" width="26" customWidth="1"/>
    <col min="14595" max="14595" width="16.88671875" bestFit="1" customWidth="1"/>
    <col min="14596" max="14596" width="16.88671875" customWidth="1"/>
    <col min="14597" max="14597" width="15.88671875" customWidth="1"/>
    <col min="14598" max="14598" width="16.88671875" bestFit="1" customWidth="1"/>
    <col min="14599" max="14599" width="17.44140625" customWidth="1"/>
    <col min="14600" max="14600" width="14.88671875" bestFit="1" customWidth="1"/>
    <col min="14601" max="14601" width="17.33203125" customWidth="1"/>
    <col min="14602" max="14602" width="13.88671875" customWidth="1"/>
    <col min="14603" max="14603" width="17.5546875" bestFit="1" customWidth="1"/>
    <col min="14848" max="14848" width="69.44140625" customWidth="1"/>
    <col min="14849" max="14849" width="29.109375" customWidth="1"/>
    <col min="14850" max="14850" width="26" customWidth="1"/>
    <col min="14851" max="14851" width="16.88671875" bestFit="1" customWidth="1"/>
    <col min="14852" max="14852" width="16.88671875" customWidth="1"/>
    <col min="14853" max="14853" width="15.88671875" customWidth="1"/>
    <col min="14854" max="14854" width="16.88671875" bestFit="1" customWidth="1"/>
    <col min="14855" max="14855" width="17.44140625" customWidth="1"/>
    <col min="14856" max="14856" width="14.88671875" bestFit="1" customWidth="1"/>
    <col min="14857" max="14857" width="17.33203125" customWidth="1"/>
    <col min="14858" max="14858" width="13.88671875" customWidth="1"/>
    <col min="14859" max="14859" width="17.5546875" bestFit="1" customWidth="1"/>
    <col min="15104" max="15104" width="69.44140625" customWidth="1"/>
    <col min="15105" max="15105" width="29.109375" customWidth="1"/>
    <col min="15106" max="15106" width="26" customWidth="1"/>
    <col min="15107" max="15107" width="16.88671875" bestFit="1" customWidth="1"/>
    <col min="15108" max="15108" width="16.88671875" customWidth="1"/>
    <col min="15109" max="15109" width="15.88671875" customWidth="1"/>
    <col min="15110" max="15110" width="16.88671875" bestFit="1" customWidth="1"/>
    <col min="15111" max="15111" width="17.44140625" customWidth="1"/>
    <col min="15112" max="15112" width="14.88671875" bestFit="1" customWidth="1"/>
    <col min="15113" max="15113" width="17.33203125" customWidth="1"/>
    <col min="15114" max="15114" width="13.88671875" customWidth="1"/>
    <col min="15115" max="15115" width="17.5546875" bestFit="1" customWidth="1"/>
    <col min="15360" max="15360" width="69.44140625" customWidth="1"/>
    <col min="15361" max="15361" width="29.109375" customWidth="1"/>
    <col min="15362" max="15362" width="26" customWidth="1"/>
    <col min="15363" max="15363" width="16.88671875" bestFit="1" customWidth="1"/>
    <col min="15364" max="15364" width="16.88671875" customWidth="1"/>
    <col min="15365" max="15365" width="15.88671875" customWidth="1"/>
    <col min="15366" max="15366" width="16.88671875" bestFit="1" customWidth="1"/>
    <col min="15367" max="15367" width="17.44140625" customWidth="1"/>
    <col min="15368" max="15368" width="14.88671875" bestFit="1" customWidth="1"/>
    <col min="15369" max="15369" width="17.33203125" customWidth="1"/>
    <col min="15370" max="15370" width="13.88671875" customWidth="1"/>
    <col min="15371" max="15371" width="17.5546875" bestFit="1" customWidth="1"/>
    <col min="15616" max="15616" width="69.44140625" customWidth="1"/>
    <col min="15617" max="15617" width="29.109375" customWidth="1"/>
    <col min="15618" max="15618" width="26" customWidth="1"/>
    <col min="15619" max="15619" width="16.88671875" bestFit="1" customWidth="1"/>
    <col min="15620" max="15620" width="16.88671875" customWidth="1"/>
    <col min="15621" max="15621" width="15.88671875" customWidth="1"/>
    <col min="15622" max="15622" width="16.88671875" bestFit="1" customWidth="1"/>
    <col min="15623" max="15623" width="17.44140625" customWidth="1"/>
    <col min="15624" max="15624" width="14.88671875" bestFit="1" customWidth="1"/>
    <col min="15625" max="15625" width="17.33203125" customWidth="1"/>
    <col min="15626" max="15626" width="13.88671875" customWidth="1"/>
    <col min="15627" max="15627" width="17.5546875" bestFit="1" customWidth="1"/>
    <col min="15872" max="15872" width="69.44140625" customWidth="1"/>
    <col min="15873" max="15873" width="29.109375" customWidth="1"/>
    <col min="15874" max="15874" width="26" customWidth="1"/>
    <col min="15875" max="15875" width="16.88671875" bestFit="1" customWidth="1"/>
    <col min="15876" max="15876" width="16.88671875" customWidth="1"/>
    <col min="15877" max="15877" width="15.88671875" customWidth="1"/>
    <col min="15878" max="15878" width="16.88671875" bestFit="1" customWidth="1"/>
    <col min="15879" max="15879" width="17.44140625" customWidth="1"/>
    <col min="15880" max="15880" width="14.88671875" bestFit="1" customWidth="1"/>
    <col min="15881" max="15881" width="17.33203125" customWidth="1"/>
    <col min="15882" max="15882" width="13.88671875" customWidth="1"/>
    <col min="15883" max="15883" width="17.5546875" bestFit="1" customWidth="1"/>
    <col min="16128" max="16128" width="69.44140625" customWidth="1"/>
    <col min="16129" max="16129" width="29.109375" customWidth="1"/>
    <col min="16130" max="16130" width="26" customWidth="1"/>
    <col min="16131" max="16131" width="16.88671875" bestFit="1" customWidth="1"/>
    <col min="16132" max="16132" width="16.88671875" customWidth="1"/>
    <col min="16133" max="16133" width="15.88671875" customWidth="1"/>
    <col min="16134" max="16134" width="16.88671875" bestFit="1" customWidth="1"/>
    <col min="16135" max="16135" width="17.44140625" customWidth="1"/>
    <col min="16136" max="16136" width="14.88671875" bestFit="1" customWidth="1"/>
    <col min="16137" max="16137" width="17.33203125" customWidth="1"/>
    <col min="16138" max="16138" width="13.88671875" customWidth="1"/>
    <col min="16139" max="16139" width="17.5546875" bestFit="1" customWidth="1"/>
  </cols>
  <sheetData>
    <row r="1" spans="1:14" ht="29.4" customHeight="1" thickBot="1" x14ac:dyDescent="0.35">
      <c r="A1" s="129" t="s">
        <v>165</v>
      </c>
      <c r="B1" s="130" t="s">
        <v>166</v>
      </c>
      <c r="C1" s="581" t="s">
        <v>167</v>
      </c>
      <c r="D1" s="582"/>
      <c r="E1" s="582"/>
      <c r="F1" s="582"/>
      <c r="G1" s="582"/>
      <c r="H1" s="582"/>
      <c r="I1" s="582"/>
      <c r="J1" s="582"/>
      <c r="K1" s="582"/>
      <c r="L1" s="582"/>
      <c r="M1" s="582"/>
      <c r="N1" s="572" t="s">
        <v>174</v>
      </c>
    </row>
    <row r="2" spans="1:14" ht="46.5" customHeight="1" thickBot="1" x14ac:dyDescent="0.35">
      <c r="A2" s="129"/>
      <c r="B2" s="575" t="s">
        <v>362</v>
      </c>
      <c r="C2" s="131" t="s">
        <v>363</v>
      </c>
      <c r="D2" s="132" t="s">
        <v>168</v>
      </c>
      <c r="E2" s="132" t="s">
        <v>169</v>
      </c>
      <c r="F2" s="133" t="s">
        <v>170</v>
      </c>
      <c r="G2" s="132" t="s">
        <v>364</v>
      </c>
      <c r="H2" s="133" t="s">
        <v>171</v>
      </c>
      <c r="I2" s="132" t="s">
        <v>172</v>
      </c>
      <c r="J2" s="155" t="s">
        <v>365</v>
      </c>
      <c r="K2" s="132" t="s">
        <v>366</v>
      </c>
      <c r="L2" s="132" t="s">
        <v>173</v>
      </c>
      <c r="M2" s="132" t="s">
        <v>367</v>
      </c>
      <c r="N2" s="572"/>
    </row>
    <row r="3" spans="1:14" ht="15.6" thickBot="1" x14ac:dyDescent="0.35">
      <c r="A3" s="134" t="s">
        <v>175</v>
      </c>
      <c r="B3" s="576"/>
      <c r="C3" s="135"/>
      <c r="D3" s="135"/>
      <c r="E3" s="135"/>
      <c r="F3" s="135"/>
      <c r="G3" s="135"/>
      <c r="H3" s="135"/>
      <c r="I3" s="135"/>
      <c r="J3" s="156"/>
      <c r="K3" s="135"/>
      <c r="L3" s="158"/>
      <c r="M3" s="158"/>
      <c r="N3" s="163">
        <f>SUM(C3:M3)</f>
        <v>0</v>
      </c>
    </row>
    <row r="4" spans="1:14" ht="20.399999999999999" x14ac:dyDescent="0.3">
      <c r="A4" s="136" t="s">
        <v>176</v>
      </c>
      <c r="B4" s="137"/>
      <c r="C4" s="138"/>
      <c r="D4" s="138"/>
      <c r="E4" s="138"/>
      <c r="F4" s="138"/>
      <c r="G4" s="138"/>
      <c r="H4" s="138"/>
      <c r="I4" s="138"/>
      <c r="J4" s="157"/>
      <c r="K4" s="138"/>
      <c r="L4" s="138"/>
      <c r="M4" s="138"/>
    </row>
    <row r="5" spans="1:14" ht="30.6" x14ac:dyDescent="0.3">
      <c r="A5" s="139" t="s">
        <v>177</v>
      </c>
      <c r="B5" s="140"/>
      <c r="C5" s="138"/>
      <c r="D5" s="138"/>
      <c r="E5" s="138"/>
      <c r="F5" s="138"/>
      <c r="G5" s="138"/>
      <c r="H5" s="138"/>
      <c r="I5" s="138"/>
      <c r="J5" s="157"/>
      <c r="K5" s="138"/>
      <c r="L5" s="138"/>
      <c r="M5" s="138"/>
    </row>
    <row r="6" spans="1:14" ht="20.399999999999999" x14ac:dyDescent="0.3">
      <c r="A6" s="139" t="s">
        <v>178</v>
      </c>
      <c r="B6" s="140"/>
      <c r="C6" s="138"/>
      <c r="D6" s="138"/>
      <c r="E6" s="138"/>
      <c r="F6" s="138"/>
      <c r="G6" s="138"/>
      <c r="H6" s="138"/>
      <c r="I6" s="138"/>
      <c r="J6" s="157"/>
      <c r="K6" s="138"/>
      <c r="L6" s="138"/>
      <c r="M6" s="138"/>
    </row>
    <row r="7" spans="1:14" ht="20.399999999999999" x14ac:dyDescent="0.3">
      <c r="A7" s="139" t="s">
        <v>179</v>
      </c>
      <c r="B7" s="140"/>
      <c r="C7" s="138"/>
      <c r="D7" s="138"/>
      <c r="E7" s="138"/>
      <c r="F7" s="141"/>
      <c r="G7" s="138"/>
      <c r="H7" s="138"/>
      <c r="I7" s="138"/>
      <c r="J7" s="157"/>
      <c r="K7" s="138"/>
      <c r="L7" s="138"/>
      <c r="M7" s="138"/>
    </row>
    <row r="8" spans="1:14" x14ac:dyDescent="0.3">
      <c r="A8" s="139" t="s">
        <v>180</v>
      </c>
      <c r="B8" s="140"/>
      <c r="C8" s="138"/>
      <c r="D8" s="138"/>
      <c r="E8" s="138"/>
      <c r="F8" s="138"/>
      <c r="G8" s="138"/>
      <c r="H8" s="138"/>
      <c r="I8" s="138"/>
      <c r="J8" s="157"/>
      <c r="K8" s="138"/>
      <c r="L8" s="138"/>
      <c r="M8" s="138"/>
    </row>
    <row r="9" spans="1:14" ht="30.6" x14ac:dyDescent="0.3">
      <c r="A9" s="139" t="s">
        <v>181</v>
      </c>
      <c r="B9" s="140"/>
      <c r="C9" s="138"/>
      <c r="D9" s="138"/>
      <c r="E9" s="138"/>
      <c r="F9" s="138"/>
      <c r="G9" s="138"/>
      <c r="H9" s="138"/>
      <c r="I9" s="138"/>
      <c r="J9" s="157"/>
      <c r="K9" s="138"/>
      <c r="L9" s="138"/>
      <c r="M9" s="138"/>
    </row>
    <row r="10" spans="1:14" ht="20.399999999999999" x14ac:dyDescent="0.3">
      <c r="A10" s="139" t="s">
        <v>182</v>
      </c>
      <c r="B10" s="140"/>
      <c r="C10" s="138"/>
      <c r="D10" s="138"/>
      <c r="E10" s="138"/>
      <c r="F10" s="138"/>
      <c r="G10" s="138"/>
      <c r="H10" s="138"/>
      <c r="I10" s="138"/>
      <c r="J10" s="157"/>
      <c r="K10" s="138"/>
      <c r="L10" s="138"/>
      <c r="M10" s="138"/>
    </row>
    <row r="11" spans="1:14" ht="20.399999999999999" x14ac:dyDescent="0.3">
      <c r="A11" s="139" t="s">
        <v>183</v>
      </c>
      <c r="B11" s="140"/>
      <c r="C11" s="138"/>
      <c r="D11" s="138"/>
      <c r="E11" s="138"/>
      <c r="F11" s="138"/>
      <c r="G11" s="138"/>
      <c r="H11" s="138"/>
      <c r="I11" s="138"/>
      <c r="J11" s="157"/>
      <c r="K11" s="138"/>
      <c r="L11" s="138"/>
      <c r="M11" s="138"/>
    </row>
    <row r="12" spans="1:14" ht="20.399999999999999" x14ac:dyDescent="0.3">
      <c r="A12" s="139" t="s">
        <v>184</v>
      </c>
      <c r="B12" s="140"/>
      <c r="C12" s="138"/>
      <c r="D12" s="138"/>
      <c r="E12" s="138"/>
      <c r="F12" s="138"/>
      <c r="G12" s="138"/>
      <c r="H12" s="138"/>
      <c r="I12" s="138"/>
      <c r="J12" s="157"/>
      <c r="K12" s="138"/>
      <c r="L12" s="138"/>
      <c r="M12" s="138"/>
    </row>
    <row r="13" spans="1:14" ht="20.399999999999999" x14ac:dyDescent="0.3">
      <c r="A13" s="139" t="s">
        <v>185</v>
      </c>
      <c r="B13" s="140"/>
      <c r="C13" s="138"/>
      <c r="D13" s="138"/>
      <c r="E13" s="138"/>
      <c r="F13" s="138"/>
      <c r="G13" s="138"/>
      <c r="H13" s="138"/>
      <c r="I13" s="138"/>
      <c r="J13" s="157"/>
      <c r="K13" s="138"/>
      <c r="L13" s="138"/>
      <c r="M13" s="138"/>
    </row>
    <row r="14" spans="1:14" ht="20.399999999999999" x14ac:dyDescent="0.3">
      <c r="A14" s="139" t="s">
        <v>186</v>
      </c>
      <c r="B14" s="140"/>
      <c r="C14" s="138"/>
      <c r="D14" s="138"/>
      <c r="E14" s="138"/>
      <c r="F14" s="138"/>
      <c r="G14" s="138"/>
      <c r="H14" s="138"/>
      <c r="I14" s="138"/>
      <c r="J14" s="157"/>
      <c r="K14" s="138"/>
      <c r="L14" s="138"/>
      <c r="M14" s="138"/>
    </row>
    <row r="15" spans="1:14" ht="20.399999999999999" x14ac:dyDescent="0.3">
      <c r="A15" s="139" t="s">
        <v>187</v>
      </c>
      <c r="B15" s="140"/>
      <c r="C15" s="138"/>
      <c r="D15" s="138"/>
      <c r="E15" s="138"/>
      <c r="F15" s="138"/>
      <c r="G15" s="138"/>
      <c r="H15" s="138"/>
      <c r="I15" s="138"/>
      <c r="J15" s="157"/>
      <c r="K15" s="138"/>
      <c r="L15" s="138"/>
      <c r="M15" s="138"/>
    </row>
    <row r="16" spans="1:14" ht="20.399999999999999" x14ac:dyDescent="0.3">
      <c r="A16" s="139" t="s">
        <v>188</v>
      </c>
      <c r="B16" s="140"/>
      <c r="C16" s="138"/>
      <c r="D16" s="138"/>
      <c r="E16" s="138"/>
      <c r="F16" s="138"/>
      <c r="G16" s="138"/>
      <c r="H16" s="138"/>
      <c r="I16" s="138"/>
      <c r="J16" s="157"/>
      <c r="K16" s="138"/>
      <c r="L16" s="138"/>
      <c r="M16" s="138"/>
    </row>
    <row r="17" spans="1:13" ht="30.6" x14ac:dyDescent="0.3">
      <c r="A17" s="139" t="s">
        <v>189</v>
      </c>
      <c r="B17" s="140"/>
      <c r="C17" s="138"/>
      <c r="D17" s="138"/>
      <c r="E17" s="138"/>
      <c r="F17" s="138"/>
      <c r="G17" s="138"/>
      <c r="H17" s="138"/>
      <c r="I17" s="138"/>
      <c r="J17" s="157"/>
      <c r="K17" s="138"/>
      <c r="L17" s="138"/>
      <c r="M17" s="138"/>
    </row>
    <row r="18" spans="1:13" ht="20.399999999999999" x14ac:dyDescent="0.3">
      <c r="A18" s="139" t="s">
        <v>190</v>
      </c>
      <c r="B18" s="140"/>
      <c r="C18" s="138"/>
      <c r="D18" s="138"/>
      <c r="E18" s="138"/>
      <c r="F18" s="138"/>
      <c r="G18" s="138"/>
      <c r="H18" s="138"/>
      <c r="I18" s="138"/>
      <c r="J18" s="157"/>
      <c r="K18" s="138"/>
      <c r="L18" s="138"/>
      <c r="M18" s="138"/>
    </row>
    <row r="19" spans="1:13" ht="20.399999999999999" x14ac:dyDescent="0.3">
      <c r="A19" s="139" t="s">
        <v>191</v>
      </c>
      <c r="B19" s="140"/>
      <c r="C19" s="138"/>
      <c r="D19" s="138"/>
      <c r="E19" s="138"/>
      <c r="F19" s="138"/>
      <c r="G19" s="138"/>
      <c r="H19" s="138"/>
      <c r="I19" s="138"/>
      <c r="J19" s="157"/>
      <c r="K19" s="138"/>
      <c r="L19" s="138"/>
      <c r="M19" s="138"/>
    </row>
    <row r="20" spans="1:13" ht="20.399999999999999" x14ac:dyDescent="0.3">
      <c r="A20" s="139" t="s">
        <v>192</v>
      </c>
      <c r="B20" s="140"/>
      <c r="C20" s="138"/>
      <c r="D20" s="138"/>
      <c r="E20" s="138"/>
      <c r="F20" s="138"/>
      <c r="G20" s="138"/>
      <c r="H20" s="138"/>
      <c r="I20" s="138"/>
      <c r="J20" s="157"/>
      <c r="K20" s="138"/>
      <c r="L20" s="138"/>
      <c r="M20" s="138"/>
    </row>
    <row r="21" spans="1:13" ht="20.399999999999999" x14ac:dyDescent="0.3">
      <c r="A21" s="139" t="s">
        <v>193</v>
      </c>
      <c r="B21" s="140"/>
      <c r="C21" s="138"/>
      <c r="D21" s="138"/>
      <c r="E21" s="138"/>
      <c r="F21" s="138"/>
      <c r="G21" s="138"/>
      <c r="H21" s="138"/>
      <c r="I21" s="138"/>
      <c r="J21" s="157"/>
      <c r="K21" s="138"/>
      <c r="L21" s="138"/>
      <c r="M21" s="138"/>
    </row>
    <row r="22" spans="1:13" ht="30.6" x14ac:dyDescent="0.3">
      <c r="A22" s="139" t="s">
        <v>194</v>
      </c>
      <c r="B22" s="140"/>
      <c r="C22" s="138"/>
      <c r="D22" s="138"/>
      <c r="E22" s="138"/>
      <c r="F22" s="138"/>
      <c r="G22" s="138"/>
      <c r="H22" s="138"/>
      <c r="I22" s="138"/>
      <c r="J22" s="157"/>
      <c r="K22" s="138"/>
      <c r="L22" s="138"/>
      <c r="M22" s="138"/>
    </row>
    <row r="23" spans="1:13" ht="20.399999999999999" x14ac:dyDescent="0.3">
      <c r="A23" s="139" t="s">
        <v>195</v>
      </c>
      <c r="B23" s="140"/>
      <c r="C23" s="138"/>
      <c r="D23" s="138"/>
      <c r="E23" s="138"/>
      <c r="F23" s="138"/>
      <c r="G23" s="138"/>
      <c r="H23" s="138"/>
      <c r="I23" s="138"/>
      <c r="J23" s="157"/>
      <c r="K23" s="138"/>
      <c r="L23" s="138"/>
      <c r="M23" s="138"/>
    </row>
    <row r="24" spans="1:13" ht="20.399999999999999" x14ac:dyDescent="0.3">
      <c r="A24" s="139" t="s">
        <v>196</v>
      </c>
      <c r="B24" s="140"/>
      <c r="C24" s="138"/>
      <c r="D24" s="138"/>
      <c r="E24" s="138"/>
      <c r="F24" s="138"/>
      <c r="G24" s="138"/>
      <c r="H24" s="138"/>
      <c r="I24" s="138"/>
      <c r="J24" s="157"/>
      <c r="K24" s="138"/>
      <c r="L24" s="138"/>
      <c r="M24" s="138"/>
    </row>
    <row r="25" spans="1:13" ht="20.399999999999999" x14ac:dyDescent="0.3">
      <c r="A25" s="139" t="s">
        <v>197</v>
      </c>
      <c r="B25" s="140"/>
      <c r="C25" s="138"/>
      <c r="D25" s="138"/>
      <c r="E25" s="138"/>
      <c r="F25" s="138"/>
      <c r="G25" s="138"/>
      <c r="H25" s="138"/>
      <c r="I25" s="138"/>
      <c r="J25" s="157"/>
      <c r="K25" s="138"/>
      <c r="L25" s="138"/>
      <c r="M25" s="138"/>
    </row>
    <row r="26" spans="1:13" ht="20.399999999999999" x14ac:dyDescent="0.3">
      <c r="A26" s="139" t="s">
        <v>198</v>
      </c>
      <c r="B26" s="140"/>
      <c r="C26" s="138"/>
      <c r="D26" s="138"/>
      <c r="E26" s="138"/>
      <c r="F26" s="138"/>
      <c r="G26" s="138"/>
      <c r="H26" s="138"/>
      <c r="I26" s="138"/>
      <c r="J26" s="157"/>
      <c r="K26" s="138"/>
      <c r="L26" s="138"/>
      <c r="M26" s="138"/>
    </row>
    <row r="27" spans="1:13" x14ac:dyDescent="0.3">
      <c r="A27" s="139" t="s">
        <v>199</v>
      </c>
      <c r="B27" s="140"/>
      <c r="C27" s="138"/>
      <c r="D27" s="138"/>
      <c r="E27" s="138"/>
      <c r="F27" s="138"/>
      <c r="G27" s="138"/>
      <c r="H27" s="138"/>
      <c r="I27" s="138"/>
      <c r="J27" s="157"/>
      <c r="K27" s="138"/>
      <c r="L27" s="138"/>
      <c r="M27" s="138"/>
    </row>
    <row r="28" spans="1:13" ht="20.399999999999999" x14ac:dyDescent="0.3">
      <c r="A28" s="139" t="s">
        <v>200</v>
      </c>
      <c r="B28" s="140"/>
      <c r="C28" s="138"/>
      <c r="D28" s="138"/>
      <c r="E28" s="138"/>
      <c r="F28" s="138"/>
      <c r="G28" s="138"/>
      <c r="H28" s="138"/>
      <c r="I28" s="138"/>
      <c r="J28" s="157"/>
      <c r="K28" s="138"/>
      <c r="L28" s="138"/>
      <c r="M28" s="138"/>
    </row>
    <row r="29" spans="1:13" ht="20.399999999999999" x14ac:dyDescent="0.3">
      <c r="A29" s="139" t="s">
        <v>201</v>
      </c>
      <c r="B29" s="140"/>
      <c r="C29" s="138"/>
      <c r="D29" s="138"/>
      <c r="E29" s="138"/>
      <c r="F29" s="138"/>
      <c r="G29" s="138"/>
      <c r="H29" s="138"/>
      <c r="I29" s="138"/>
      <c r="J29" s="157"/>
      <c r="K29" s="138"/>
      <c r="L29" s="138"/>
      <c r="M29" s="138"/>
    </row>
    <row r="30" spans="1:13" x14ac:dyDescent="0.3">
      <c r="A30" s="139" t="s">
        <v>202</v>
      </c>
      <c r="B30" s="140"/>
      <c r="C30" s="138"/>
      <c r="D30" s="138"/>
      <c r="E30" s="138"/>
      <c r="F30" s="138"/>
      <c r="G30" s="138"/>
      <c r="H30" s="138"/>
      <c r="I30" s="138"/>
      <c r="J30" s="157"/>
      <c r="K30" s="138"/>
      <c r="L30" s="138"/>
      <c r="M30" s="138"/>
    </row>
    <row r="31" spans="1:13" ht="20.399999999999999" x14ac:dyDescent="0.3">
      <c r="A31" s="139" t="s">
        <v>203</v>
      </c>
      <c r="B31" s="140"/>
      <c r="C31" s="138"/>
      <c r="D31" s="138"/>
      <c r="E31" s="138"/>
      <c r="F31" s="138"/>
      <c r="G31" s="138"/>
      <c r="H31" s="138"/>
      <c r="I31" s="138"/>
      <c r="J31" s="157"/>
      <c r="K31" s="138"/>
      <c r="L31" s="138"/>
      <c r="M31" s="138"/>
    </row>
    <row r="32" spans="1:13" x14ac:dyDescent="0.3">
      <c r="A32" s="139" t="s">
        <v>204</v>
      </c>
      <c r="B32" s="140"/>
      <c r="C32" s="138"/>
      <c r="D32" s="138"/>
      <c r="E32" s="138"/>
      <c r="F32" s="138"/>
      <c r="G32" s="138"/>
      <c r="H32" s="138"/>
      <c r="I32" s="138"/>
      <c r="J32" s="157"/>
      <c r="K32" s="138"/>
      <c r="L32" s="138"/>
      <c r="M32" s="138"/>
    </row>
    <row r="33" spans="1:13" ht="20.399999999999999" x14ac:dyDescent="0.3">
      <c r="A33" s="139" t="s">
        <v>205</v>
      </c>
      <c r="B33" s="140"/>
      <c r="C33" s="138"/>
      <c r="D33" s="138"/>
      <c r="E33" s="138"/>
      <c r="F33" s="138"/>
      <c r="G33" s="138"/>
      <c r="H33" s="138"/>
      <c r="I33" s="138"/>
      <c r="J33" s="157"/>
      <c r="K33" s="138"/>
      <c r="L33" s="138"/>
      <c r="M33" s="138"/>
    </row>
    <row r="34" spans="1:13" x14ac:dyDescent="0.3">
      <c r="A34" s="580" t="s">
        <v>206</v>
      </c>
      <c r="B34" s="574"/>
      <c r="C34" s="138"/>
      <c r="D34" s="138"/>
      <c r="E34" s="138"/>
      <c r="F34" s="138"/>
      <c r="G34" s="138"/>
      <c r="H34" s="138"/>
      <c r="I34" s="138"/>
      <c r="J34" s="157"/>
      <c r="K34" s="138"/>
      <c r="L34" s="138"/>
      <c r="M34" s="138"/>
    </row>
    <row r="35" spans="1:13" x14ac:dyDescent="0.3">
      <c r="A35" s="580"/>
      <c r="B35" s="574"/>
      <c r="C35" s="138"/>
      <c r="D35" s="138"/>
      <c r="E35" s="138"/>
      <c r="F35" s="138"/>
      <c r="G35" s="138"/>
      <c r="H35" s="138"/>
      <c r="I35" s="138"/>
      <c r="J35" s="157"/>
      <c r="K35" s="138"/>
      <c r="L35" s="138"/>
      <c r="M35" s="138"/>
    </row>
    <row r="36" spans="1:13" ht="20.399999999999999" x14ac:dyDescent="0.3">
      <c r="A36" s="139" t="s">
        <v>207</v>
      </c>
      <c r="B36" s="140">
        <v>0</v>
      </c>
      <c r="C36" s="138"/>
      <c r="D36" s="138"/>
      <c r="E36" s="138"/>
      <c r="F36" s="138"/>
      <c r="G36" s="138"/>
      <c r="H36" s="138"/>
      <c r="I36" s="138"/>
      <c r="J36" s="157"/>
      <c r="K36" s="138"/>
      <c r="L36" s="138"/>
      <c r="M36" s="138"/>
    </row>
    <row r="37" spans="1:13" ht="20.399999999999999" x14ac:dyDescent="0.3">
      <c r="A37" s="139" t="s">
        <v>208</v>
      </c>
      <c r="B37" s="140">
        <v>0</v>
      </c>
      <c r="C37" s="138"/>
      <c r="D37" s="138"/>
      <c r="E37" s="138"/>
      <c r="F37" s="138"/>
      <c r="G37" s="138"/>
      <c r="H37" s="138"/>
      <c r="I37" s="138"/>
      <c r="J37" s="157"/>
      <c r="K37" s="138"/>
      <c r="L37" s="138"/>
      <c r="M37" s="138"/>
    </row>
    <row r="38" spans="1:13" ht="20.399999999999999" x14ac:dyDescent="0.3">
      <c r="A38" s="139" t="s">
        <v>209</v>
      </c>
      <c r="B38" s="574"/>
      <c r="C38" s="138"/>
      <c r="D38" s="138"/>
      <c r="E38" s="138"/>
      <c r="F38" s="138"/>
      <c r="G38" s="138"/>
      <c r="H38" s="138"/>
      <c r="I38" s="138"/>
      <c r="J38" s="157"/>
      <c r="K38" s="138"/>
      <c r="L38" s="138"/>
      <c r="M38" s="138"/>
    </row>
    <row r="39" spans="1:13" ht="20.399999999999999" x14ac:dyDescent="0.3">
      <c r="A39" s="139" t="s">
        <v>210</v>
      </c>
      <c r="B39" s="574"/>
      <c r="C39" s="138"/>
      <c r="D39" s="138"/>
      <c r="E39" s="138"/>
      <c r="F39" s="138"/>
      <c r="G39" s="138"/>
      <c r="H39" s="138"/>
      <c r="I39" s="138"/>
      <c r="J39" s="157"/>
      <c r="K39" s="138"/>
      <c r="L39" s="138"/>
      <c r="M39" s="138"/>
    </row>
    <row r="40" spans="1:13" ht="21" thickBot="1" x14ac:dyDescent="0.35">
      <c r="A40" s="142" t="s">
        <v>211</v>
      </c>
      <c r="B40" s="143"/>
      <c r="C40" s="144"/>
      <c r="D40" s="138"/>
      <c r="E40" s="138"/>
      <c r="F40" s="138"/>
      <c r="G40" s="138"/>
      <c r="H40" s="138"/>
      <c r="I40" s="138"/>
      <c r="J40" s="157"/>
      <c r="K40" s="138"/>
      <c r="L40" s="138"/>
      <c r="M40" s="138"/>
    </row>
    <row r="41" spans="1:13" ht="20.399999999999999" x14ac:dyDescent="0.3">
      <c r="A41" s="136" t="s">
        <v>212</v>
      </c>
      <c r="B41" s="137">
        <v>0</v>
      </c>
      <c r="C41" s="138"/>
      <c r="D41" s="138"/>
      <c r="E41" s="138"/>
      <c r="F41" s="138"/>
      <c r="G41" s="138"/>
      <c r="H41" s="138"/>
      <c r="I41" s="138"/>
      <c r="J41" s="157"/>
      <c r="K41" s="138"/>
      <c r="L41" s="138"/>
      <c r="M41" s="138"/>
    </row>
    <row r="42" spans="1:13" ht="20.399999999999999" x14ac:dyDescent="0.3">
      <c r="A42" s="139" t="s">
        <v>213</v>
      </c>
      <c r="B42" s="140"/>
      <c r="C42" s="138"/>
      <c r="D42" s="138"/>
      <c r="E42" s="138"/>
      <c r="F42" s="138"/>
      <c r="G42" s="138"/>
      <c r="H42" s="138"/>
      <c r="I42" s="138"/>
      <c r="J42" s="157"/>
      <c r="K42" s="138"/>
      <c r="L42" s="138"/>
      <c r="M42" s="138"/>
    </row>
    <row r="43" spans="1:13" ht="40.799999999999997" x14ac:dyDescent="0.3">
      <c r="A43" s="139" t="s">
        <v>214</v>
      </c>
      <c r="B43" s="140">
        <v>0</v>
      </c>
      <c r="C43" s="138"/>
      <c r="D43" s="138"/>
      <c r="E43" s="138"/>
      <c r="F43" s="138"/>
      <c r="G43" s="138"/>
      <c r="H43" s="138"/>
      <c r="I43" s="138"/>
      <c r="J43" s="157"/>
      <c r="K43" s="138"/>
      <c r="L43" s="138"/>
      <c r="M43" s="138"/>
    </row>
    <row r="44" spans="1:13" ht="30.6" x14ac:dyDescent="0.3">
      <c r="A44" s="139" t="s">
        <v>215</v>
      </c>
      <c r="B44" s="140"/>
      <c r="C44" s="138"/>
      <c r="D44" s="138"/>
      <c r="E44" s="138"/>
      <c r="F44" s="138"/>
      <c r="G44" s="138"/>
      <c r="H44" s="138"/>
      <c r="I44" s="138"/>
      <c r="J44" s="157"/>
      <c r="K44" s="138"/>
      <c r="L44" s="138"/>
      <c r="M44" s="138"/>
    </row>
    <row r="45" spans="1:13" ht="20.399999999999999" x14ac:dyDescent="0.3">
      <c r="A45" s="139" t="s">
        <v>216</v>
      </c>
      <c r="B45" s="140">
        <v>0</v>
      </c>
      <c r="C45" s="138"/>
      <c r="D45" s="138"/>
      <c r="E45" s="138"/>
      <c r="F45" s="138"/>
      <c r="G45" s="138"/>
      <c r="H45" s="138"/>
      <c r="I45" s="138"/>
      <c r="J45" s="157"/>
      <c r="K45" s="138"/>
      <c r="L45" s="138"/>
      <c r="M45" s="138"/>
    </row>
    <row r="46" spans="1:13" ht="20.399999999999999" x14ac:dyDescent="0.3">
      <c r="A46" s="139" t="s">
        <v>217</v>
      </c>
      <c r="B46" s="140">
        <v>0</v>
      </c>
      <c r="C46" s="138"/>
      <c r="D46" s="138"/>
      <c r="E46" s="138"/>
      <c r="F46" s="138"/>
      <c r="G46" s="138"/>
      <c r="H46" s="138"/>
      <c r="I46" s="138"/>
      <c r="J46" s="157"/>
      <c r="K46" s="138"/>
      <c r="L46" s="138"/>
      <c r="M46" s="138"/>
    </row>
    <row r="47" spans="1:13" ht="20.399999999999999" x14ac:dyDescent="0.3">
      <c r="A47" s="139" t="s">
        <v>218</v>
      </c>
      <c r="B47" s="140"/>
      <c r="C47" s="138"/>
      <c r="D47" s="138"/>
      <c r="E47" s="138"/>
      <c r="F47" s="138"/>
      <c r="G47" s="138"/>
      <c r="H47" s="138"/>
      <c r="I47" s="138"/>
      <c r="J47" s="157"/>
      <c r="K47" s="138"/>
      <c r="L47" s="138"/>
      <c r="M47" s="138"/>
    </row>
    <row r="48" spans="1:13" ht="20.399999999999999" x14ac:dyDescent="0.3">
      <c r="A48" s="139" t="s">
        <v>219</v>
      </c>
      <c r="B48" s="140"/>
      <c r="C48" s="138"/>
      <c r="D48" s="138"/>
      <c r="E48" s="138"/>
      <c r="F48" s="138"/>
      <c r="G48" s="138"/>
      <c r="H48" s="138"/>
      <c r="I48" s="138"/>
      <c r="J48" s="157"/>
      <c r="K48" s="138"/>
      <c r="L48" s="138"/>
      <c r="M48" s="138"/>
    </row>
    <row r="49" spans="1:13" x14ac:dyDescent="0.3">
      <c r="A49" s="139" t="s">
        <v>220</v>
      </c>
      <c r="B49" s="140">
        <v>0</v>
      </c>
      <c r="C49" s="138"/>
      <c r="D49" s="138"/>
      <c r="E49" s="138"/>
      <c r="F49" s="138"/>
      <c r="G49" s="138"/>
      <c r="H49" s="138"/>
      <c r="I49" s="138"/>
      <c r="J49" s="157"/>
      <c r="K49" s="138"/>
      <c r="L49" s="138"/>
      <c r="M49" s="138"/>
    </row>
    <row r="50" spans="1:13" x14ac:dyDescent="0.3">
      <c r="A50" s="139" t="s">
        <v>221</v>
      </c>
      <c r="B50" s="140"/>
      <c r="C50" s="138"/>
      <c r="D50" s="138"/>
      <c r="E50" s="138"/>
      <c r="F50" s="138"/>
      <c r="G50" s="138"/>
      <c r="H50" s="138"/>
      <c r="I50" s="138"/>
      <c r="J50" s="157"/>
      <c r="K50" s="138"/>
      <c r="L50" s="138"/>
      <c r="M50" s="138"/>
    </row>
    <row r="51" spans="1:13" ht="20.399999999999999" x14ac:dyDescent="0.3">
      <c r="A51" s="139" t="s">
        <v>222</v>
      </c>
      <c r="B51" s="145"/>
      <c r="C51" s="138"/>
      <c r="D51" s="138"/>
      <c r="E51" s="138"/>
      <c r="F51" s="138"/>
      <c r="G51" s="138"/>
      <c r="H51" s="138"/>
      <c r="I51" s="138"/>
      <c r="J51" s="157"/>
      <c r="K51" s="138"/>
      <c r="L51" s="138"/>
      <c r="M51" s="138"/>
    </row>
    <row r="52" spans="1:13" ht="20.399999999999999" x14ac:dyDescent="0.3">
      <c r="A52" s="139" t="s">
        <v>223</v>
      </c>
      <c r="B52" s="145">
        <v>0</v>
      </c>
      <c r="C52" s="138"/>
      <c r="D52" s="138"/>
      <c r="E52" s="138"/>
      <c r="F52" s="138"/>
      <c r="G52" s="138"/>
      <c r="H52" s="138"/>
      <c r="I52" s="138"/>
      <c r="J52" s="157"/>
      <c r="K52" s="138"/>
      <c r="L52" s="138"/>
      <c r="M52" s="138"/>
    </row>
    <row r="53" spans="1:13" ht="20.399999999999999" x14ac:dyDescent="0.3">
      <c r="A53" s="139" t="s">
        <v>224</v>
      </c>
      <c r="B53" s="140">
        <v>0</v>
      </c>
      <c r="C53" s="138"/>
      <c r="D53" s="138"/>
      <c r="E53" s="138"/>
      <c r="F53" s="138"/>
      <c r="G53" s="138"/>
      <c r="H53" s="138"/>
      <c r="I53" s="138"/>
      <c r="J53" s="157"/>
      <c r="K53" s="138"/>
      <c r="L53" s="138"/>
      <c r="M53" s="138"/>
    </row>
    <row r="54" spans="1:13" ht="40.799999999999997" x14ac:dyDescent="0.3">
      <c r="A54" s="139" t="s">
        <v>225</v>
      </c>
      <c r="B54" s="146">
        <v>0</v>
      </c>
      <c r="C54" s="138"/>
      <c r="D54" s="138"/>
      <c r="E54" s="138"/>
      <c r="F54" s="138"/>
      <c r="G54" s="138"/>
      <c r="H54" s="138"/>
      <c r="I54" s="138"/>
      <c r="J54" s="157"/>
      <c r="K54" s="138"/>
      <c r="L54" s="138"/>
      <c r="M54" s="138"/>
    </row>
    <row r="55" spans="1:13" x14ac:dyDescent="0.3">
      <c r="A55" s="139" t="s">
        <v>226</v>
      </c>
      <c r="B55" s="146"/>
      <c r="C55" s="144"/>
      <c r="D55" s="138"/>
      <c r="E55" s="138"/>
      <c r="F55" s="138"/>
      <c r="G55" s="138"/>
      <c r="H55" s="138"/>
      <c r="I55" s="138"/>
      <c r="J55" s="157"/>
      <c r="K55" s="138"/>
      <c r="L55" s="138"/>
      <c r="M55" s="138"/>
    </row>
    <row r="56" spans="1:13" ht="20.399999999999999" x14ac:dyDescent="0.3">
      <c r="A56" s="139" t="s">
        <v>227</v>
      </c>
      <c r="B56" s="140"/>
      <c r="C56" s="138"/>
      <c r="D56" s="138"/>
      <c r="E56" s="138"/>
      <c r="F56" s="138"/>
      <c r="G56" s="138"/>
      <c r="H56" s="138"/>
      <c r="I56" s="138"/>
      <c r="J56" s="157"/>
      <c r="K56" s="138"/>
      <c r="L56" s="138"/>
      <c r="M56" s="138"/>
    </row>
    <row r="57" spans="1:13" ht="20.399999999999999" x14ac:dyDescent="0.3">
      <c r="A57" s="139" t="s">
        <v>228</v>
      </c>
      <c r="B57" s="140">
        <v>0</v>
      </c>
      <c r="C57" s="138"/>
      <c r="D57" s="138"/>
      <c r="E57" s="138"/>
      <c r="F57" s="138"/>
      <c r="G57" s="138"/>
      <c r="H57" s="138"/>
      <c r="I57" s="138"/>
      <c r="J57" s="157"/>
      <c r="K57" s="138"/>
      <c r="L57" s="138"/>
      <c r="M57" s="138"/>
    </row>
    <row r="58" spans="1:13" ht="20.399999999999999" x14ac:dyDescent="0.3">
      <c r="A58" s="139" t="s">
        <v>229</v>
      </c>
      <c r="B58" s="140">
        <v>0</v>
      </c>
      <c r="C58" s="138"/>
      <c r="D58" s="138"/>
      <c r="E58" s="138"/>
      <c r="F58" s="138"/>
      <c r="G58" s="138"/>
      <c r="H58" s="138"/>
      <c r="I58" s="138"/>
      <c r="J58" s="157"/>
      <c r="K58" s="138"/>
      <c r="L58" s="138"/>
      <c r="M58" s="138"/>
    </row>
    <row r="59" spans="1:13" x14ac:dyDescent="0.3">
      <c r="A59" s="139" t="s">
        <v>230</v>
      </c>
      <c r="B59" s="140">
        <v>0</v>
      </c>
      <c r="C59" s="138"/>
      <c r="D59" s="138"/>
      <c r="E59" s="138"/>
      <c r="F59" s="138"/>
      <c r="G59" s="138"/>
      <c r="H59" s="138"/>
      <c r="I59" s="138"/>
      <c r="J59" s="157"/>
      <c r="K59" s="138"/>
      <c r="L59" s="138"/>
      <c r="M59" s="138"/>
    </row>
    <row r="60" spans="1:13" x14ac:dyDescent="0.3">
      <c r="A60" s="139" t="s">
        <v>231</v>
      </c>
      <c r="B60" s="140">
        <v>0</v>
      </c>
      <c r="C60" s="138"/>
      <c r="D60" s="138"/>
      <c r="E60" s="138"/>
      <c r="F60" s="138"/>
      <c r="G60" s="138"/>
      <c r="H60" s="138"/>
      <c r="I60" s="138"/>
      <c r="J60" s="157"/>
      <c r="K60" s="138"/>
      <c r="L60" s="138"/>
      <c r="M60" s="138"/>
    </row>
    <row r="61" spans="1:13" ht="30.6" x14ac:dyDescent="0.3">
      <c r="A61" s="139" t="s">
        <v>232</v>
      </c>
      <c r="B61" s="140">
        <v>0</v>
      </c>
      <c r="C61" s="138"/>
      <c r="D61" s="138"/>
      <c r="E61" s="138"/>
      <c r="F61" s="138"/>
      <c r="G61" s="138"/>
      <c r="H61" s="138"/>
      <c r="I61" s="138"/>
      <c r="J61" s="157"/>
      <c r="K61" s="138"/>
      <c r="L61" s="138"/>
      <c r="M61" s="138"/>
    </row>
    <row r="62" spans="1:13" ht="20.399999999999999" x14ac:dyDescent="0.3">
      <c r="A62" s="139" t="s">
        <v>233</v>
      </c>
      <c r="B62" s="140"/>
      <c r="C62" s="138"/>
      <c r="D62" s="138"/>
      <c r="E62" s="138"/>
      <c r="F62" s="138"/>
      <c r="G62" s="138"/>
      <c r="H62" s="138"/>
      <c r="I62" s="138"/>
      <c r="J62" s="157"/>
      <c r="K62" s="138"/>
      <c r="L62" s="138"/>
      <c r="M62" s="138"/>
    </row>
    <row r="63" spans="1:13" ht="30.6" x14ac:dyDescent="0.3">
      <c r="A63" s="139" t="s">
        <v>234</v>
      </c>
      <c r="B63" s="140"/>
      <c r="C63" s="138"/>
      <c r="D63" s="138"/>
      <c r="E63" s="138"/>
      <c r="F63" s="138"/>
      <c r="G63" s="138"/>
      <c r="H63" s="138"/>
      <c r="I63" s="138"/>
      <c r="J63" s="157"/>
      <c r="K63" s="138"/>
      <c r="L63" s="138"/>
      <c r="M63" s="138"/>
    </row>
    <row r="64" spans="1:13" ht="30.6" x14ac:dyDescent="0.3">
      <c r="A64" s="139" t="s">
        <v>235</v>
      </c>
      <c r="B64" s="140"/>
      <c r="C64" s="138"/>
      <c r="D64" s="138"/>
      <c r="E64" s="138"/>
      <c r="F64" s="138"/>
      <c r="G64" s="138"/>
      <c r="H64" s="138"/>
      <c r="I64" s="138"/>
      <c r="J64" s="157"/>
      <c r="K64" s="138"/>
      <c r="L64" s="138"/>
      <c r="M64" s="138"/>
    </row>
    <row r="65" spans="1:13" ht="30.6" x14ac:dyDescent="0.3">
      <c r="A65" s="139" t="s">
        <v>236</v>
      </c>
      <c r="B65" s="140"/>
      <c r="C65" s="138"/>
      <c r="D65" s="138"/>
      <c r="E65" s="138"/>
      <c r="F65" s="138"/>
      <c r="G65" s="138"/>
      <c r="H65" s="138"/>
      <c r="I65" s="138"/>
      <c r="J65" s="157"/>
      <c r="K65" s="138"/>
      <c r="L65" s="138"/>
      <c r="M65" s="138"/>
    </row>
    <row r="66" spans="1:13" ht="20.399999999999999" x14ac:dyDescent="0.3">
      <c r="A66" s="139" t="s">
        <v>237</v>
      </c>
      <c r="B66" s="140"/>
      <c r="C66" s="138"/>
      <c r="D66" s="138"/>
      <c r="E66" s="138"/>
      <c r="F66" s="138"/>
      <c r="G66" s="138"/>
      <c r="H66" s="138"/>
      <c r="I66" s="138"/>
      <c r="J66" s="157"/>
      <c r="K66" s="138"/>
      <c r="L66" s="138"/>
      <c r="M66" s="138"/>
    </row>
    <row r="67" spans="1:13" x14ac:dyDescent="0.3">
      <c r="A67" s="139" t="s">
        <v>238</v>
      </c>
      <c r="B67" s="140"/>
      <c r="C67" s="138"/>
      <c r="D67" s="138"/>
      <c r="E67" s="138"/>
      <c r="F67" s="138"/>
      <c r="G67" s="138"/>
      <c r="H67" s="138"/>
      <c r="I67" s="138"/>
      <c r="J67" s="157"/>
      <c r="K67" s="138"/>
      <c r="L67" s="138"/>
      <c r="M67" s="138"/>
    </row>
    <row r="68" spans="1:13" ht="20.399999999999999" x14ac:dyDescent="0.3">
      <c r="A68" s="139" t="s">
        <v>239</v>
      </c>
      <c r="B68" s="140"/>
      <c r="C68" s="138"/>
      <c r="D68" s="138"/>
      <c r="E68" s="138"/>
      <c r="F68" s="138"/>
      <c r="G68" s="138"/>
      <c r="H68" s="138"/>
      <c r="I68" s="138"/>
      <c r="J68" s="157"/>
      <c r="K68" s="138"/>
      <c r="L68" s="138"/>
      <c r="M68" s="138"/>
    </row>
    <row r="69" spans="1:13" ht="20.399999999999999" x14ac:dyDescent="0.3">
      <c r="A69" s="139" t="s">
        <v>240</v>
      </c>
      <c r="B69" s="140"/>
      <c r="C69" s="138"/>
      <c r="D69" s="138"/>
      <c r="E69" s="138"/>
      <c r="F69" s="138"/>
      <c r="G69" s="138"/>
      <c r="H69" s="138"/>
      <c r="I69" s="138"/>
      <c r="J69" s="157"/>
      <c r="K69" s="138"/>
      <c r="L69" s="138"/>
      <c r="M69" s="138"/>
    </row>
    <row r="70" spans="1:13" ht="30.6" x14ac:dyDescent="0.3">
      <c r="A70" s="139" t="s">
        <v>241</v>
      </c>
      <c r="B70" s="140"/>
      <c r="C70" s="138"/>
      <c r="D70" s="138"/>
      <c r="E70" s="138"/>
      <c r="F70" s="138"/>
      <c r="G70" s="138"/>
      <c r="H70" s="138"/>
      <c r="I70" s="138"/>
      <c r="J70" s="157"/>
      <c r="K70" s="138"/>
      <c r="L70" s="138"/>
      <c r="M70" s="138"/>
    </row>
    <row r="71" spans="1:13" ht="31.2" thickBot="1" x14ac:dyDescent="0.35">
      <c r="A71" s="142" t="s">
        <v>242</v>
      </c>
      <c r="B71" s="147"/>
      <c r="C71" s="144"/>
      <c r="D71" s="138"/>
      <c r="E71" s="138"/>
      <c r="F71" s="138"/>
      <c r="G71" s="138"/>
      <c r="H71" s="138"/>
      <c r="I71" s="138"/>
      <c r="J71" s="157"/>
      <c r="K71" s="138"/>
      <c r="L71" s="138"/>
      <c r="M71" s="138"/>
    </row>
    <row r="72" spans="1:13" ht="20.399999999999999" x14ac:dyDescent="0.3">
      <c r="A72" s="136" t="s">
        <v>243</v>
      </c>
      <c r="B72" s="137"/>
      <c r="C72" s="138"/>
      <c r="D72" s="138"/>
      <c r="E72" s="138"/>
      <c r="F72" s="138"/>
      <c r="G72" s="138"/>
      <c r="H72" s="138"/>
      <c r="I72" s="138"/>
      <c r="J72" s="157"/>
      <c r="K72" s="138"/>
      <c r="L72" s="138"/>
      <c r="M72" s="138"/>
    </row>
    <row r="73" spans="1:13" x14ac:dyDescent="0.3">
      <c r="A73" s="139" t="s">
        <v>244</v>
      </c>
      <c r="B73" s="140"/>
      <c r="C73" s="138"/>
      <c r="D73" s="138"/>
      <c r="E73" s="138"/>
      <c r="F73" s="138"/>
      <c r="G73" s="138"/>
      <c r="H73" s="138"/>
      <c r="I73" s="138"/>
      <c r="J73" s="157"/>
      <c r="K73" s="138"/>
      <c r="L73" s="138"/>
      <c r="M73" s="138"/>
    </row>
    <row r="74" spans="1:13" ht="20.399999999999999" x14ac:dyDescent="0.3">
      <c r="A74" s="139" t="s">
        <v>245</v>
      </c>
      <c r="B74" s="140"/>
      <c r="C74" s="138"/>
      <c r="D74" s="138"/>
      <c r="E74" s="138"/>
      <c r="F74" s="138"/>
      <c r="G74" s="138"/>
      <c r="H74" s="138"/>
      <c r="I74" s="138"/>
      <c r="J74" s="157"/>
      <c r="K74" s="138"/>
      <c r="L74" s="138"/>
      <c r="M74" s="138"/>
    </row>
    <row r="75" spans="1:13" ht="20.399999999999999" x14ac:dyDescent="0.3">
      <c r="A75" s="139" t="s">
        <v>246</v>
      </c>
      <c r="B75" s="140"/>
      <c r="C75" s="138"/>
      <c r="D75" s="138"/>
      <c r="E75" s="138"/>
      <c r="F75" s="138"/>
      <c r="G75" s="138"/>
      <c r="H75" s="138"/>
      <c r="I75" s="138"/>
      <c r="J75" s="157"/>
      <c r="K75" s="138"/>
      <c r="L75" s="138"/>
      <c r="M75" s="138"/>
    </row>
    <row r="76" spans="1:13" ht="20.399999999999999" x14ac:dyDescent="0.3">
      <c r="A76" s="139" t="s">
        <v>247</v>
      </c>
      <c r="B76" s="140"/>
      <c r="C76" s="138"/>
      <c r="D76" s="138"/>
      <c r="E76" s="138"/>
      <c r="F76" s="138"/>
      <c r="G76" s="138"/>
      <c r="H76" s="138"/>
      <c r="I76" s="138"/>
      <c r="J76" s="157"/>
      <c r="K76" s="138"/>
      <c r="L76" s="138"/>
      <c r="M76" s="138"/>
    </row>
    <row r="77" spans="1:13" ht="20.399999999999999" x14ac:dyDescent="0.3">
      <c r="A77" s="139" t="s">
        <v>248</v>
      </c>
      <c r="B77" s="140"/>
      <c r="C77" s="138"/>
      <c r="D77" s="138"/>
      <c r="E77" s="138"/>
      <c r="F77" s="138"/>
      <c r="G77" s="138"/>
      <c r="H77" s="138"/>
      <c r="I77" s="138"/>
      <c r="J77" s="157"/>
      <c r="K77" s="138"/>
      <c r="L77" s="138"/>
      <c r="M77" s="138"/>
    </row>
    <row r="78" spans="1:13" x14ac:dyDescent="0.3">
      <c r="A78" s="579" t="s">
        <v>249</v>
      </c>
      <c r="B78" s="140"/>
      <c r="C78" s="138"/>
      <c r="D78" s="138"/>
      <c r="E78" s="138"/>
      <c r="F78" s="138"/>
      <c r="G78" s="138"/>
      <c r="H78" s="138"/>
      <c r="I78" s="138"/>
      <c r="J78" s="157"/>
      <c r="K78" s="138"/>
      <c r="L78" s="138"/>
      <c r="M78" s="138"/>
    </row>
    <row r="79" spans="1:13" x14ac:dyDescent="0.3">
      <c r="A79" s="579"/>
      <c r="B79" s="140"/>
      <c r="C79" s="138"/>
      <c r="D79" s="138"/>
      <c r="E79" s="138"/>
      <c r="F79" s="138"/>
      <c r="G79" s="138"/>
      <c r="H79" s="138"/>
      <c r="I79" s="138"/>
      <c r="J79" s="157"/>
      <c r="K79" s="138"/>
      <c r="L79" s="138"/>
      <c r="M79" s="138"/>
    </row>
    <row r="80" spans="1:13" ht="21.6" x14ac:dyDescent="0.3">
      <c r="A80" s="148" t="s">
        <v>250</v>
      </c>
      <c r="B80" s="140"/>
      <c r="C80" s="138"/>
      <c r="D80" s="138"/>
      <c r="E80" s="138"/>
      <c r="F80" s="138"/>
      <c r="G80" s="138"/>
      <c r="H80" s="138"/>
      <c r="I80" s="138"/>
      <c r="J80" s="157"/>
      <c r="K80" s="138"/>
      <c r="L80" s="138"/>
      <c r="M80" s="138"/>
    </row>
    <row r="81" spans="1:13" ht="21.6" x14ac:dyDescent="0.3">
      <c r="A81" s="148" t="s">
        <v>251</v>
      </c>
      <c r="B81" s="140"/>
      <c r="C81" s="138"/>
      <c r="D81" s="138"/>
      <c r="E81" s="138"/>
      <c r="F81" s="138"/>
      <c r="G81" s="138"/>
      <c r="H81" s="138"/>
      <c r="I81" s="138"/>
      <c r="J81" s="157"/>
      <c r="K81" s="138"/>
      <c r="L81" s="138"/>
      <c r="M81" s="138"/>
    </row>
    <row r="82" spans="1:13" ht="31.8" x14ac:dyDescent="0.3">
      <c r="A82" s="148" t="s">
        <v>252</v>
      </c>
      <c r="B82" s="140"/>
      <c r="C82" s="138"/>
      <c r="D82" s="138"/>
      <c r="E82" s="138"/>
      <c r="F82" s="138"/>
      <c r="G82" s="138"/>
      <c r="H82" s="138"/>
      <c r="I82" s="138"/>
      <c r="J82" s="157"/>
      <c r="K82" s="138"/>
      <c r="L82" s="138"/>
      <c r="M82" s="138"/>
    </row>
    <row r="83" spans="1:13" ht="20.399999999999999" x14ac:dyDescent="0.3">
      <c r="A83" s="139" t="s">
        <v>253</v>
      </c>
      <c r="B83" s="140"/>
      <c r="C83" s="138"/>
      <c r="D83" s="138"/>
      <c r="E83" s="138"/>
      <c r="F83" s="138"/>
      <c r="G83" s="138"/>
      <c r="H83" s="138"/>
      <c r="I83" s="138"/>
      <c r="J83" s="157"/>
      <c r="K83" s="138"/>
      <c r="L83" s="138"/>
      <c r="M83" s="138"/>
    </row>
    <row r="84" spans="1:13" ht="51" x14ac:dyDescent="0.3">
      <c r="A84" s="139" t="s">
        <v>254</v>
      </c>
      <c r="B84" s="140"/>
      <c r="C84" s="138"/>
      <c r="D84" s="138"/>
      <c r="E84" s="138"/>
      <c r="F84" s="138"/>
      <c r="G84" s="138"/>
      <c r="H84" s="138"/>
      <c r="I84" s="138"/>
      <c r="J84" s="157"/>
      <c r="K84" s="138"/>
      <c r="L84" s="138"/>
      <c r="M84" s="138"/>
    </row>
    <row r="85" spans="1:13" ht="21.6" x14ac:dyDescent="0.3">
      <c r="A85" s="148" t="s">
        <v>255</v>
      </c>
      <c r="B85" s="140"/>
      <c r="C85" s="138"/>
      <c r="D85" s="138"/>
      <c r="E85" s="138"/>
      <c r="F85" s="138"/>
      <c r="G85" s="138"/>
      <c r="H85" s="138"/>
      <c r="I85" s="138"/>
      <c r="J85" s="157"/>
      <c r="K85" s="138"/>
      <c r="L85" s="138"/>
      <c r="M85" s="138"/>
    </row>
    <row r="86" spans="1:13" x14ac:dyDescent="0.3">
      <c r="A86" s="579" t="s">
        <v>256</v>
      </c>
      <c r="B86" s="140"/>
      <c r="C86" s="138"/>
      <c r="D86" s="138"/>
      <c r="E86" s="138"/>
      <c r="F86" s="138"/>
      <c r="G86" s="138"/>
      <c r="H86" s="138"/>
      <c r="I86" s="138"/>
      <c r="J86" s="157"/>
      <c r="K86" s="138"/>
      <c r="L86" s="138"/>
      <c r="M86" s="138"/>
    </row>
    <row r="87" spans="1:13" x14ac:dyDescent="0.3">
      <c r="A87" s="579"/>
      <c r="B87" s="140"/>
      <c r="C87" s="138"/>
      <c r="D87" s="138"/>
      <c r="E87" s="138"/>
      <c r="F87" s="138"/>
      <c r="G87" s="138"/>
      <c r="H87" s="138"/>
      <c r="I87" s="138"/>
      <c r="J87" s="157"/>
      <c r="K87" s="138"/>
      <c r="L87" s="138"/>
      <c r="M87" s="138"/>
    </row>
    <row r="88" spans="1:13" ht="21.6" x14ac:dyDescent="0.3">
      <c r="A88" s="148" t="s">
        <v>257</v>
      </c>
      <c r="B88" s="140"/>
      <c r="C88" s="138"/>
      <c r="D88" s="138"/>
      <c r="E88" s="138"/>
      <c r="F88" s="138"/>
      <c r="G88" s="138"/>
      <c r="H88" s="138"/>
      <c r="I88" s="138"/>
      <c r="J88" s="157"/>
      <c r="K88" s="138"/>
      <c r="L88" s="138"/>
      <c r="M88" s="138"/>
    </row>
    <row r="89" spans="1:13" x14ac:dyDescent="0.3">
      <c r="A89" s="579" t="s">
        <v>258</v>
      </c>
      <c r="B89" s="140"/>
      <c r="C89" s="138"/>
      <c r="D89" s="138"/>
      <c r="E89" s="138"/>
      <c r="F89" s="138"/>
      <c r="G89" s="138"/>
      <c r="H89" s="138"/>
      <c r="I89" s="138"/>
      <c r="J89" s="157"/>
      <c r="K89" s="138"/>
      <c r="L89" s="138"/>
      <c r="M89" s="138"/>
    </row>
    <row r="90" spans="1:13" x14ac:dyDescent="0.3">
      <c r="A90" s="579"/>
      <c r="B90" s="140"/>
      <c r="C90" s="138"/>
      <c r="D90" s="138"/>
      <c r="E90" s="138"/>
      <c r="F90" s="138"/>
      <c r="G90" s="138"/>
      <c r="H90" s="138"/>
      <c r="I90" s="138"/>
      <c r="J90" s="157"/>
      <c r="K90" s="138"/>
      <c r="L90" s="138"/>
      <c r="M90" s="138"/>
    </row>
    <row r="91" spans="1:13" ht="31.8" x14ac:dyDescent="0.3">
      <c r="A91" s="148" t="s">
        <v>259</v>
      </c>
      <c r="B91" s="140"/>
      <c r="C91" s="138"/>
      <c r="D91" s="138"/>
      <c r="E91" s="138"/>
      <c r="F91" s="138"/>
      <c r="G91" s="138"/>
      <c r="H91" s="138"/>
      <c r="I91" s="138"/>
      <c r="J91" s="157"/>
      <c r="K91" s="138"/>
      <c r="L91" s="138"/>
      <c r="M91" s="138"/>
    </row>
    <row r="92" spans="1:13" ht="30.6" x14ac:dyDescent="0.3">
      <c r="A92" s="139" t="s">
        <v>260</v>
      </c>
      <c r="B92" s="140"/>
      <c r="C92" s="138"/>
      <c r="D92" s="138"/>
      <c r="E92" s="138"/>
      <c r="F92" s="138"/>
      <c r="G92" s="138"/>
      <c r="H92" s="138"/>
      <c r="I92" s="138"/>
      <c r="J92" s="157"/>
      <c r="K92" s="138"/>
      <c r="L92" s="138"/>
      <c r="M92" s="138"/>
    </row>
    <row r="93" spans="1:13" x14ac:dyDescent="0.3">
      <c r="A93" s="579" t="s">
        <v>261</v>
      </c>
      <c r="B93" s="140"/>
      <c r="C93" s="138"/>
      <c r="D93" s="138"/>
      <c r="E93" s="138"/>
      <c r="F93" s="138"/>
      <c r="G93" s="138"/>
      <c r="H93" s="138"/>
      <c r="I93" s="138"/>
      <c r="J93" s="157"/>
      <c r="K93" s="138"/>
      <c r="L93" s="138"/>
      <c r="M93" s="138"/>
    </row>
    <row r="94" spans="1:13" x14ac:dyDescent="0.3">
      <c r="A94" s="579"/>
      <c r="B94" s="140"/>
      <c r="C94" s="138"/>
      <c r="D94" s="138"/>
      <c r="E94" s="138"/>
      <c r="F94" s="138"/>
      <c r="G94" s="138"/>
      <c r="H94" s="138"/>
      <c r="I94" s="138"/>
      <c r="J94" s="157"/>
      <c r="K94" s="138"/>
      <c r="L94" s="138"/>
      <c r="M94" s="138"/>
    </row>
    <row r="95" spans="1:13" ht="20.399999999999999" x14ac:dyDescent="0.3">
      <c r="A95" s="139" t="s">
        <v>262</v>
      </c>
      <c r="B95" s="140"/>
      <c r="C95" s="138"/>
      <c r="D95" s="138"/>
      <c r="E95" s="138"/>
      <c r="F95" s="138"/>
      <c r="G95" s="138"/>
      <c r="H95" s="138"/>
      <c r="I95" s="138"/>
      <c r="J95" s="157"/>
      <c r="K95" s="138"/>
      <c r="L95" s="138"/>
      <c r="M95" s="138"/>
    </row>
    <row r="96" spans="1:13" ht="42" customHeight="1" x14ac:dyDescent="0.3">
      <c r="A96" s="148" t="s">
        <v>263</v>
      </c>
      <c r="B96" s="140"/>
      <c r="C96" s="138"/>
      <c r="D96" s="138"/>
      <c r="E96" s="138"/>
      <c r="F96" s="138"/>
      <c r="G96" s="138"/>
      <c r="H96" s="138"/>
      <c r="I96" s="138"/>
      <c r="J96" s="157"/>
      <c r="K96" s="138"/>
      <c r="L96" s="138"/>
      <c r="M96" s="138"/>
    </row>
    <row r="97" spans="1:13" ht="31.8" x14ac:dyDescent="0.3">
      <c r="A97" s="148" t="s">
        <v>264</v>
      </c>
      <c r="B97" s="140"/>
      <c r="C97" s="138"/>
      <c r="D97" s="138"/>
      <c r="E97" s="138"/>
      <c r="F97" s="138"/>
      <c r="G97" s="138"/>
      <c r="H97" s="138"/>
      <c r="I97" s="138"/>
      <c r="J97" s="157"/>
      <c r="K97" s="138"/>
      <c r="L97" s="138"/>
      <c r="M97" s="138"/>
    </row>
    <row r="98" spans="1:13" ht="30.6" x14ac:dyDescent="0.3">
      <c r="A98" s="139" t="s">
        <v>265</v>
      </c>
      <c r="B98" s="140"/>
      <c r="C98" s="138"/>
      <c r="D98" s="138"/>
      <c r="E98" s="138"/>
      <c r="F98" s="138"/>
      <c r="G98" s="138"/>
      <c r="H98" s="138"/>
      <c r="I98" s="138"/>
      <c r="J98" s="157"/>
      <c r="K98" s="138"/>
      <c r="L98" s="138"/>
      <c r="M98" s="138"/>
    </row>
    <row r="99" spans="1:13" ht="31.8" x14ac:dyDescent="0.3">
      <c r="A99" s="148" t="s">
        <v>266</v>
      </c>
      <c r="B99" s="140"/>
      <c r="C99" s="138"/>
      <c r="D99" s="138"/>
      <c r="E99" s="138"/>
      <c r="F99" s="138"/>
      <c r="G99" s="138"/>
      <c r="H99" s="138"/>
      <c r="I99" s="138"/>
      <c r="J99" s="157"/>
      <c r="K99" s="138"/>
      <c r="L99" s="138"/>
      <c r="M99" s="138"/>
    </row>
    <row r="100" spans="1:13" x14ac:dyDescent="0.3">
      <c r="A100" s="579" t="s">
        <v>267</v>
      </c>
      <c r="B100" s="140"/>
      <c r="C100" s="138"/>
      <c r="D100" s="138"/>
      <c r="E100" s="138"/>
      <c r="F100" s="138"/>
      <c r="G100" s="138"/>
      <c r="H100" s="138"/>
      <c r="I100" s="138"/>
      <c r="J100" s="157"/>
      <c r="K100" s="138"/>
      <c r="L100" s="138"/>
      <c r="M100" s="138"/>
    </row>
    <row r="101" spans="1:13" x14ac:dyDescent="0.3">
      <c r="A101" s="579"/>
      <c r="B101" s="140"/>
      <c r="C101" s="138"/>
      <c r="D101" s="138"/>
      <c r="E101" s="138"/>
      <c r="F101" s="138"/>
      <c r="G101" s="138"/>
      <c r="H101" s="138"/>
      <c r="I101" s="138"/>
      <c r="J101" s="157"/>
      <c r="K101" s="138"/>
      <c r="L101" s="138"/>
      <c r="M101" s="138"/>
    </row>
    <row r="102" spans="1:13" ht="21" thickBot="1" x14ac:dyDescent="0.35">
      <c r="A102" s="142" t="s">
        <v>268</v>
      </c>
      <c r="B102" s="143"/>
      <c r="C102" s="144"/>
      <c r="D102" s="138"/>
      <c r="E102" s="138"/>
      <c r="F102" s="138"/>
      <c r="G102" s="138"/>
      <c r="H102" s="138"/>
      <c r="I102" s="138"/>
      <c r="J102" s="157"/>
      <c r="K102" s="138"/>
      <c r="L102" s="138"/>
      <c r="M102" s="138"/>
    </row>
    <row r="103" spans="1:13" x14ac:dyDescent="0.3">
      <c r="A103" s="136" t="s">
        <v>269</v>
      </c>
      <c r="B103" s="137"/>
      <c r="C103" s="138"/>
      <c r="D103" s="138"/>
      <c r="E103" s="138"/>
      <c r="F103" s="138"/>
      <c r="G103" s="138"/>
      <c r="H103" s="138"/>
      <c r="I103" s="138"/>
      <c r="J103" s="157"/>
      <c r="K103" s="138"/>
      <c r="L103" s="138"/>
      <c r="M103" s="138"/>
    </row>
    <row r="104" spans="1:13" ht="20.399999999999999" x14ac:dyDescent="0.3">
      <c r="A104" s="139" t="s">
        <v>270</v>
      </c>
      <c r="B104" s="140"/>
      <c r="C104" s="138"/>
      <c r="D104" s="138"/>
      <c r="E104" s="138"/>
      <c r="F104" s="138"/>
      <c r="G104" s="138"/>
      <c r="H104" s="138"/>
      <c r="I104" s="138"/>
      <c r="J104" s="157"/>
      <c r="K104" s="138"/>
      <c r="L104" s="138"/>
      <c r="M104" s="138"/>
    </row>
    <row r="105" spans="1:13" ht="20.399999999999999" x14ac:dyDescent="0.3">
      <c r="A105" s="139" t="s">
        <v>271</v>
      </c>
      <c r="B105" s="140"/>
      <c r="C105" s="138"/>
      <c r="D105" s="138"/>
      <c r="E105" s="138"/>
      <c r="F105" s="138"/>
      <c r="G105" s="138"/>
      <c r="H105" s="138"/>
      <c r="I105" s="138"/>
      <c r="J105" s="157"/>
      <c r="K105" s="138"/>
      <c r="L105" s="138"/>
      <c r="M105" s="138"/>
    </row>
    <row r="106" spans="1:13" x14ac:dyDescent="0.3">
      <c r="A106" s="139" t="s">
        <v>272</v>
      </c>
      <c r="B106" s="140"/>
      <c r="C106" s="138"/>
      <c r="D106" s="138"/>
      <c r="E106" s="138"/>
      <c r="F106" s="138"/>
      <c r="G106" s="138"/>
      <c r="H106" s="138"/>
      <c r="I106" s="138"/>
      <c r="J106" s="157"/>
      <c r="K106" s="138"/>
      <c r="L106" s="138"/>
      <c r="M106" s="138"/>
    </row>
    <row r="107" spans="1:13" ht="30.6" x14ac:dyDescent="0.3">
      <c r="A107" s="139" t="s">
        <v>273</v>
      </c>
      <c r="B107" s="140"/>
      <c r="C107" s="138"/>
      <c r="D107" s="138"/>
      <c r="E107" s="138"/>
      <c r="F107" s="138"/>
      <c r="G107" s="138"/>
      <c r="H107" s="138"/>
      <c r="I107" s="138"/>
      <c r="J107" s="157"/>
      <c r="K107" s="138"/>
      <c r="L107" s="138"/>
      <c r="M107" s="138"/>
    </row>
    <row r="108" spans="1:13" x14ac:dyDescent="0.3">
      <c r="A108" s="139" t="s">
        <v>274</v>
      </c>
      <c r="B108" s="140"/>
      <c r="C108" s="138"/>
      <c r="D108" s="138"/>
      <c r="E108" s="138"/>
      <c r="F108" s="138"/>
      <c r="G108" s="138"/>
      <c r="H108" s="138"/>
      <c r="I108" s="138"/>
      <c r="J108" s="157"/>
      <c r="K108" s="138"/>
      <c r="L108" s="138"/>
      <c r="M108" s="138"/>
    </row>
    <row r="109" spans="1:13" ht="20.399999999999999" x14ac:dyDescent="0.3">
      <c r="A109" s="139" t="s">
        <v>275</v>
      </c>
      <c r="B109" s="140"/>
      <c r="C109" s="138"/>
      <c r="D109" s="138"/>
      <c r="E109" s="138"/>
      <c r="F109" s="138"/>
      <c r="G109" s="138"/>
      <c r="H109" s="138"/>
      <c r="I109" s="138"/>
      <c r="J109" s="157"/>
      <c r="K109" s="138"/>
      <c r="L109" s="138"/>
      <c r="M109" s="138"/>
    </row>
    <row r="110" spans="1:13" ht="20.399999999999999" x14ac:dyDescent="0.3">
      <c r="A110" s="139" t="s">
        <v>276</v>
      </c>
      <c r="B110" s="140"/>
      <c r="C110" s="138"/>
      <c r="D110" s="138"/>
      <c r="E110" s="138"/>
      <c r="F110" s="138"/>
      <c r="G110" s="138"/>
      <c r="H110" s="138"/>
      <c r="I110" s="138"/>
      <c r="J110" s="157"/>
      <c r="K110" s="138"/>
      <c r="L110" s="138"/>
      <c r="M110" s="138"/>
    </row>
    <row r="111" spans="1:13" ht="31.35" customHeight="1" x14ac:dyDescent="0.3">
      <c r="A111" s="139" t="s">
        <v>277</v>
      </c>
      <c r="B111" s="140"/>
      <c r="C111" s="138"/>
      <c r="D111" s="138"/>
      <c r="E111" s="138"/>
      <c r="F111" s="138"/>
      <c r="G111" s="138"/>
      <c r="H111" s="138"/>
      <c r="I111" s="138"/>
      <c r="J111" s="157"/>
      <c r="K111" s="138"/>
      <c r="L111" s="138"/>
      <c r="M111" s="138"/>
    </row>
    <row r="112" spans="1:13" ht="20.399999999999999" x14ac:dyDescent="0.3">
      <c r="A112" s="139" t="s">
        <v>278</v>
      </c>
      <c r="B112" s="140"/>
      <c r="C112" s="138"/>
      <c r="D112" s="138"/>
      <c r="E112" s="138"/>
      <c r="F112" s="138"/>
      <c r="G112" s="138"/>
      <c r="H112" s="138"/>
      <c r="I112" s="138"/>
      <c r="J112" s="157"/>
      <c r="K112" s="138"/>
      <c r="L112" s="138"/>
      <c r="M112" s="138"/>
    </row>
    <row r="113" spans="1:13" ht="20.399999999999999" x14ac:dyDescent="0.3">
      <c r="A113" s="139" t="s">
        <v>279</v>
      </c>
      <c r="B113" s="140"/>
      <c r="C113" s="138"/>
      <c r="D113" s="138"/>
      <c r="E113" s="138"/>
      <c r="F113" s="138"/>
      <c r="G113" s="138"/>
      <c r="H113" s="138"/>
      <c r="I113" s="138"/>
      <c r="J113" s="157"/>
      <c r="K113" s="138"/>
      <c r="L113" s="138"/>
      <c r="M113" s="138"/>
    </row>
    <row r="114" spans="1:13" ht="20.399999999999999" x14ac:dyDescent="0.3">
      <c r="A114" s="139" t="s">
        <v>280</v>
      </c>
      <c r="B114" s="140"/>
      <c r="C114" s="138"/>
      <c r="D114" s="138"/>
      <c r="E114" s="138"/>
      <c r="F114" s="138"/>
      <c r="G114" s="138"/>
      <c r="H114" s="138"/>
      <c r="I114" s="138"/>
      <c r="J114" s="157"/>
      <c r="K114" s="138"/>
      <c r="L114" s="138"/>
      <c r="M114" s="138"/>
    </row>
    <row r="115" spans="1:13" ht="30.6" x14ac:dyDescent="0.3">
      <c r="A115" s="139" t="s">
        <v>281</v>
      </c>
      <c r="B115" s="140"/>
      <c r="C115" s="138"/>
      <c r="D115" s="138"/>
      <c r="E115" s="138"/>
      <c r="F115" s="138"/>
      <c r="G115" s="138"/>
      <c r="H115" s="138"/>
      <c r="I115" s="138"/>
      <c r="J115" s="157"/>
      <c r="K115" s="138"/>
      <c r="L115" s="138"/>
      <c r="M115" s="138"/>
    </row>
    <row r="116" spans="1:13" ht="20.399999999999999" x14ac:dyDescent="0.3">
      <c r="A116" s="139" t="s">
        <v>282</v>
      </c>
      <c r="B116" s="140"/>
      <c r="C116" s="138"/>
      <c r="D116" s="138"/>
      <c r="E116" s="138"/>
      <c r="F116" s="138"/>
      <c r="G116" s="138"/>
      <c r="H116" s="138"/>
      <c r="I116" s="138"/>
      <c r="J116" s="157"/>
      <c r="K116" s="138"/>
      <c r="L116" s="138"/>
      <c r="M116" s="138"/>
    </row>
    <row r="117" spans="1:13" ht="20.399999999999999" x14ac:dyDescent="0.3">
      <c r="A117" s="139" t="s">
        <v>283</v>
      </c>
      <c r="B117" s="140"/>
      <c r="C117" s="138"/>
      <c r="D117" s="138"/>
      <c r="E117" s="138"/>
      <c r="F117" s="138"/>
      <c r="G117" s="138"/>
      <c r="H117" s="138"/>
      <c r="I117" s="138"/>
      <c r="J117" s="157"/>
      <c r="K117" s="138"/>
      <c r="L117" s="138"/>
      <c r="M117" s="138"/>
    </row>
    <row r="118" spans="1:13" ht="20.399999999999999" x14ac:dyDescent="0.3">
      <c r="A118" s="139" t="s">
        <v>284</v>
      </c>
      <c r="B118" s="140"/>
      <c r="C118" s="138"/>
      <c r="D118" s="138"/>
      <c r="E118" s="138"/>
      <c r="F118" s="138"/>
      <c r="G118" s="138"/>
      <c r="H118" s="138"/>
      <c r="I118" s="138"/>
      <c r="J118" s="157"/>
      <c r="K118" s="138"/>
      <c r="L118" s="138"/>
      <c r="M118" s="138"/>
    </row>
    <row r="119" spans="1:13" x14ac:dyDescent="0.3">
      <c r="A119" s="139" t="s">
        <v>285</v>
      </c>
      <c r="B119" s="140"/>
      <c r="C119" s="138"/>
      <c r="D119" s="138"/>
      <c r="E119" s="138"/>
      <c r="F119" s="138"/>
      <c r="G119" s="138"/>
      <c r="H119" s="138"/>
      <c r="I119" s="138"/>
      <c r="J119" s="157"/>
      <c r="K119" s="138"/>
      <c r="L119" s="138"/>
      <c r="M119" s="138"/>
    </row>
    <row r="120" spans="1:13" ht="20.399999999999999" x14ac:dyDescent="0.3">
      <c r="A120" s="139" t="s">
        <v>286</v>
      </c>
      <c r="B120" s="140"/>
      <c r="C120" s="138"/>
      <c r="D120" s="138"/>
      <c r="E120" s="138"/>
      <c r="F120" s="138"/>
      <c r="G120" s="138"/>
      <c r="H120" s="138"/>
      <c r="I120" s="138"/>
      <c r="J120" s="157"/>
      <c r="K120" s="138"/>
      <c r="L120" s="138"/>
      <c r="M120" s="138"/>
    </row>
    <row r="121" spans="1:13" ht="20.399999999999999" x14ac:dyDescent="0.3">
      <c r="A121" s="139" t="s">
        <v>287</v>
      </c>
      <c r="B121" s="140"/>
      <c r="C121" s="138"/>
      <c r="D121" s="138"/>
      <c r="E121" s="138"/>
      <c r="F121" s="138"/>
      <c r="G121" s="138"/>
      <c r="H121" s="138"/>
      <c r="I121" s="138"/>
      <c r="J121" s="157"/>
      <c r="K121" s="138"/>
      <c r="L121" s="138"/>
      <c r="M121" s="138"/>
    </row>
    <row r="122" spans="1:13" x14ac:dyDescent="0.3">
      <c r="A122" s="579" t="s">
        <v>288</v>
      </c>
      <c r="B122" s="140"/>
      <c r="C122" s="138"/>
      <c r="D122" s="138"/>
      <c r="E122" s="138"/>
      <c r="F122" s="138"/>
      <c r="G122" s="138"/>
      <c r="H122" s="138"/>
      <c r="I122" s="138"/>
      <c r="J122" s="157"/>
      <c r="K122" s="138"/>
      <c r="L122" s="138"/>
      <c r="M122" s="138"/>
    </row>
    <row r="123" spans="1:13" x14ac:dyDescent="0.3">
      <c r="A123" s="579"/>
      <c r="B123" s="140"/>
      <c r="C123" s="138"/>
      <c r="D123" s="138"/>
      <c r="E123" s="138"/>
      <c r="F123" s="138"/>
      <c r="G123" s="138"/>
      <c r="H123" s="138"/>
      <c r="I123" s="138"/>
      <c r="J123" s="157"/>
      <c r="K123" s="138"/>
      <c r="L123" s="138"/>
      <c r="M123" s="138"/>
    </row>
    <row r="124" spans="1:13" ht="20.399999999999999" x14ac:dyDescent="0.3">
      <c r="A124" s="139" t="s">
        <v>289</v>
      </c>
      <c r="B124" s="140"/>
      <c r="C124" s="138"/>
      <c r="D124" s="138"/>
      <c r="E124" s="138"/>
      <c r="F124" s="138"/>
      <c r="G124" s="138"/>
      <c r="H124" s="138"/>
      <c r="I124" s="138"/>
      <c r="J124" s="157"/>
      <c r="K124" s="138"/>
      <c r="L124" s="138"/>
      <c r="M124" s="138"/>
    </row>
    <row r="125" spans="1:13" ht="20.399999999999999" x14ac:dyDescent="0.3">
      <c r="A125" s="139" t="s">
        <v>290</v>
      </c>
      <c r="B125" s="574"/>
      <c r="C125" s="138"/>
      <c r="D125" s="138"/>
      <c r="E125" s="138"/>
      <c r="F125" s="138"/>
      <c r="G125" s="138"/>
      <c r="H125" s="138"/>
      <c r="I125" s="138"/>
      <c r="J125" s="157"/>
      <c r="K125" s="138"/>
      <c r="L125" s="138"/>
      <c r="M125" s="138"/>
    </row>
    <row r="126" spans="1:13" ht="20.399999999999999" x14ac:dyDescent="0.3">
      <c r="A126" s="139" t="s">
        <v>291</v>
      </c>
      <c r="B126" s="574"/>
      <c r="C126" s="138"/>
      <c r="D126" s="138"/>
      <c r="E126" s="138"/>
      <c r="F126" s="138"/>
      <c r="G126" s="138"/>
      <c r="H126" s="138"/>
      <c r="I126" s="138"/>
      <c r="J126" s="157"/>
      <c r="K126" s="138"/>
      <c r="L126" s="138"/>
      <c r="M126" s="138"/>
    </row>
    <row r="127" spans="1:13" x14ac:dyDescent="0.3">
      <c r="A127" s="139" t="s">
        <v>292</v>
      </c>
      <c r="B127" s="574"/>
      <c r="C127" s="138"/>
      <c r="D127" s="138"/>
      <c r="E127" s="138"/>
      <c r="F127" s="138"/>
      <c r="G127" s="138"/>
      <c r="H127" s="138"/>
      <c r="I127" s="138"/>
      <c r="J127" s="157"/>
      <c r="K127" s="138"/>
      <c r="L127" s="138"/>
      <c r="M127" s="138"/>
    </row>
    <row r="128" spans="1:13" ht="30.6" x14ac:dyDescent="0.3">
      <c r="A128" s="139" t="s">
        <v>293</v>
      </c>
      <c r="B128" s="140"/>
      <c r="C128" s="138"/>
      <c r="D128" s="138"/>
      <c r="E128" s="138"/>
      <c r="F128" s="138"/>
      <c r="G128" s="138"/>
      <c r="H128" s="138"/>
      <c r="I128" s="138"/>
      <c r="J128" s="157"/>
      <c r="K128" s="138"/>
      <c r="L128" s="138"/>
      <c r="M128" s="138"/>
    </row>
    <row r="129" spans="1:13" x14ac:dyDescent="0.3">
      <c r="A129" s="139" t="s">
        <v>294</v>
      </c>
      <c r="B129" s="140"/>
      <c r="C129" s="138"/>
      <c r="D129" s="138"/>
      <c r="E129" s="138"/>
      <c r="F129" s="138"/>
      <c r="G129" s="138"/>
      <c r="H129" s="138"/>
      <c r="I129" s="138"/>
      <c r="J129" s="157"/>
      <c r="K129" s="138"/>
      <c r="L129" s="138"/>
      <c r="M129" s="138"/>
    </row>
    <row r="130" spans="1:13" x14ac:dyDescent="0.3">
      <c r="A130" s="139" t="s">
        <v>295</v>
      </c>
      <c r="B130" s="574"/>
      <c r="C130" s="138"/>
      <c r="D130" s="138"/>
      <c r="E130" s="138"/>
      <c r="F130" s="138"/>
      <c r="G130" s="138"/>
      <c r="H130" s="138"/>
      <c r="I130" s="138"/>
      <c r="J130" s="157"/>
      <c r="K130" s="138"/>
      <c r="L130" s="138"/>
      <c r="M130" s="138"/>
    </row>
    <row r="131" spans="1:13" x14ac:dyDescent="0.3">
      <c r="A131" s="139" t="s">
        <v>296</v>
      </c>
      <c r="B131" s="574"/>
      <c r="C131" s="138"/>
      <c r="D131" s="138"/>
      <c r="E131" s="138"/>
      <c r="F131" s="138"/>
      <c r="G131" s="138"/>
      <c r="H131" s="138"/>
      <c r="I131" s="138"/>
      <c r="J131" s="157"/>
      <c r="K131" s="138"/>
      <c r="L131" s="138"/>
      <c r="M131" s="138"/>
    </row>
    <row r="132" spans="1:13" x14ac:dyDescent="0.3">
      <c r="A132" s="139" t="s">
        <v>297</v>
      </c>
      <c r="B132" s="140"/>
      <c r="C132" s="138"/>
      <c r="D132" s="138"/>
      <c r="E132" s="138"/>
      <c r="F132" s="138"/>
      <c r="G132" s="138"/>
      <c r="H132" s="138"/>
      <c r="I132" s="138"/>
      <c r="J132" s="157"/>
      <c r="K132" s="138"/>
      <c r="L132" s="138"/>
      <c r="M132" s="138"/>
    </row>
    <row r="133" spans="1:13" ht="20.399999999999999" x14ac:dyDescent="0.3">
      <c r="A133" s="139" t="s">
        <v>298</v>
      </c>
      <c r="B133" s="140"/>
      <c r="C133" s="138"/>
      <c r="D133" s="138"/>
      <c r="E133" s="138"/>
      <c r="F133" s="138"/>
      <c r="G133" s="138"/>
      <c r="H133" s="138"/>
      <c r="I133" s="138"/>
      <c r="J133" s="157"/>
      <c r="K133" s="138"/>
      <c r="L133" s="138"/>
      <c r="M133" s="138"/>
    </row>
    <row r="134" spans="1:13" ht="20.399999999999999" x14ac:dyDescent="0.3">
      <c r="A134" s="139" t="s">
        <v>299</v>
      </c>
      <c r="B134" s="140"/>
      <c r="C134" s="138"/>
      <c r="D134" s="138"/>
      <c r="E134" s="138"/>
      <c r="F134" s="138"/>
      <c r="G134" s="138"/>
      <c r="H134" s="138"/>
      <c r="I134" s="138"/>
      <c r="J134" s="157"/>
      <c r="K134" s="138"/>
      <c r="L134" s="138"/>
      <c r="M134" s="138"/>
    </row>
    <row r="135" spans="1:13" x14ac:dyDescent="0.3">
      <c r="A135" s="139" t="s">
        <v>300</v>
      </c>
      <c r="B135" s="574"/>
      <c r="C135" s="138"/>
      <c r="D135" s="138"/>
      <c r="E135" s="138"/>
      <c r="F135" s="138"/>
      <c r="G135" s="138"/>
      <c r="H135" s="138"/>
      <c r="I135" s="138"/>
      <c r="J135" s="157"/>
      <c r="K135" s="138"/>
      <c r="L135" s="138"/>
      <c r="M135" s="138"/>
    </row>
    <row r="136" spans="1:13" x14ac:dyDescent="0.3">
      <c r="A136" s="139" t="s">
        <v>301</v>
      </c>
      <c r="B136" s="574"/>
      <c r="C136" s="138"/>
      <c r="D136" s="138"/>
      <c r="E136" s="138"/>
      <c r="F136" s="138"/>
      <c r="G136" s="138"/>
      <c r="H136" s="138"/>
      <c r="I136" s="138"/>
      <c r="J136" s="157"/>
      <c r="K136" s="138"/>
      <c r="L136" s="138"/>
      <c r="M136" s="138"/>
    </row>
    <row r="137" spans="1:13" x14ac:dyDescent="0.3">
      <c r="A137" s="139" t="s">
        <v>302</v>
      </c>
      <c r="B137" s="140"/>
      <c r="C137" s="138"/>
      <c r="D137" s="138"/>
      <c r="E137" s="138"/>
      <c r="F137" s="138"/>
      <c r="G137" s="138"/>
      <c r="H137" s="138"/>
      <c r="I137" s="138"/>
      <c r="J137" s="157"/>
      <c r="K137" s="138"/>
      <c r="L137" s="138"/>
      <c r="M137" s="138"/>
    </row>
    <row r="138" spans="1:13" ht="20.399999999999999" x14ac:dyDescent="0.3">
      <c r="A138" s="139" t="s">
        <v>303</v>
      </c>
      <c r="B138" s="140"/>
      <c r="C138" s="138"/>
      <c r="D138" s="138"/>
      <c r="E138" s="138"/>
      <c r="F138" s="138"/>
      <c r="G138" s="138"/>
      <c r="H138" s="138"/>
      <c r="I138" s="138"/>
      <c r="J138" s="157"/>
      <c r="K138" s="138"/>
      <c r="L138" s="138"/>
      <c r="M138" s="138"/>
    </row>
    <row r="139" spans="1:13" ht="20.399999999999999" x14ac:dyDescent="0.3">
      <c r="A139" s="139" t="s">
        <v>304</v>
      </c>
      <c r="B139" s="140"/>
      <c r="C139" s="138"/>
      <c r="D139" s="138"/>
      <c r="E139" s="138"/>
      <c r="F139" s="138"/>
      <c r="G139" s="138"/>
      <c r="H139" s="138"/>
      <c r="I139" s="138"/>
      <c r="J139" s="157"/>
      <c r="K139" s="138"/>
      <c r="L139" s="138"/>
      <c r="M139" s="138"/>
    </row>
    <row r="140" spans="1:13" ht="20.399999999999999" x14ac:dyDescent="0.3">
      <c r="A140" s="139" t="s">
        <v>305</v>
      </c>
      <c r="B140" s="140"/>
      <c r="C140" s="138"/>
      <c r="D140" s="138"/>
      <c r="E140" s="138"/>
      <c r="F140" s="138"/>
      <c r="G140" s="138"/>
      <c r="H140" s="138"/>
      <c r="I140" s="138"/>
      <c r="J140" s="157"/>
      <c r="K140" s="138"/>
      <c r="L140" s="138"/>
      <c r="M140" s="138"/>
    </row>
    <row r="141" spans="1:13" ht="20.399999999999999" x14ac:dyDescent="0.3">
      <c r="A141" s="139" t="s">
        <v>306</v>
      </c>
      <c r="B141" s="140"/>
      <c r="C141" s="138"/>
      <c r="D141" s="138"/>
      <c r="E141" s="138"/>
      <c r="F141" s="138"/>
      <c r="G141" s="138"/>
      <c r="H141" s="138"/>
      <c r="I141" s="138"/>
      <c r="J141" s="157"/>
      <c r="K141" s="138"/>
      <c r="L141" s="138"/>
      <c r="M141" s="138"/>
    </row>
    <row r="142" spans="1:13" ht="20.399999999999999" x14ac:dyDescent="0.3">
      <c r="A142" s="139" t="s">
        <v>307</v>
      </c>
      <c r="B142" s="140"/>
      <c r="C142" s="138"/>
      <c r="D142" s="138"/>
      <c r="E142" s="138"/>
      <c r="F142" s="138"/>
      <c r="G142" s="138"/>
      <c r="H142" s="138"/>
      <c r="I142" s="138"/>
      <c r="J142" s="157"/>
      <c r="K142" s="138"/>
      <c r="L142" s="138"/>
      <c r="M142" s="138"/>
    </row>
    <row r="143" spans="1:13" ht="31.2" thickBot="1" x14ac:dyDescent="0.35">
      <c r="A143" s="142" t="s">
        <v>308</v>
      </c>
      <c r="B143" s="147"/>
      <c r="C143" s="144"/>
      <c r="D143" s="138"/>
      <c r="E143" s="138"/>
      <c r="F143" s="138"/>
      <c r="G143" s="138"/>
      <c r="H143" s="138"/>
      <c r="I143" s="138"/>
      <c r="J143" s="157"/>
      <c r="K143" s="138"/>
      <c r="L143" s="138"/>
      <c r="M143" s="138"/>
    </row>
    <row r="144" spans="1:13" ht="20.399999999999999" x14ac:dyDescent="0.3">
      <c r="A144" s="136" t="s">
        <v>309</v>
      </c>
      <c r="B144" s="149"/>
      <c r="C144" s="138"/>
      <c r="D144" s="138"/>
      <c r="E144" s="138"/>
      <c r="F144" s="138"/>
      <c r="G144" s="138"/>
      <c r="H144" s="138"/>
      <c r="I144" s="138"/>
      <c r="J144" s="157"/>
      <c r="K144" s="138"/>
      <c r="L144" s="138"/>
      <c r="M144" s="138"/>
    </row>
    <row r="145" spans="1:13" x14ac:dyDescent="0.3">
      <c r="A145" s="139" t="s">
        <v>310</v>
      </c>
      <c r="B145" s="150"/>
      <c r="C145" s="138"/>
      <c r="D145" s="138"/>
      <c r="E145" s="138"/>
      <c r="F145" s="138"/>
      <c r="G145" s="138"/>
      <c r="H145" s="138"/>
      <c r="I145" s="138"/>
      <c r="J145" s="157"/>
      <c r="K145" s="138"/>
      <c r="L145" s="138"/>
      <c r="M145" s="138"/>
    </row>
    <row r="146" spans="1:13" ht="40.799999999999997" x14ac:dyDescent="0.3">
      <c r="A146" s="139" t="s">
        <v>311</v>
      </c>
      <c r="B146" s="150"/>
      <c r="C146" s="138"/>
      <c r="D146" s="138"/>
      <c r="E146" s="138"/>
      <c r="F146" s="138"/>
      <c r="G146" s="138"/>
      <c r="H146" s="138"/>
      <c r="I146" s="138"/>
      <c r="J146" s="157"/>
      <c r="K146" s="138"/>
      <c r="L146" s="138"/>
      <c r="M146" s="138"/>
    </row>
    <row r="147" spans="1:13" x14ac:dyDescent="0.3">
      <c r="A147" s="139" t="s">
        <v>312</v>
      </c>
      <c r="B147" s="150"/>
      <c r="C147" s="138"/>
      <c r="D147" s="138"/>
      <c r="E147" s="138"/>
      <c r="F147" s="138"/>
      <c r="G147" s="138"/>
      <c r="H147" s="138"/>
      <c r="I147" s="138"/>
      <c r="J147" s="157"/>
      <c r="K147" s="138"/>
      <c r="L147" s="138"/>
      <c r="M147" s="138"/>
    </row>
    <row r="148" spans="1:13" ht="20.399999999999999" x14ac:dyDescent="0.3">
      <c r="A148" s="139" t="s">
        <v>313</v>
      </c>
      <c r="B148" s="150"/>
      <c r="C148" s="138"/>
      <c r="D148" s="138"/>
      <c r="E148" s="138"/>
      <c r="F148" s="138"/>
      <c r="G148" s="138"/>
      <c r="H148" s="138"/>
      <c r="I148" s="138"/>
      <c r="J148" s="157"/>
      <c r="K148" s="138"/>
      <c r="L148" s="138"/>
      <c r="M148" s="138"/>
    </row>
    <row r="149" spans="1:13" ht="20.399999999999999" x14ac:dyDescent="0.3">
      <c r="A149" s="139" t="s">
        <v>314</v>
      </c>
      <c r="B149" s="577"/>
      <c r="C149" s="138"/>
      <c r="D149" s="138"/>
      <c r="E149" s="138"/>
      <c r="F149" s="138"/>
      <c r="G149" s="138"/>
      <c r="H149" s="138"/>
      <c r="I149" s="138"/>
      <c r="J149" s="157"/>
      <c r="K149" s="138"/>
      <c r="L149" s="138"/>
      <c r="M149" s="138"/>
    </row>
    <row r="150" spans="1:13" ht="20.399999999999999" x14ac:dyDescent="0.3">
      <c r="A150" s="139" t="s">
        <v>315</v>
      </c>
      <c r="B150" s="577"/>
      <c r="C150" s="138"/>
      <c r="D150" s="138"/>
      <c r="E150" s="138"/>
      <c r="F150" s="138"/>
      <c r="G150" s="138"/>
      <c r="H150" s="138"/>
      <c r="I150" s="138"/>
      <c r="J150" s="157"/>
      <c r="K150" s="138"/>
      <c r="L150" s="138"/>
      <c r="M150" s="138"/>
    </row>
    <row r="151" spans="1:13" ht="30.6" x14ac:dyDescent="0.3">
      <c r="A151" s="139" t="s">
        <v>316</v>
      </c>
      <c r="B151" s="577"/>
      <c r="C151" s="138"/>
      <c r="D151" s="138"/>
      <c r="E151" s="138"/>
      <c r="F151" s="138"/>
      <c r="G151" s="138"/>
      <c r="H151" s="138"/>
      <c r="I151" s="138"/>
      <c r="J151" s="157"/>
      <c r="K151" s="138"/>
      <c r="L151" s="138"/>
      <c r="M151" s="138"/>
    </row>
    <row r="152" spans="1:13" ht="30.6" x14ac:dyDescent="0.3">
      <c r="A152" s="139" t="s">
        <v>317</v>
      </c>
      <c r="B152" s="150"/>
      <c r="C152" s="138"/>
      <c r="D152" s="138"/>
      <c r="E152" s="138"/>
      <c r="F152" s="138"/>
      <c r="G152" s="138"/>
      <c r="H152" s="138"/>
      <c r="I152" s="138"/>
      <c r="J152" s="157"/>
      <c r="K152" s="138"/>
      <c r="L152" s="138"/>
      <c r="M152" s="138"/>
    </row>
    <row r="153" spans="1:13" ht="30.6" x14ac:dyDescent="0.3">
      <c r="A153" s="139" t="s">
        <v>318</v>
      </c>
      <c r="B153" s="150"/>
      <c r="C153" s="138"/>
      <c r="D153" s="138"/>
      <c r="E153" s="138"/>
      <c r="F153" s="138"/>
      <c r="G153" s="138"/>
      <c r="H153" s="138"/>
      <c r="I153" s="138"/>
      <c r="J153" s="157"/>
      <c r="K153" s="138"/>
      <c r="L153" s="138"/>
      <c r="M153" s="138"/>
    </row>
    <row r="154" spans="1:13" ht="20.399999999999999" x14ac:dyDescent="0.3">
      <c r="A154" s="139" t="s">
        <v>319</v>
      </c>
      <c r="B154" s="150"/>
      <c r="C154" s="138"/>
      <c r="D154" s="138"/>
      <c r="E154" s="138"/>
      <c r="F154" s="138"/>
      <c r="G154" s="138"/>
      <c r="H154" s="138"/>
      <c r="I154" s="138"/>
      <c r="J154" s="157"/>
      <c r="K154" s="138"/>
      <c r="L154" s="138"/>
      <c r="M154" s="138"/>
    </row>
    <row r="155" spans="1:13" ht="30.6" x14ac:dyDescent="0.3">
      <c r="A155" s="139" t="s">
        <v>320</v>
      </c>
      <c r="B155" s="150"/>
      <c r="C155" s="138"/>
      <c r="D155" s="138"/>
      <c r="E155" s="138"/>
      <c r="F155" s="138"/>
      <c r="G155" s="138"/>
      <c r="H155" s="138"/>
      <c r="I155" s="138"/>
      <c r="J155" s="157"/>
      <c r="K155" s="138"/>
      <c r="L155" s="138"/>
      <c r="M155" s="138"/>
    </row>
    <row r="156" spans="1:13" ht="20.399999999999999" x14ac:dyDescent="0.3">
      <c r="A156" s="139" t="s">
        <v>321</v>
      </c>
      <c r="B156" s="578"/>
      <c r="C156" s="138"/>
      <c r="D156" s="138"/>
      <c r="E156" s="138"/>
      <c r="F156" s="138"/>
      <c r="G156" s="138"/>
      <c r="H156" s="138"/>
      <c r="I156" s="138"/>
      <c r="J156" s="157"/>
      <c r="K156" s="138"/>
      <c r="L156" s="138"/>
      <c r="M156" s="138"/>
    </row>
    <row r="157" spans="1:13" x14ac:dyDescent="0.3">
      <c r="A157" s="139" t="s">
        <v>322</v>
      </c>
      <c r="B157" s="578"/>
      <c r="C157" s="138"/>
      <c r="D157" s="138"/>
      <c r="E157" s="138"/>
      <c r="F157" s="138"/>
      <c r="G157" s="138"/>
      <c r="H157" s="138"/>
      <c r="I157" s="138"/>
      <c r="J157" s="157"/>
      <c r="K157" s="138"/>
      <c r="L157" s="138"/>
      <c r="M157" s="138"/>
    </row>
    <row r="158" spans="1:13" ht="20.399999999999999" x14ac:dyDescent="0.3">
      <c r="A158" s="139" t="s">
        <v>323</v>
      </c>
      <c r="B158" s="578"/>
      <c r="C158" s="138"/>
      <c r="D158" s="138"/>
      <c r="E158" s="138"/>
      <c r="F158" s="138"/>
      <c r="G158" s="138"/>
      <c r="H158" s="138"/>
      <c r="I158" s="138"/>
      <c r="J158" s="157"/>
      <c r="K158" s="138"/>
      <c r="L158" s="138"/>
      <c r="M158" s="138"/>
    </row>
    <row r="159" spans="1:13" ht="20.399999999999999" x14ac:dyDescent="0.3">
      <c r="A159" s="139" t="s">
        <v>324</v>
      </c>
      <c r="B159" s="150"/>
      <c r="C159" s="138"/>
      <c r="D159" s="138"/>
      <c r="E159" s="138"/>
      <c r="F159" s="138"/>
      <c r="G159" s="138"/>
      <c r="H159" s="138"/>
      <c r="I159" s="138"/>
      <c r="J159" s="157"/>
      <c r="K159" s="138"/>
      <c r="L159" s="138"/>
      <c r="M159" s="138"/>
    </row>
    <row r="160" spans="1:13" x14ac:dyDescent="0.3">
      <c r="A160" s="139" t="s">
        <v>325</v>
      </c>
      <c r="B160" s="150"/>
      <c r="C160" s="138"/>
      <c r="D160" s="138"/>
      <c r="E160" s="138"/>
      <c r="F160" s="138"/>
      <c r="G160" s="138"/>
      <c r="H160" s="138"/>
      <c r="I160" s="138"/>
      <c r="J160" s="157"/>
      <c r="K160" s="138"/>
      <c r="L160" s="138"/>
      <c r="M160" s="138"/>
    </row>
    <row r="161" spans="1:13" x14ac:dyDescent="0.3">
      <c r="A161" s="139" t="s">
        <v>326</v>
      </c>
      <c r="B161" s="573"/>
      <c r="C161" s="138"/>
      <c r="D161" s="138"/>
      <c r="E161" s="138"/>
      <c r="F161" s="138"/>
      <c r="G161" s="138"/>
      <c r="H161" s="138"/>
      <c r="I161" s="138"/>
      <c r="J161" s="157"/>
      <c r="K161" s="138"/>
      <c r="L161" s="138"/>
      <c r="M161" s="138"/>
    </row>
    <row r="162" spans="1:13" ht="20.399999999999999" x14ac:dyDescent="0.3">
      <c r="A162" s="139" t="s">
        <v>327</v>
      </c>
      <c r="B162" s="573"/>
      <c r="C162" s="138"/>
      <c r="D162" s="138"/>
      <c r="E162" s="138"/>
      <c r="F162" s="138"/>
      <c r="G162" s="138"/>
      <c r="H162" s="138"/>
      <c r="I162" s="138"/>
      <c r="J162" s="157"/>
      <c r="K162" s="138"/>
      <c r="L162" s="138"/>
      <c r="M162" s="138"/>
    </row>
    <row r="163" spans="1:13" ht="20.399999999999999" x14ac:dyDescent="0.3">
      <c r="A163" s="139" t="s">
        <v>328</v>
      </c>
      <c r="B163" s="573"/>
      <c r="C163" s="138"/>
      <c r="D163" s="138"/>
      <c r="E163" s="138"/>
      <c r="F163" s="138"/>
      <c r="G163" s="138"/>
      <c r="H163" s="138"/>
      <c r="I163" s="138"/>
      <c r="J163" s="157"/>
      <c r="K163" s="138"/>
      <c r="L163" s="138"/>
      <c r="M163" s="138"/>
    </row>
    <row r="164" spans="1:13" ht="20.7" customHeight="1" x14ac:dyDescent="0.3">
      <c r="A164" s="139" t="s">
        <v>329</v>
      </c>
      <c r="B164" s="573"/>
      <c r="C164" s="138"/>
      <c r="D164" s="138"/>
      <c r="E164" s="138"/>
      <c r="F164" s="138"/>
      <c r="G164" s="138"/>
      <c r="H164" s="138"/>
      <c r="I164" s="138"/>
      <c r="J164" s="157"/>
      <c r="K164" s="138"/>
      <c r="L164" s="138"/>
      <c r="M164" s="138"/>
    </row>
    <row r="165" spans="1:13" ht="20.399999999999999" x14ac:dyDescent="0.3">
      <c r="A165" s="139" t="s">
        <v>330</v>
      </c>
      <c r="B165" s="573"/>
      <c r="C165" s="138"/>
      <c r="D165" s="138"/>
      <c r="E165" s="138"/>
      <c r="F165" s="138"/>
      <c r="G165" s="138"/>
      <c r="H165" s="138"/>
      <c r="I165" s="138"/>
      <c r="J165" s="157"/>
      <c r="K165" s="138"/>
      <c r="L165" s="138"/>
      <c r="M165" s="138"/>
    </row>
    <row r="166" spans="1:13" x14ac:dyDescent="0.3">
      <c r="A166" s="139" t="s">
        <v>331</v>
      </c>
      <c r="B166" s="573"/>
      <c r="C166" s="138"/>
      <c r="D166" s="138"/>
      <c r="E166" s="138"/>
      <c r="F166" s="138"/>
      <c r="G166" s="138"/>
      <c r="H166" s="138"/>
      <c r="I166" s="138"/>
      <c r="J166" s="157"/>
      <c r="K166" s="138"/>
      <c r="L166" s="138"/>
      <c r="M166" s="138"/>
    </row>
    <row r="167" spans="1:13" ht="20.399999999999999" x14ac:dyDescent="0.3">
      <c r="A167" s="139" t="s">
        <v>332</v>
      </c>
      <c r="B167" s="573"/>
      <c r="C167" s="138"/>
      <c r="D167" s="138"/>
      <c r="E167" s="138"/>
      <c r="F167" s="138"/>
      <c r="G167" s="138"/>
      <c r="H167" s="138"/>
      <c r="I167" s="138"/>
      <c r="J167" s="157"/>
      <c r="K167" s="138"/>
      <c r="L167" s="138"/>
      <c r="M167" s="138"/>
    </row>
    <row r="168" spans="1:13" ht="20.399999999999999" x14ac:dyDescent="0.3">
      <c r="A168" s="139" t="s">
        <v>333</v>
      </c>
      <c r="B168" s="573"/>
      <c r="C168" s="138"/>
      <c r="D168" s="138"/>
      <c r="E168" s="138"/>
      <c r="F168" s="138"/>
      <c r="G168" s="138"/>
      <c r="H168" s="138"/>
      <c r="I168" s="138"/>
      <c r="J168" s="157"/>
      <c r="K168" s="138"/>
      <c r="L168" s="138"/>
      <c r="M168" s="138"/>
    </row>
    <row r="169" spans="1:13" ht="20.399999999999999" x14ac:dyDescent="0.3">
      <c r="A169" s="139" t="s">
        <v>334</v>
      </c>
      <c r="B169" s="150"/>
      <c r="C169" s="138"/>
      <c r="D169" s="138"/>
      <c r="E169" s="138"/>
      <c r="F169" s="138"/>
      <c r="G169" s="138"/>
      <c r="H169" s="138"/>
      <c r="I169" s="138"/>
      <c r="J169" s="157"/>
      <c r="K169" s="138"/>
      <c r="L169" s="138"/>
      <c r="M169" s="138"/>
    </row>
    <row r="170" spans="1:13" ht="20.399999999999999" x14ac:dyDescent="0.3">
      <c r="A170" s="139" t="s">
        <v>335</v>
      </c>
      <c r="B170" s="573"/>
      <c r="C170" s="138"/>
      <c r="D170" s="138"/>
      <c r="E170" s="138"/>
      <c r="F170" s="138"/>
      <c r="G170" s="138"/>
      <c r="H170" s="138"/>
      <c r="I170" s="138"/>
      <c r="J170" s="157"/>
      <c r="K170" s="138"/>
      <c r="L170" s="138"/>
      <c r="M170" s="138"/>
    </row>
    <row r="171" spans="1:13" x14ac:dyDescent="0.3">
      <c r="A171" s="139" t="s">
        <v>336</v>
      </c>
      <c r="B171" s="573"/>
      <c r="C171" s="138"/>
      <c r="D171" s="138"/>
      <c r="E171" s="138"/>
      <c r="F171" s="138"/>
      <c r="G171" s="138"/>
      <c r="H171" s="138"/>
      <c r="I171" s="138"/>
      <c r="J171" s="157"/>
      <c r="K171" s="138"/>
      <c r="L171" s="138"/>
      <c r="M171" s="138"/>
    </row>
    <row r="172" spans="1:13" x14ac:dyDescent="0.3">
      <c r="A172" s="139" t="s">
        <v>337</v>
      </c>
      <c r="B172" s="573"/>
      <c r="C172" s="138"/>
      <c r="D172" s="138"/>
      <c r="E172" s="138"/>
      <c r="F172" s="138"/>
      <c r="G172" s="138"/>
      <c r="H172" s="138"/>
      <c r="I172" s="138"/>
      <c r="J172" s="157"/>
      <c r="K172" s="138"/>
      <c r="L172" s="138"/>
      <c r="M172" s="138"/>
    </row>
    <row r="173" spans="1:13" x14ac:dyDescent="0.3">
      <c r="A173" s="139" t="s">
        <v>338</v>
      </c>
      <c r="B173" s="573"/>
      <c r="C173" s="138"/>
      <c r="D173" s="138"/>
      <c r="E173" s="138"/>
      <c r="F173" s="138"/>
      <c r="G173" s="138"/>
      <c r="H173" s="138"/>
      <c r="I173" s="138"/>
      <c r="J173" s="157"/>
      <c r="K173" s="138"/>
      <c r="L173" s="138"/>
      <c r="M173" s="138"/>
    </row>
    <row r="174" spans="1:13" ht="20.399999999999999" x14ac:dyDescent="0.3">
      <c r="A174" s="139" t="s">
        <v>339</v>
      </c>
      <c r="B174" s="150"/>
      <c r="C174" s="138"/>
      <c r="D174" s="138"/>
      <c r="E174" s="138"/>
      <c r="F174" s="138"/>
      <c r="G174" s="138"/>
      <c r="H174" s="138"/>
      <c r="I174" s="138"/>
      <c r="J174" s="157"/>
      <c r="K174" s="138"/>
      <c r="L174" s="138"/>
      <c r="M174" s="138"/>
    </row>
    <row r="175" spans="1:13" ht="20.399999999999999" x14ac:dyDescent="0.3">
      <c r="A175" s="139" t="s">
        <v>340</v>
      </c>
      <c r="B175" s="150"/>
      <c r="C175" s="138"/>
      <c r="D175" s="138"/>
      <c r="E175" s="138"/>
      <c r="F175" s="138"/>
      <c r="G175" s="138"/>
      <c r="H175" s="138"/>
      <c r="I175" s="138"/>
      <c r="J175" s="157"/>
      <c r="K175" s="138"/>
      <c r="L175" s="138"/>
      <c r="M175" s="138"/>
    </row>
    <row r="176" spans="1:13" ht="30.6" x14ac:dyDescent="0.3">
      <c r="A176" s="139" t="s">
        <v>341</v>
      </c>
      <c r="B176" s="150"/>
      <c r="C176" s="138"/>
      <c r="D176" s="138"/>
      <c r="E176" s="138"/>
      <c r="F176" s="138"/>
      <c r="G176" s="138"/>
      <c r="H176" s="138"/>
      <c r="I176" s="138"/>
      <c r="J176" s="157"/>
      <c r="K176" s="138"/>
      <c r="L176" s="138"/>
      <c r="M176" s="138"/>
    </row>
    <row r="177" spans="1:13" x14ac:dyDescent="0.3">
      <c r="A177" s="139" t="s">
        <v>342</v>
      </c>
      <c r="B177" s="573"/>
      <c r="C177" s="138"/>
      <c r="D177" s="138"/>
      <c r="E177" s="138"/>
      <c r="F177" s="138"/>
      <c r="G177" s="138"/>
      <c r="H177" s="138"/>
      <c r="I177" s="138"/>
      <c r="J177" s="157"/>
      <c r="K177" s="138"/>
      <c r="L177" s="138"/>
      <c r="M177" s="138"/>
    </row>
    <row r="178" spans="1:13" x14ac:dyDescent="0.3">
      <c r="A178" s="139" t="s">
        <v>343</v>
      </c>
      <c r="B178" s="573"/>
      <c r="C178" s="138"/>
      <c r="D178" s="138"/>
      <c r="E178" s="138"/>
      <c r="F178" s="138"/>
      <c r="G178" s="138"/>
      <c r="H178" s="138"/>
      <c r="I178" s="138"/>
      <c r="J178" s="157"/>
      <c r="K178" s="138"/>
      <c r="L178" s="138"/>
      <c r="M178" s="138"/>
    </row>
    <row r="179" spans="1:13" x14ac:dyDescent="0.3">
      <c r="A179" s="139" t="s">
        <v>344</v>
      </c>
      <c r="B179" s="573"/>
      <c r="C179" s="138"/>
      <c r="D179" s="138"/>
      <c r="E179" s="138"/>
      <c r="F179" s="138"/>
      <c r="G179" s="138"/>
      <c r="H179" s="138"/>
      <c r="I179" s="138"/>
      <c r="J179" s="157"/>
      <c r="K179" s="138"/>
      <c r="L179" s="138"/>
      <c r="M179" s="138"/>
    </row>
    <row r="180" spans="1:13" x14ac:dyDescent="0.3">
      <c r="A180" s="139" t="s">
        <v>345</v>
      </c>
      <c r="B180" s="573"/>
      <c r="C180" s="138"/>
      <c r="D180" s="138"/>
      <c r="E180" s="138"/>
      <c r="F180" s="138"/>
      <c r="G180" s="138"/>
      <c r="H180" s="138"/>
      <c r="I180" s="138"/>
      <c r="J180" s="157"/>
      <c r="K180" s="138"/>
      <c r="L180" s="138"/>
      <c r="M180" s="138"/>
    </row>
    <row r="181" spans="1:13" ht="20.399999999999999" x14ac:dyDescent="0.3">
      <c r="A181" s="139" t="s">
        <v>346</v>
      </c>
      <c r="B181" s="150"/>
      <c r="C181" s="138"/>
      <c r="D181" s="138"/>
      <c r="E181" s="138"/>
      <c r="F181" s="138"/>
      <c r="G181" s="138"/>
      <c r="H181" s="138"/>
      <c r="I181" s="138"/>
      <c r="J181" s="157"/>
      <c r="K181" s="138"/>
      <c r="L181" s="138"/>
      <c r="M181" s="138"/>
    </row>
    <row r="182" spans="1:13" ht="20.399999999999999" x14ac:dyDescent="0.3">
      <c r="A182" s="139" t="s">
        <v>347</v>
      </c>
      <c r="B182" s="150"/>
      <c r="C182" s="138"/>
      <c r="D182" s="138"/>
      <c r="E182" s="138"/>
      <c r="F182" s="138"/>
      <c r="G182" s="138"/>
      <c r="H182" s="138"/>
      <c r="I182" s="138"/>
      <c r="J182" s="157"/>
      <c r="K182" s="138"/>
      <c r="L182" s="138"/>
      <c r="M182" s="138"/>
    </row>
    <row r="183" spans="1:13" x14ac:dyDescent="0.3">
      <c r="A183" s="139" t="s">
        <v>348</v>
      </c>
      <c r="B183" s="573"/>
      <c r="C183" s="138"/>
      <c r="D183" s="138"/>
      <c r="E183" s="138"/>
      <c r="F183" s="138"/>
      <c r="G183" s="138"/>
      <c r="H183" s="138"/>
      <c r="I183" s="138"/>
      <c r="J183" s="157"/>
      <c r="K183" s="138"/>
      <c r="L183" s="138"/>
      <c r="M183" s="138"/>
    </row>
    <row r="184" spans="1:13" x14ac:dyDescent="0.3">
      <c r="A184" s="139" t="s">
        <v>349</v>
      </c>
      <c r="B184" s="573"/>
      <c r="C184" s="138"/>
      <c r="D184" s="138"/>
      <c r="E184" s="138"/>
      <c r="F184" s="138"/>
      <c r="G184" s="138"/>
      <c r="H184" s="138"/>
      <c r="I184" s="138"/>
      <c r="J184" s="157"/>
      <c r="K184" s="138"/>
      <c r="L184" s="138"/>
      <c r="M184" s="138"/>
    </row>
    <row r="185" spans="1:13" ht="20.399999999999999" x14ac:dyDescent="0.3">
      <c r="A185" s="139" t="s">
        <v>350</v>
      </c>
      <c r="B185" s="573"/>
      <c r="C185" s="138"/>
      <c r="D185" s="138"/>
      <c r="E185" s="138"/>
      <c r="F185" s="138"/>
      <c r="G185" s="138"/>
      <c r="H185" s="138"/>
      <c r="I185" s="138"/>
      <c r="J185" s="157"/>
      <c r="K185" s="138"/>
      <c r="L185" s="138"/>
      <c r="M185" s="138"/>
    </row>
    <row r="186" spans="1:13" ht="20.399999999999999" x14ac:dyDescent="0.3">
      <c r="A186" s="139" t="s">
        <v>351</v>
      </c>
      <c r="B186" s="573"/>
      <c r="C186" s="138"/>
      <c r="D186" s="138"/>
      <c r="E186" s="138"/>
      <c r="F186" s="138"/>
      <c r="G186" s="138"/>
      <c r="H186" s="138"/>
      <c r="I186" s="138"/>
      <c r="J186" s="157"/>
      <c r="K186" s="138"/>
      <c r="L186" s="138"/>
      <c r="M186" s="138"/>
    </row>
    <row r="187" spans="1:13" ht="20.399999999999999" x14ac:dyDescent="0.3">
      <c r="A187" s="139" t="s">
        <v>352</v>
      </c>
      <c r="B187" s="573"/>
      <c r="C187" s="138"/>
      <c r="D187" s="138"/>
      <c r="E187" s="138"/>
      <c r="F187" s="138"/>
      <c r="G187" s="138"/>
      <c r="H187" s="138"/>
      <c r="I187" s="138"/>
      <c r="J187" s="157"/>
      <c r="K187" s="138"/>
      <c r="L187" s="138"/>
      <c r="M187" s="138"/>
    </row>
    <row r="188" spans="1:13" x14ac:dyDescent="0.3">
      <c r="A188" s="139" t="s">
        <v>353</v>
      </c>
      <c r="B188" s="150"/>
      <c r="C188" s="138"/>
      <c r="D188" s="138"/>
      <c r="E188" s="138"/>
      <c r="F188" s="138"/>
      <c r="G188" s="138"/>
      <c r="H188" s="138"/>
      <c r="I188" s="138"/>
      <c r="J188" s="157"/>
      <c r="K188" s="138"/>
      <c r="L188" s="138"/>
      <c r="M188" s="138"/>
    </row>
    <row r="189" spans="1:13" x14ac:dyDescent="0.3">
      <c r="A189" s="139" t="s">
        <v>354</v>
      </c>
      <c r="B189" s="573"/>
      <c r="C189" s="138"/>
      <c r="D189" s="138"/>
      <c r="E189" s="138"/>
      <c r="F189" s="138"/>
      <c r="G189" s="138"/>
      <c r="H189" s="138"/>
      <c r="I189" s="138"/>
      <c r="J189" s="157"/>
      <c r="K189" s="138"/>
      <c r="L189" s="138"/>
      <c r="M189" s="138"/>
    </row>
    <row r="190" spans="1:13" x14ac:dyDescent="0.3">
      <c r="A190" s="139" t="s">
        <v>355</v>
      </c>
      <c r="B190" s="573"/>
      <c r="C190" s="138"/>
      <c r="D190" s="138"/>
      <c r="E190" s="138"/>
      <c r="F190" s="138"/>
      <c r="G190" s="138"/>
      <c r="H190" s="138"/>
      <c r="I190" s="138"/>
      <c r="J190" s="157"/>
      <c r="K190" s="138"/>
      <c r="L190" s="138"/>
      <c r="M190" s="138"/>
    </row>
    <row r="191" spans="1:13" x14ac:dyDescent="0.3">
      <c r="A191" s="139" t="s">
        <v>356</v>
      </c>
      <c r="B191" s="150"/>
      <c r="C191" s="138"/>
      <c r="D191" s="138"/>
      <c r="E191" s="138"/>
      <c r="F191" s="138"/>
      <c r="G191" s="138"/>
      <c r="H191" s="138"/>
      <c r="I191" s="138"/>
      <c r="J191" s="157"/>
      <c r="K191" s="138"/>
      <c r="L191" s="138"/>
      <c r="M191" s="138"/>
    </row>
    <row r="192" spans="1:13" x14ac:dyDescent="0.3">
      <c r="A192" s="139" t="s">
        <v>357</v>
      </c>
      <c r="B192" s="150"/>
      <c r="C192" s="138"/>
      <c r="D192" s="138"/>
      <c r="E192" s="138"/>
      <c r="F192" s="138"/>
      <c r="G192" s="138"/>
      <c r="H192" s="138"/>
      <c r="I192" s="138"/>
      <c r="J192" s="157"/>
      <c r="K192" s="138"/>
      <c r="L192" s="138"/>
      <c r="M192" s="138"/>
    </row>
    <row r="193" spans="1:13" ht="20.399999999999999" x14ac:dyDescent="0.3">
      <c r="A193" s="139" t="s">
        <v>358</v>
      </c>
      <c r="B193" s="150"/>
      <c r="C193" s="138"/>
      <c r="D193" s="138"/>
      <c r="E193" s="138"/>
      <c r="F193" s="138"/>
      <c r="G193" s="138"/>
      <c r="H193" s="138"/>
      <c r="I193" s="138"/>
      <c r="J193" s="157"/>
      <c r="K193" s="138"/>
      <c r="L193" s="138"/>
      <c r="M193" s="138"/>
    </row>
    <row r="194" spans="1:13" ht="20.399999999999999" x14ac:dyDescent="0.3">
      <c r="A194" s="139" t="s">
        <v>359</v>
      </c>
      <c r="B194" s="150"/>
      <c r="C194" s="138"/>
      <c r="D194" s="138"/>
      <c r="E194" s="138"/>
      <c r="F194" s="138"/>
      <c r="G194" s="138"/>
      <c r="H194" s="138"/>
      <c r="I194" s="138"/>
      <c r="J194" s="157"/>
      <c r="K194" s="138"/>
      <c r="L194" s="138"/>
      <c r="M194" s="138"/>
    </row>
    <row r="195" spans="1:13" ht="20.399999999999999" x14ac:dyDescent="0.3">
      <c r="A195" s="139" t="s">
        <v>360</v>
      </c>
      <c r="B195" s="150"/>
      <c r="C195" s="138"/>
      <c r="D195" s="138"/>
      <c r="E195" s="138"/>
      <c r="F195" s="138"/>
      <c r="G195" s="138"/>
      <c r="H195" s="138"/>
      <c r="I195" s="138"/>
      <c r="J195" s="157"/>
      <c r="K195" s="138"/>
      <c r="L195" s="138"/>
      <c r="M195" s="138"/>
    </row>
    <row r="196" spans="1:13" ht="15" thickBot="1" x14ac:dyDescent="0.35">
      <c r="A196" s="151" t="s">
        <v>361</v>
      </c>
      <c r="B196" s="152">
        <v>0</v>
      </c>
      <c r="C196" s="144"/>
      <c r="D196" s="138"/>
      <c r="E196" s="138"/>
      <c r="F196" s="138"/>
      <c r="G196" s="138"/>
      <c r="H196" s="138"/>
      <c r="I196" s="138"/>
      <c r="J196" s="157"/>
      <c r="K196" s="159"/>
      <c r="L196" s="159"/>
      <c r="M196" s="159"/>
    </row>
    <row r="197" spans="1:13" ht="18.899999999999999" customHeight="1" thickBot="1" x14ac:dyDescent="0.35">
      <c r="A197" s="153"/>
      <c r="B197" s="154">
        <f>SUM(B4:B196)</f>
        <v>0</v>
      </c>
      <c r="C197" s="154">
        <f t="shared" ref="C197:K197" si="0">SUM(C4:C196)</f>
        <v>0</v>
      </c>
      <c r="D197" s="154">
        <f t="shared" si="0"/>
        <v>0</v>
      </c>
      <c r="E197" s="154">
        <f t="shared" si="0"/>
        <v>0</v>
      </c>
      <c r="F197" s="154">
        <f t="shared" si="0"/>
        <v>0</v>
      </c>
      <c r="G197" s="154">
        <f t="shared" si="0"/>
        <v>0</v>
      </c>
      <c r="H197" s="154">
        <f t="shared" si="0"/>
        <v>0</v>
      </c>
      <c r="I197" s="154">
        <f t="shared" si="0"/>
        <v>0</v>
      </c>
      <c r="J197" s="154">
        <f t="shared" si="0"/>
        <v>0</v>
      </c>
      <c r="K197" s="160">
        <f t="shared" si="0"/>
        <v>0</v>
      </c>
      <c r="L197" s="160"/>
      <c r="M197" s="160"/>
    </row>
    <row r="198" spans="1:13" ht="21" customHeight="1" x14ac:dyDescent="0.3"/>
    <row r="208" spans="1:13" ht="15" thickBot="1" x14ac:dyDescent="0.35"/>
    <row r="209" spans="11:12" ht="15" thickBot="1" x14ac:dyDescent="0.35">
      <c r="K209" s="161"/>
      <c r="L209" s="162"/>
    </row>
  </sheetData>
  <mergeCells count="25">
    <mergeCell ref="A34:A35"/>
    <mergeCell ref="B34:B35"/>
    <mergeCell ref="B38:B39"/>
    <mergeCell ref="A78:A79"/>
    <mergeCell ref="C1:M1"/>
    <mergeCell ref="A86:A87"/>
    <mergeCell ref="A89:A90"/>
    <mergeCell ref="A93:A94"/>
    <mergeCell ref="A100:A101"/>
    <mergeCell ref="A122:A123"/>
    <mergeCell ref="B185:B187"/>
    <mergeCell ref="B189:B190"/>
    <mergeCell ref="B130:B131"/>
    <mergeCell ref="B135:B136"/>
    <mergeCell ref="B149:B151"/>
    <mergeCell ref="B156:B158"/>
    <mergeCell ref="B161:B162"/>
    <mergeCell ref="B163:B166"/>
    <mergeCell ref="N1:N2"/>
    <mergeCell ref="B167:B168"/>
    <mergeCell ref="B170:B173"/>
    <mergeCell ref="B177:B180"/>
    <mergeCell ref="B183:B184"/>
    <mergeCell ref="B125:B127"/>
    <mergeCell ref="B2:B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75BE9-07BE-4C1E-9E86-B326884324AF}">
  <dimension ref="A1:AA86"/>
  <sheetViews>
    <sheetView showGridLines="0" topLeftCell="O31" zoomScaleNormal="100" workbookViewId="0">
      <selection activeCell="AF53" sqref="AF53"/>
    </sheetView>
  </sheetViews>
  <sheetFormatPr baseColWidth="10" defaultRowHeight="11.4" x14ac:dyDescent="0.2"/>
  <cols>
    <col min="1" max="1" width="11.44140625" style="425" hidden="1" customWidth="1"/>
    <col min="2" max="2" width="40.5546875" style="425" hidden="1" customWidth="1"/>
    <col min="3" max="11" width="16.44140625" style="425" hidden="1" customWidth="1"/>
    <col min="12" max="13" width="16.6640625" style="425" hidden="1" customWidth="1"/>
    <col min="14" max="14" width="8.6640625" style="487" hidden="1" customWidth="1"/>
    <col min="15" max="15" width="51.44140625" style="425" customWidth="1"/>
    <col min="16" max="16" width="11.6640625" style="488" hidden="1" customWidth="1"/>
    <col min="17" max="17" width="12.109375" style="488" hidden="1" customWidth="1"/>
    <col min="18" max="18" width="11.109375" style="488" hidden="1" customWidth="1"/>
    <col min="19" max="19" width="10.5546875" style="489" hidden="1" customWidth="1"/>
    <col min="20" max="20" width="10.88671875" style="489" hidden="1" customWidth="1"/>
    <col min="21" max="21" width="15.44140625" style="425" customWidth="1"/>
    <col min="22" max="22" width="14.6640625" style="425" customWidth="1"/>
    <col min="23" max="23" width="15.33203125" style="425" customWidth="1"/>
    <col min="24" max="24" width="15.44140625" style="425" customWidth="1"/>
    <col min="25" max="25" width="16.109375" style="425" customWidth="1"/>
    <col min="26" max="26" width="14.88671875" style="425" customWidth="1"/>
    <col min="27" max="27" width="16.88671875" style="425" customWidth="1"/>
    <col min="28" max="246" width="11.44140625" style="425"/>
    <col min="247" max="260" width="0" style="425" hidden="1" customWidth="1"/>
    <col min="261" max="261" width="22.109375" style="425" customWidth="1"/>
    <col min="262" max="267" width="0" style="425" hidden="1" customWidth="1"/>
    <col min="268" max="268" width="13.33203125" style="425" customWidth="1"/>
    <col min="269" max="269" width="12.44140625" style="425" customWidth="1"/>
    <col min="270" max="270" width="12.109375" style="425" bestFit="1" customWidth="1"/>
    <col min="271" max="271" width="8.44140625" style="425" customWidth="1"/>
    <col min="272" max="502" width="11.44140625" style="425"/>
    <col min="503" max="516" width="0" style="425" hidden="1" customWidth="1"/>
    <col min="517" max="517" width="22.109375" style="425" customWidth="1"/>
    <col min="518" max="523" width="0" style="425" hidden="1" customWidth="1"/>
    <col min="524" max="524" width="13.33203125" style="425" customWidth="1"/>
    <col min="525" max="525" width="12.44140625" style="425" customWidth="1"/>
    <col min="526" max="526" width="12.109375" style="425" bestFit="1" customWidth="1"/>
    <col min="527" max="527" width="8.44140625" style="425" customWidth="1"/>
    <col min="528" max="758" width="11.44140625" style="425"/>
    <col min="759" max="772" width="0" style="425" hidden="1" customWidth="1"/>
    <col min="773" max="773" width="22.109375" style="425" customWidth="1"/>
    <col min="774" max="779" width="0" style="425" hidden="1" customWidth="1"/>
    <col min="780" max="780" width="13.33203125" style="425" customWidth="1"/>
    <col min="781" max="781" width="12.44140625" style="425" customWidth="1"/>
    <col min="782" max="782" width="12.109375" style="425" bestFit="1" customWidth="1"/>
    <col min="783" max="783" width="8.44140625" style="425" customWidth="1"/>
    <col min="784" max="1014" width="11.44140625" style="425"/>
    <col min="1015" max="1028" width="0" style="425" hidden="1" customWidth="1"/>
    <col min="1029" max="1029" width="22.109375" style="425" customWidth="1"/>
    <col min="1030" max="1035" width="0" style="425" hidden="1" customWidth="1"/>
    <col min="1036" max="1036" width="13.33203125" style="425" customWidth="1"/>
    <col min="1037" max="1037" width="12.44140625" style="425" customWidth="1"/>
    <col min="1038" max="1038" width="12.109375" style="425" bestFit="1" customWidth="1"/>
    <col min="1039" max="1039" width="8.44140625" style="425" customWidth="1"/>
    <col min="1040" max="1270" width="11.44140625" style="425"/>
    <col min="1271" max="1284" width="0" style="425" hidden="1" customWidth="1"/>
    <col min="1285" max="1285" width="22.109375" style="425" customWidth="1"/>
    <col min="1286" max="1291" width="0" style="425" hidden="1" customWidth="1"/>
    <col min="1292" max="1292" width="13.33203125" style="425" customWidth="1"/>
    <col min="1293" max="1293" width="12.44140625" style="425" customWidth="1"/>
    <col min="1294" max="1294" width="12.109375" style="425" bestFit="1" customWidth="1"/>
    <col min="1295" max="1295" width="8.44140625" style="425" customWidth="1"/>
    <col min="1296" max="1526" width="11.44140625" style="425"/>
    <col min="1527" max="1540" width="0" style="425" hidden="1" customWidth="1"/>
    <col min="1541" max="1541" width="22.109375" style="425" customWidth="1"/>
    <col min="1542" max="1547" width="0" style="425" hidden="1" customWidth="1"/>
    <col min="1548" max="1548" width="13.33203125" style="425" customWidth="1"/>
    <col min="1549" max="1549" width="12.44140625" style="425" customWidth="1"/>
    <col min="1550" max="1550" width="12.109375" style="425" bestFit="1" customWidth="1"/>
    <col min="1551" max="1551" width="8.44140625" style="425" customWidth="1"/>
    <col min="1552" max="1782" width="11.44140625" style="425"/>
    <col min="1783" max="1796" width="0" style="425" hidden="1" customWidth="1"/>
    <col min="1797" max="1797" width="22.109375" style="425" customWidth="1"/>
    <col min="1798" max="1803" width="0" style="425" hidden="1" customWidth="1"/>
    <col min="1804" max="1804" width="13.33203125" style="425" customWidth="1"/>
    <col min="1805" max="1805" width="12.44140625" style="425" customWidth="1"/>
    <col min="1806" max="1806" width="12.109375" style="425" bestFit="1" customWidth="1"/>
    <col min="1807" max="1807" width="8.44140625" style="425" customWidth="1"/>
    <col min="1808" max="2038" width="11.44140625" style="425"/>
    <col min="2039" max="2052" width="0" style="425" hidden="1" customWidth="1"/>
    <col min="2053" max="2053" width="22.109375" style="425" customWidth="1"/>
    <col min="2054" max="2059" width="0" style="425" hidden="1" customWidth="1"/>
    <col min="2060" max="2060" width="13.33203125" style="425" customWidth="1"/>
    <col min="2061" max="2061" width="12.44140625" style="425" customWidth="1"/>
    <col min="2062" max="2062" width="12.109375" style="425" bestFit="1" customWidth="1"/>
    <col min="2063" max="2063" width="8.44140625" style="425" customWidth="1"/>
    <col min="2064" max="2294" width="11.44140625" style="425"/>
    <col min="2295" max="2308" width="0" style="425" hidden="1" customWidth="1"/>
    <col min="2309" max="2309" width="22.109375" style="425" customWidth="1"/>
    <col min="2310" max="2315" width="0" style="425" hidden="1" customWidth="1"/>
    <col min="2316" max="2316" width="13.33203125" style="425" customWidth="1"/>
    <col min="2317" max="2317" width="12.44140625" style="425" customWidth="1"/>
    <col min="2318" max="2318" width="12.109375" style="425" bestFit="1" customWidth="1"/>
    <col min="2319" max="2319" width="8.44140625" style="425" customWidth="1"/>
    <col min="2320" max="2550" width="11.44140625" style="425"/>
    <col min="2551" max="2564" width="0" style="425" hidden="1" customWidth="1"/>
    <col min="2565" max="2565" width="22.109375" style="425" customWidth="1"/>
    <col min="2566" max="2571" width="0" style="425" hidden="1" customWidth="1"/>
    <col min="2572" max="2572" width="13.33203125" style="425" customWidth="1"/>
    <col min="2573" max="2573" width="12.44140625" style="425" customWidth="1"/>
    <col min="2574" max="2574" width="12.109375" style="425" bestFit="1" customWidth="1"/>
    <col min="2575" max="2575" width="8.44140625" style="425" customWidth="1"/>
    <col min="2576" max="2806" width="11.44140625" style="425"/>
    <col min="2807" max="2820" width="0" style="425" hidden="1" customWidth="1"/>
    <col min="2821" max="2821" width="22.109375" style="425" customWidth="1"/>
    <col min="2822" max="2827" width="0" style="425" hidden="1" customWidth="1"/>
    <col min="2828" max="2828" width="13.33203125" style="425" customWidth="1"/>
    <col min="2829" max="2829" width="12.44140625" style="425" customWidth="1"/>
    <col min="2830" max="2830" width="12.109375" style="425" bestFit="1" customWidth="1"/>
    <col min="2831" max="2831" width="8.44140625" style="425" customWidth="1"/>
    <col min="2832" max="3062" width="11.44140625" style="425"/>
    <col min="3063" max="3076" width="0" style="425" hidden="1" customWidth="1"/>
    <col min="3077" max="3077" width="22.109375" style="425" customWidth="1"/>
    <col min="3078" max="3083" width="0" style="425" hidden="1" customWidth="1"/>
    <col min="3084" max="3084" width="13.33203125" style="425" customWidth="1"/>
    <col min="3085" max="3085" width="12.44140625" style="425" customWidth="1"/>
    <col min="3086" max="3086" width="12.109375" style="425" bestFit="1" customWidth="1"/>
    <col min="3087" max="3087" width="8.44140625" style="425" customWidth="1"/>
    <col min="3088" max="3318" width="11.44140625" style="425"/>
    <col min="3319" max="3332" width="0" style="425" hidden="1" customWidth="1"/>
    <col min="3333" max="3333" width="22.109375" style="425" customWidth="1"/>
    <col min="3334" max="3339" width="0" style="425" hidden="1" customWidth="1"/>
    <col min="3340" max="3340" width="13.33203125" style="425" customWidth="1"/>
    <col min="3341" max="3341" width="12.44140625" style="425" customWidth="1"/>
    <col min="3342" max="3342" width="12.109375" style="425" bestFit="1" customWidth="1"/>
    <col min="3343" max="3343" width="8.44140625" style="425" customWidth="1"/>
    <col min="3344" max="3574" width="11.44140625" style="425"/>
    <col min="3575" max="3588" width="0" style="425" hidden="1" customWidth="1"/>
    <col min="3589" max="3589" width="22.109375" style="425" customWidth="1"/>
    <col min="3590" max="3595" width="0" style="425" hidden="1" customWidth="1"/>
    <col min="3596" max="3596" width="13.33203125" style="425" customWidth="1"/>
    <col min="3597" max="3597" width="12.44140625" style="425" customWidth="1"/>
    <col min="3598" max="3598" width="12.109375" style="425" bestFit="1" customWidth="1"/>
    <col min="3599" max="3599" width="8.44140625" style="425" customWidth="1"/>
    <col min="3600" max="3830" width="11.44140625" style="425"/>
    <col min="3831" max="3844" width="0" style="425" hidden="1" customWidth="1"/>
    <col min="3845" max="3845" width="22.109375" style="425" customWidth="1"/>
    <col min="3846" max="3851" width="0" style="425" hidden="1" customWidth="1"/>
    <col min="3852" max="3852" width="13.33203125" style="425" customWidth="1"/>
    <col min="3853" max="3853" width="12.44140625" style="425" customWidth="1"/>
    <col min="3854" max="3854" width="12.109375" style="425" bestFit="1" customWidth="1"/>
    <col min="3855" max="3855" width="8.44140625" style="425" customWidth="1"/>
    <col min="3856" max="4086" width="11.44140625" style="425"/>
    <col min="4087" max="4100" width="0" style="425" hidden="1" customWidth="1"/>
    <col min="4101" max="4101" width="22.109375" style="425" customWidth="1"/>
    <col min="4102" max="4107" width="0" style="425" hidden="1" customWidth="1"/>
    <col min="4108" max="4108" width="13.33203125" style="425" customWidth="1"/>
    <col min="4109" max="4109" width="12.44140625" style="425" customWidth="1"/>
    <col min="4110" max="4110" width="12.109375" style="425" bestFit="1" customWidth="1"/>
    <col min="4111" max="4111" width="8.44140625" style="425" customWidth="1"/>
    <col min="4112" max="4342" width="11.44140625" style="425"/>
    <col min="4343" max="4356" width="0" style="425" hidden="1" customWidth="1"/>
    <col min="4357" max="4357" width="22.109375" style="425" customWidth="1"/>
    <col min="4358" max="4363" width="0" style="425" hidden="1" customWidth="1"/>
    <col min="4364" max="4364" width="13.33203125" style="425" customWidth="1"/>
    <col min="4365" max="4365" width="12.44140625" style="425" customWidth="1"/>
    <col min="4366" max="4366" width="12.109375" style="425" bestFit="1" customWidth="1"/>
    <col min="4367" max="4367" width="8.44140625" style="425" customWidth="1"/>
    <col min="4368" max="4598" width="11.44140625" style="425"/>
    <col min="4599" max="4612" width="0" style="425" hidden="1" customWidth="1"/>
    <col min="4613" max="4613" width="22.109375" style="425" customWidth="1"/>
    <col min="4614" max="4619" width="0" style="425" hidden="1" customWidth="1"/>
    <col min="4620" max="4620" width="13.33203125" style="425" customWidth="1"/>
    <col min="4621" max="4621" width="12.44140625" style="425" customWidth="1"/>
    <col min="4622" max="4622" width="12.109375" style="425" bestFit="1" customWidth="1"/>
    <col min="4623" max="4623" width="8.44140625" style="425" customWidth="1"/>
    <col min="4624" max="4854" width="11.44140625" style="425"/>
    <col min="4855" max="4868" width="0" style="425" hidden="1" customWidth="1"/>
    <col min="4869" max="4869" width="22.109375" style="425" customWidth="1"/>
    <col min="4870" max="4875" width="0" style="425" hidden="1" customWidth="1"/>
    <col min="4876" max="4876" width="13.33203125" style="425" customWidth="1"/>
    <col min="4877" max="4877" width="12.44140625" style="425" customWidth="1"/>
    <col min="4878" max="4878" width="12.109375" style="425" bestFit="1" customWidth="1"/>
    <col min="4879" max="4879" width="8.44140625" style="425" customWidth="1"/>
    <col min="4880" max="5110" width="11.44140625" style="425"/>
    <col min="5111" max="5124" width="0" style="425" hidden="1" customWidth="1"/>
    <col min="5125" max="5125" width="22.109375" style="425" customWidth="1"/>
    <col min="5126" max="5131" width="0" style="425" hidden="1" customWidth="1"/>
    <col min="5132" max="5132" width="13.33203125" style="425" customWidth="1"/>
    <col min="5133" max="5133" width="12.44140625" style="425" customWidth="1"/>
    <col min="5134" max="5134" width="12.109375" style="425" bestFit="1" customWidth="1"/>
    <col min="5135" max="5135" width="8.44140625" style="425" customWidth="1"/>
    <col min="5136" max="5366" width="11.44140625" style="425"/>
    <col min="5367" max="5380" width="0" style="425" hidden="1" customWidth="1"/>
    <col min="5381" max="5381" width="22.109375" style="425" customWidth="1"/>
    <col min="5382" max="5387" width="0" style="425" hidden="1" customWidth="1"/>
    <col min="5388" max="5388" width="13.33203125" style="425" customWidth="1"/>
    <col min="5389" max="5389" width="12.44140625" style="425" customWidth="1"/>
    <col min="5390" max="5390" width="12.109375" style="425" bestFit="1" customWidth="1"/>
    <col min="5391" max="5391" width="8.44140625" style="425" customWidth="1"/>
    <col min="5392" max="5622" width="11.44140625" style="425"/>
    <col min="5623" max="5636" width="0" style="425" hidden="1" customWidth="1"/>
    <col min="5637" max="5637" width="22.109375" style="425" customWidth="1"/>
    <col min="5638" max="5643" width="0" style="425" hidden="1" customWidth="1"/>
    <col min="5644" max="5644" width="13.33203125" style="425" customWidth="1"/>
    <col min="5645" max="5645" width="12.44140625" style="425" customWidth="1"/>
    <col min="5646" max="5646" width="12.109375" style="425" bestFit="1" customWidth="1"/>
    <col min="5647" max="5647" width="8.44140625" style="425" customWidth="1"/>
    <col min="5648" max="5878" width="11.44140625" style="425"/>
    <col min="5879" max="5892" width="0" style="425" hidden="1" customWidth="1"/>
    <col min="5893" max="5893" width="22.109375" style="425" customWidth="1"/>
    <col min="5894" max="5899" width="0" style="425" hidden="1" customWidth="1"/>
    <col min="5900" max="5900" width="13.33203125" style="425" customWidth="1"/>
    <col min="5901" max="5901" width="12.44140625" style="425" customWidth="1"/>
    <col min="5902" max="5902" width="12.109375" style="425" bestFit="1" customWidth="1"/>
    <col min="5903" max="5903" width="8.44140625" style="425" customWidth="1"/>
    <col min="5904" max="6134" width="11.44140625" style="425"/>
    <col min="6135" max="6148" width="0" style="425" hidden="1" customWidth="1"/>
    <col min="6149" max="6149" width="22.109375" style="425" customWidth="1"/>
    <col min="6150" max="6155" width="0" style="425" hidden="1" customWidth="1"/>
    <col min="6156" max="6156" width="13.33203125" style="425" customWidth="1"/>
    <col min="6157" max="6157" width="12.44140625" style="425" customWidth="1"/>
    <col min="6158" max="6158" width="12.109375" style="425" bestFit="1" customWidth="1"/>
    <col min="6159" max="6159" width="8.44140625" style="425" customWidth="1"/>
    <col min="6160" max="6390" width="11.44140625" style="425"/>
    <col min="6391" max="6404" width="0" style="425" hidden="1" customWidth="1"/>
    <col min="6405" max="6405" width="22.109375" style="425" customWidth="1"/>
    <col min="6406" max="6411" width="0" style="425" hidden="1" customWidth="1"/>
    <col min="6412" max="6412" width="13.33203125" style="425" customWidth="1"/>
    <col min="6413" max="6413" width="12.44140625" style="425" customWidth="1"/>
    <col min="6414" max="6414" width="12.109375" style="425" bestFit="1" customWidth="1"/>
    <col min="6415" max="6415" width="8.44140625" style="425" customWidth="1"/>
    <col min="6416" max="6646" width="11.44140625" style="425"/>
    <col min="6647" max="6660" width="0" style="425" hidden="1" customWidth="1"/>
    <col min="6661" max="6661" width="22.109375" style="425" customWidth="1"/>
    <col min="6662" max="6667" width="0" style="425" hidden="1" customWidth="1"/>
    <col min="6668" max="6668" width="13.33203125" style="425" customWidth="1"/>
    <col min="6669" max="6669" width="12.44140625" style="425" customWidth="1"/>
    <col min="6670" max="6670" width="12.109375" style="425" bestFit="1" customWidth="1"/>
    <col min="6671" max="6671" width="8.44140625" style="425" customWidth="1"/>
    <col min="6672" max="6902" width="11.44140625" style="425"/>
    <col min="6903" max="6916" width="0" style="425" hidden="1" customWidth="1"/>
    <col min="6917" max="6917" width="22.109375" style="425" customWidth="1"/>
    <col min="6918" max="6923" width="0" style="425" hidden="1" customWidth="1"/>
    <col min="6924" max="6924" width="13.33203125" style="425" customWidth="1"/>
    <col min="6925" max="6925" width="12.44140625" style="425" customWidth="1"/>
    <col min="6926" max="6926" width="12.109375" style="425" bestFit="1" customWidth="1"/>
    <col min="6927" max="6927" width="8.44140625" style="425" customWidth="1"/>
    <col min="6928" max="7158" width="11.44140625" style="425"/>
    <col min="7159" max="7172" width="0" style="425" hidden="1" customWidth="1"/>
    <col min="7173" max="7173" width="22.109375" style="425" customWidth="1"/>
    <col min="7174" max="7179" width="0" style="425" hidden="1" customWidth="1"/>
    <col min="7180" max="7180" width="13.33203125" style="425" customWidth="1"/>
    <col min="7181" max="7181" width="12.44140625" style="425" customWidth="1"/>
    <col min="7182" max="7182" width="12.109375" style="425" bestFit="1" customWidth="1"/>
    <col min="7183" max="7183" width="8.44140625" style="425" customWidth="1"/>
    <col min="7184" max="7414" width="11.44140625" style="425"/>
    <col min="7415" max="7428" width="0" style="425" hidden="1" customWidth="1"/>
    <col min="7429" max="7429" width="22.109375" style="425" customWidth="1"/>
    <col min="7430" max="7435" width="0" style="425" hidden="1" customWidth="1"/>
    <col min="7436" max="7436" width="13.33203125" style="425" customWidth="1"/>
    <col min="7437" max="7437" width="12.44140625" style="425" customWidth="1"/>
    <col min="7438" max="7438" width="12.109375" style="425" bestFit="1" customWidth="1"/>
    <col min="7439" max="7439" width="8.44140625" style="425" customWidth="1"/>
    <col min="7440" max="7670" width="11.44140625" style="425"/>
    <col min="7671" max="7684" width="0" style="425" hidden="1" customWidth="1"/>
    <col min="7685" max="7685" width="22.109375" style="425" customWidth="1"/>
    <col min="7686" max="7691" width="0" style="425" hidden="1" customWidth="1"/>
    <col min="7692" max="7692" width="13.33203125" style="425" customWidth="1"/>
    <col min="7693" max="7693" width="12.44140625" style="425" customWidth="1"/>
    <col min="7694" max="7694" width="12.109375" style="425" bestFit="1" customWidth="1"/>
    <col min="7695" max="7695" width="8.44140625" style="425" customWidth="1"/>
    <col min="7696" max="7926" width="11.44140625" style="425"/>
    <col min="7927" max="7940" width="0" style="425" hidden="1" customWidth="1"/>
    <col min="7941" max="7941" width="22.109375" style="425" customWidth="1"/>
    <col min="7942" max="7947" width="0" style="425" hidden="1" customWidth="1"/>
    <col min="7948" max="7948" width="13.33203125" style="425" customWidth="1"/>
    <col min="7949" max="7949" width="12.44140625" style="425" customWidth="1"/>
    <col min="7950" max="7950" width="12.109375" style="425" bestFit="1" customWidth="1"/>
    <col min="7951" max="7951" width="8.44140625" style="425" customWidth="1"/>
    <col min="7952" max="8182" width="11.44140625" style="425"/>
    <col min="8183" max="8196" width="0" style="425" hidden="1" customWidth="1"/>
    <col min="8197" max="8197" width="22.109375" style="425" customWidth="1"/>
    <col min="8198" max="8203" width="0" style="425" hidden="1" customWidth="1"/>
    <col min="8204" max="8204" width="13.33203125" style="425" customWidth="1"/>
    <col min="8205" max="8205" width="12.44140625" style="425" customWidth="1"/>
    <col min="8206" max="8206" width="12.109375" style="425" bestFit="1" customWidth="1"/>
    <col min="8207" max="8207" width="8.44140625" style="425" customWidth="1"/>
    <col min="8208" max="8438" width="11.44140625" style="425"/>
    <col min="8439" max="8452" width="0" style="425" hidden="1" customWidth="1"/>
    <col min="8453" max="8453" width="22.109375" style="425" customWidth="1"/>
    <col min="8454" max="8459" width="0" style="425" hidden="1" customWidth="1"/>
    <col min="8460" max="8460" width="13.33203125" style="425" customWidth="1"/>
    <col min="8461" max="8461" width="12.44140625" style="425" customWidth="1"/>
    <col min="8462" max="8462" width="12.109375" style="425" bestFit="1" customWidth="1"/>
    <col min="8463" max="8463" width="8.44140625" style="425" customWidth="1"/>
    <col min="8464" max="8694" width="11.44140625" style="425"/>
    <col min="8695" max="8708" width="0" style="425" hidden="1" customWidth="1"/>
    <col min="8709" max="8709" width="22.109375" style="425" customWidth="1"/>
    <col min="8710" max="8715" width="0" style="425" hidden="1" customWidth="1"/>
    <col min="8716" max="8716" width="13.33203125" style="425" customWidth="1"/>
    <col min="8717" max="8717" width="12.44140625" style="425" customWidth="1"/>
    <col min="8718" max="8718" width="12.109375" style="425" bestFit="1" customWidth="1"/>
    <col min="8719" max="8719" width="8.44140625" style="425" customWidth="1"/>
    <col min="8720" max="8950" width="11.44140625" style="425"/>
    <col min="8951" max="8964" width="0" style="425" hidden="1" customWidth="1"/>
    <col min="8965" max="8965" width="22.109375" style="425" customWidth="1"/>
    <col min="8966" max="8971" width="0" style="425" hidden="1" customWidth="1"/>
    <col min="8972" max="8972" width="13.33203125" style="425" customWidth="1"/>
    <col min="8973" max="8973" width="12.44140625" style="425" customWidth="1"/>
    <col min="8974" max="8974" width="12.109375" style="425" bestFit="1" customWidth="1"/>
    <col min="8975" max="8975" width="8.44140625" style="425" customWidth="1"/>
    <col min="8976" max="9206" width="11.44140625" style="425"/>
    <col min="9207" max="9220" width="0" style="425" hidden="1" customWidth="1"/>
    <col min="9221" max="9221" width="22.109375" style="425" customWidth="1"/>
    <col min="9222" max="9227" width="0" style="425" hidden="1" customWidth="1"/>
    <col min="9228" max="9228" width="13.33203125" style="425" customWidth="1"/>
    <col min="9229" max="9229" width="12.44140625" style="425" customWidth="1"/>
    <col min="9230" max="9230" width="12.109375" style="425" bestFit="1" customWidth="1"/>
    <col min="9231" max="9231" width="8.44140625" style="425" customWidth="1"/>
    <col min="9232" max="9462" width="11.44140625" style="425"/>
    <col min="9463" max="9476" width="0" style="425" hidden="1" customWidth="1"/>
    <col min="9477" max="9477" width="22.109375" style="425" customWidth="1"/>
    <col min="9478" max="9483" width="0" style="425" hidden="1" customWidth="1"/>
    <col min="9484" max="9484" width="13.33203125" style="425" customWidth="1"/>
    <col min="9485" max="9485" width="12.44140625" style="425" customWidth="1"/>
    <col min="9486" max="9486" width="12.109375" style="425" bestFit="1" customWidth="1"/>
    <col min="9487" max="9487" width="8.44140625" style="425" customWidth="1"/>
    <col min="9488" max="9718" width="11.44140625" style="425"/>
    <col min="9719" max="9732" width="0" style="425" hidden="1" customWidth="1"/>
    <col min="9733" max="9733" width="22.109375" style="425" customWidth="1"/>
    <col min="9734" max="9739" width="0" style="425" hidden="1" customWidth="1"/>
    <col min="9740" max="9740" width="13.33203125" style="425" customWidth="1"/>
    <col min="9741" max="9741" width="12.44140625" style="425" customWidth="1"/>
    <col min="9742" max="9742" width="12.109375" style="425" bestFit="1" customWidth="1"/>
    <col min="9743" max="9743" width="8.44140625" style="425" customWidth="1"/>
    <col min="9744" max="9974" width="11.44140625" style="425"/>
    <col min="9975" max="9988" width="0" style="425" hidden="1" customWidth="1"/>
    <col min="9989" max="9989" width="22.109375" style="425" customWidth="1"/>
    <col min="9990" max="9995" width="0" style="425" hidden="1" customWidth="1"/>
    <col min="9996" max="9996" width="13.33203125" style="425" customWidth="1"/>
    <col min="9997" max="9997" width="12.44140625" style="425" customWidth="1"/>
    <col min="9998" max="9998" width="12.109375" style="425" bestFit="1" customWidth="1"/>
    <col min="9999" max="9999" width="8.44140625" style="425" customWidth="1"/>
    <col min="10000" max="10230" width="11.44140625" style="425"/>
    <col min="10231" max="10244" width="0" style="425" hidden="1" customWidth="1"/>
    <col min="10245" max="10245" width="22.109375" style="425" customWidth="1"/>
    <col min="10246" max="10251" width="0" style="425" hidden="1" customWidth="1"/>
    <col min="10252" max="10252" width="13.33203125" style="425" customWidth="1"/>
    <col min="10253" max="10253" width="12.44140625" style="425" customWidth="1"/>
    <col min="10254" max="10254" width="12.109375" style="425" bestFit="1" customWidth="1"/>
    <col min="10255" max="10255" width="8.44140625" style="425" customWidth="1"/>
    <col min="10256" max="10486" width="11.44140625" style="425"/>
    <col min="10487" max="10500" width="0" style="425" hidden="1" customWidth="1"/>
    <col min="10501" max="10501" width="22.109375" style="425" customWidth="1"/>
    <col min="10502" max="10507" width="0" style="425" hidden="1" customWidth="1"/>
    <col min="10508" max="10508" width="13.33203125" style="425" customWidth="1"/>
    <col min="10509" max="10509" width="12.44140625" style="425" customWidth="1"/>
    <col min="10510" max="10510" width="12.109375" style="425" bestFit="1" customWidth="1"/>
    <col min="10511" max="10511" width="8.44140625" style="425" customWidth="1"/>
    <col min="10512" max="10742" width="11.44140625" style="425"/>
    <col min="10743" max="10756" width="0" style="425" hidden="1" customWidth="1"/>
    <col min="10757" max="10757" width="22.109375" style="425" customWidth="1"/>
    <col min="10758" max="10763" width="0" style="425" hidden="1" customWidth="1"/>
    <col min="10764" max="10764" width="13.33203125" style="425" customWidth="1"/>
    <col min="10765" max="10765" width="12.44140625" style="425" customWidth="1"/>
    <col min="10766" max="10766" width="12.109375" style="425" bestFit="1" customWidth="1"/>
    <col min="10767" max="10767" width="8.44140625" style="425" customWidth="1"/>
    <col min="10768" max="10998" width="11.44140625" style="425"/>
    <col min="10999" max="11012" width="0" style="425" hidden="1" customWidth="1"/>
    <col min="11013" max="11013" width="22.109375" style="425" customWidth="1"/>
    <col min="11014" max="11019" width="0" style="425" hidden="1" customWidth="1"/>
    <col min="11020" max="11020" width="13.33203125" style="425" customWidth="1"/>
    <col min="11021" max="11021" width="12.44140625" style="425" customWidth="1"/>
    <col min="11022" max="11022" width="12.109375" style="425" bestFit="1" customWidth="1"/>
    <col min="11023" max="11023" width="8.44140625" style="425" customWidth="1"/>
    <col min="11024" max="11254" width="11.44140625" style="425"/>
    <col min="11255" max="11268" width="0" style="425" hidden="1" customWidth="1"/>
    <col min="11269" max="11269" width="22.109375" style="425" customWidth="1"/>
    <col min="11270" max="11275" width="0" style="425" hidden="1" customWidth="1"/>
    <col min="11276" max="11276" width="13.33203125" style="425" customWidth="1"/>
    <col min="11277" max="11277" width="12.44140625" style="425" customWidth="1"/>
    <col min="11278" max="11278" width="12.109375" style="425" bestFit="1" customWidth="1"/>
    <col min="11279" max="11279" width="8.44140625" style="425" customWidth="1"/>
    <col min="11280" max="11510" width="11.44140625" style="425"/>
    <col min="11511" max="11524" width="0" style="425" hidden="1" customWidth="1"/>
    <col min="11525" max="11525" width="22.109375" style="425" customWidth="1"/>
    <col min="11526" max="11531" width="0" style="425" hidden="1" customWidth="1"/>
    <col min="11532" max="11532" width="13.33203125" style="425" customWidth="1"/>
    <col min="11533" max="11533" width="12.44140625" style="425" customWidth="1"/>
    <col min="11534" max="11534" width="12.109375" style="425" bestFit="1" customWidth="1"/>
    <col min="11535" max="11535" width="8.44140625" style="425" customWidth="1"/>
    <col min="11536" max="11766" width="11.44140625" style="425"/>
    <col min="11767" max="11780" width="0" style="425" hidden="1" customWidth="1"/>
    <col min="11781" max="11781" width="22.109375" style="425" customWidth="1"/>
    <col min="11782" max="11787" width="0" style="425" hidden="1" customWidth="1"/>
    <col min="11788" max="11788" width="13.33203125" style="425" customWidth="1"/>
    <col min="11789" max="11789" width="12.44140625" style="425" customWidth="1"/>
    <col min="11790" max="11790" width="12.109375" style="425" bestFit="1" customWidth="1"/>
    <col min="11791" max="11791" width="8.44140625" style="425" customWidth="1"/>
    <col min="11792" max="12022" width="11.44140625" style="425"/>
    <col min="12023" max="12036" width="0" style="425" hidden="1" customWidth="1"/>
    <col min="12037" max="12037" width="22.109375" style="425" customWidth="1"/>
    <col min="12038" max="12043" width="0" style="425" hidden="1" customWidth="1"/>
    <col min="12044" max="12044" width="13.33203125" style="425" customWidth="1"/>
    <col min="12045" max="12045" width="12.44140625" style="425" customWidth="1"/>
    <col min="12046" max="12046" width="12.109375" style="425" bestFit="1" customWidth="1"/>
    <col min="12047" max="12047" width="8.44140625" style="425" customWidth="1"/>
    <col min="12048" max="12278" width="11.44140625" style="425"/>
    <col min="12279" max="12292" width="0" style="425" hidden="1" customWidth="1"/>
    <col min="12293" max="12293" width="22.109375" style="425" customWidth="1"/>
    <col min="12294" max="12299" width="0" style="425" hidden="1" customWidth="1"/>
    <col min="12300" max="12300" width="13.33203125" style="425" customWidth="1"/>
    <col min="12301" max="12301" width="12.44140625" style="425" customWidth="1"/>
    <col min="12302" max="12302" width="12.109375" style="425" bestFit="1" customWidth="1"/>
    <col min="12303" max="12303" width="8.44140625" style="425" customWidth="1"/>
    <col min="12304" max="12534" width="11.44140625" style="425"/>
    <col min="12535" max="12548" width="0" style="425" hidden="1" customWidth="1"/>
    <col min="12549" max="12549" width="22.109375" style="425" customWidth="1"/>
    <col min="12550" max="12555" width="0" style="425" hidden="1" customWidth="1"/>
    <col min="12556" max="12556" width="13.33203125" style="425" customWidth="1"/>
    <col min="12557" max="12557" width="12.44140625" style="425" customWidth="1"/>
    <col min="12558" max="12558" width="12.109375" style="425" bestFit="1" customWidth="1"/>
    <col min="12559" max="12559" width="8.44140625" style="425" customWidth="1"/>
    <col min="12560" max="12790" width="11.44140625" style="425"/>
    <col min="12791" max="12804" width="0" style="425" hidden="1" customWidth="1"/>
    <col min="12805" max="12805" width="22.109375" style="425" customWidth="1"/>
    <col min="12806" max="12811" width="0" style="425" hidden="1" customWidth="1"/>
    <col min="12812" max="12812" width="13.33203125" style="425" customWidth="1"/>
    <col min="12813" max="12813" width="12.44140625" style="425" customWidth="1"/>
    <col min="12814" max="12814" width="12.109375" style="425" bestFit="1" customWidth="1"/>
    <col min="12815" max="12815" width="8.44140625" style="425" customWidth="1"/>
    <col min="12816" max="13046" width="11.44140625" style="425"/>
    <col min="13047" max="13060" width="0" style="425" hidden="1" customWidth="1"/>
    <col min="13061" max="13061" width="22.109375" style="425" customWidth="1"/>
    <col min="13062" max="13067" width="0" style="425" hidden="1" customWidth="1"/>
    <col min="13068" max="13068" width="13.33203125" style="425" customWidth="1"/>
    <col min="13069" max="13069" width="12.44140625" style="425" customWidth="1"/>
    <col min="13070" max="13070" width="12.109375" style="425" bestFit="1" customWidth="1"/>
    <col min="13071" max="13071" width="8.44140625" style="425" customWidth="1"/>
    <col min="13072" max="13302" width="11.44140625" style="425"/>
    <col min="13303" max="13316" width="0" style="425" hidden="1" customWidth="1"/>
    <col min="13317" max="13317" width="22.109375" style="425" customWidth="1"/>
    <col min="13318" max="13323" width="0" style="425" hidden="1" customWidth="1"/>
    <col min="13324" max="13324" width="13.33203125" style="425" customWidth="1"/>
    <col min="13325" max="13325" width="12.44140625" style="425" customWidth="1"/>
    <col min="13326" max="13326" width="12.109375" style="425" bestFit="1" customWidth="1"/>
    <col min="13327" max="13327" width="8.44140625" style="425" customWidth="1"/>
    <col min="13328" max="13558" width="11.44140625" style="425"/>
    <col min="13559" max="13572" width="0" style="425" hidden="1" customWidth="1"/>
    <col min="13573" max="13573" width="22.109375" style="425" customWidth="1"/>
    <col min="13574" max="13579" width="0" style="425" hidden="1" customWidth="1"/>
    <col min="13580" max="13580" width="13.33203125" style="425" customWidth="1"/>
    <col min="13581" max="13581" width="12.44140625" style="425" customWidth="1"/>
    <col min="13582" max="13582" width="12.109375" style="425" bestFit="1" customWidth="1"/>
    <col min="13583" max="13583" width="8.44140625" style="425" customWidth="1"/>
    <col min="13584" max="13814" width="11.44140625" style="425"/>
    <col min="13815" max="13828" width="0" style="425" hidden="1" customWidth="1"/>
    <col min="13829" max="13829" width="22.109375" style="425" customWidth="1"/>
    <col min="13830" max="13835" width="0" style="425" hidden="1" customWidth="1"/>
    <col min="13836" max="13836" width="13.33203125" style="425" customWidth="1"/>
    <col min="13837" max="13837" width="12.44140625" style="425" customWidth="1"/>
    <col min="13838" max="13838" width="12.109375" style="425" bestFit="1" customWidth="1"/>
    <col min="13839" max="13839" width="8.44140625" style="425" customWidth="1"/>
    <col min="13840" max="14070" width="11.44140625" style="425"/>
    <col min="14071" max="14084" width="0" style="425" hidden="1" customWidth="1"/>
    <col min="14085" max="14085" width="22.109375" style="425" customWidth="1"/>
    <col min="14086" max="14091" width="0" style="425" hidden="1" customWidth="1"/>
    <col min="14092" max="14092" width="13.33203125" style="425" customWidth="1"/>
    <col min="14093" max="14093" width="12.44140625" style="425" customWidth="1"/>
    <col min="14094" max="14094" width="12.109375" style="425" bestFit="1" customWidth="1"/>
    <col min="14095" max="14095" width="8.44140625" style="425" customWidth="1"/>
    <col min="14096" max="14326" width="11.44140625" style="425"/>
    <col min="14327" max="14340" width="0" style="425" hidden="1" customWidth="1"/>
    <col min="14341" max="14341" width="22.109375" style="425" customWidth="1"/>
    <col min="14342" max="14347" width="0" style="425" hidden="1" customWidth="1"/>
    <col min="14348" max="14348" width="13.33203125" style="425" customWidth="1"/>
    <col min="14349" max="14349" width="12.44140625" style="425" customWidth="1"/>
    <col min="14350" max="14350" width="12.109375" style="425" bestFit="1" customWidth="1"/>
    <col min="14351" max="14351" width="8.44140625" style="425" customWidth="1"/>
    <col min="14352" max="14582" width="11.44140625" style="425"/>
    <col min="14583" max="14596" width="0" style="425" hidden="1" customWidth="1"/>
    <col min="14597" max="14597" width="22.109375" style="425" customWidth="1"/>
    <col min="14598" max="14603" width="0" style="425" hidden="1" customWidth="1"/>
    <col min="14604" max="14604" width="13.33203125" style="425" customWidth="1"/>
    <col min="14605" max="14605" width="12.44140625" style="425" customWidth="1"/>
    <col min="14606" max="14606" width="12.109375" style="425" bestFit="1" customWidth="1"/>
    <col min="14607" max="14607" width="8.44140625" style="425" customWidth="1"/>
    <col min="14608" max="14838" width="11.44140625" style="425"/>
    <col min="14839" max="14852" width="0" style="425" hidden="1" customWidth="1"/>
    <col min="14853" max="14853" width="22.109375" style="425" customWidth="1"/>
    <col min="14854" max="14859" width="0" style="425" hidden="1" customWidth="1"/>
    <col min="14860" max="14860" width="13.33203125" style="425" customWidth="1"/>
    <col min="14861" max="14861" width="12.44140625" style="425" customWidth="1"/>
    <col min="14862" max="14862" width="12.109375" style="425" bestFit="1" customWidth="1"/>
    <col min="14863" max="14863" width="8.44140625" style="425" customWidth="1"/>
    <col min="14864" max="15094" width="11.44140625" style="425"/>
    <col min="15095" max="15108" width="0" style="425" hidden="1" customWidth="1"/>
    <col min="15109" max="15109" width="22.109375" style="425" customWidth="1"/>
    <col min="15110" max="15115" width="0" style="425" hidden="1" customWidth="1"/>
    <col min="15116" max="15116" width="13.33203125" style="425" customWidth="1"/>
    <col min="15117" max="15117" width="12.44140625" style="425" customWidth="1"/>
    <col min="15118" max="15118" width="12.109375" style="425" bestFit="1" customWidth="1"/>
    <col min="15119" max="15119" width="8.44140625" style="425" customWidth="1"/>
    <col min="15120" max="15350" width="11.44140625" style="425"/>
    <col min="15351" max="15364" width="0" style="425" hidden="1" customWidth="1"/>
    <col min="15365" max="15365" width="22.109375" style="425" customWidth="1"/>
    <col min="15366" max="15371" width="0" style="425" hidden="1" customWidth="1"/>
    <col min="15372" max="15372" width="13.33203125" style="425" customWidth="1"/>
    <col min="15373" max="15373" width="12.44140625" style="425" customWidth="1"/>
    <col min="15374" max="15374" width="12.109375" style="425" bestFit="1" customWidth="1"/>
    <col min="15375" max="15375" width="8.44140625" style="425" customWidth="1"/>
    <col min="15376" max="15606" width="11.44140625" style="425"/>
    <col min="15607" max="15620" width="0" style="425" hidden="1" customWidth="1"/>
    <col min="15621" max="15621" width="22.109375" style="425" customWidth="1"/>
    <col min="15622" max="15627" width="0" style="425" hidden="1" customWidth="1"/>
    <col min="15628" max="15628" width="13.33203125" style="425" customWidth="1"/>
    <col min="15629" max="15629" width="12.44140625" style="425" customWidth="1"/>
    <col min="15630" max="15630" width="12.109375" style="425" bestFit="1" customWidth="1"/>
    <col min="15631" max="15631" width="8.44140625" style="425" customWidth="1"/>
    <col min="15632" max="15862" width="11.44140625" style="425"/>
    <col min="15863" max="15876" width="0" style="425" hidden="1" customWidth="1"/>
    <col min="15877" max="15877" width="22.109375" style="425" customWidth="1"/>
    <col min="15878" max="15883" width="0" style="425" hidden="1" customWidth="1"/>
    <col min="15884" max="15884" width="13.33203125" style="425" customWidth="1"/>
    <col min="15885" max="15885" width="12.44140625" style="425" customWidth="1"/>
    <col min="15886" max="15886" width="12.109375" style="425" bestFit="1" customWidth="1"/>
    <col min="15887" max="15887" width="8.44140625" style="425" customWidth="1"/>
    <col min="15888" max="16118" width="11.44140625" style="425"/>
    <col min="16119" max="16132" width="0" style="425" hidden="1" customWidth="1"/>
    <col min="16133" max="16133" width="22.109375" style="425" customWidth="1"/>
    <col min="16134" max="16139" width="0" style="425" hidden="1" customWidth="1"/>
    <col min="16140" max="16140" width="13.33203125" style="425" customWidth="1"/>
    <col min="16141" max="16141" width="12.44140625" style="425" customWidth="1"/>
    <col min="16142" max="16142" width="12.109375" style="425" bestFit="1" customWidth="1"/>
    <col min="16143" max="16143" width="8.44140625" style="425" customWidth="1"/>
    <col min="16144" max="16384" width="11.44140625" style="425"/>
  </cols>
  <sheetData>
    <row r="1" spans="1:27" ht="15" customHeight="1" x14ac:dyDescent="0.25">
      <c r="A1" s="591" t="s">
        <v>368</v>
      </c>
      <c r="B1" s="593" t="s">
        <v>369</v>
      </c>
      <c r="C1" s="590">
        <v>2008</v>
      </c>
      <c r="D1" s="590">
        <v>2009</v>
      </c>
      <c r="E1" s="590">
        <v>2010</v>
      </c>
      <c r="F1" s="590">
        <v>2011</v>
      </c>
      <c r="G1" s="590">
        <v>2012</v>
      </c>
      <c r="H1" s="590">
        <v>2013</v>
      </c>
      <c r="I1" s="590">
        <v>2014</v>
      </c>
      <c r="J1" s="590">
        <v>2015</v>
      </c>
      <c r="K1" s="590">
        <v>2016</v>
      </c>
      <c r="L1" s="590">
        <v>2017</v>
      </c>
      <c r="M1" s="586">
        <v>2018</v>
      </c>
      <c r="N1" s="586" t="s">
        <v>370</v>
      </c>
      <c r="O1" s="584" t="s">
        <v>371</v>
      </c>
      <c r="P1" s="588">
        <v>2019</v>
      </c>
      <c r="Q1" s="588">
        <v>2020</v>
      </c>
      <c r="R1" s="584">
        <v>2021</v>
      </c>
      <c r="S1" s="584">
        <v>2022</v>
      </c>
      <c r="T1" s="584">
        <v>2023</v>
      </c>
      <c r="U1" s="596" t="s">
        <v>605</v>
      </c>
      <c r="V1" s="596" t="s">
        <v>617</v>
      </c>
      <c r="W1" s="596" t="s">
        <v>618</v>
      </c>
      <c r="X1" s="596" t="s">
        <v>619</v>
      </c>
      <c r="Y1" s="596" t="s">
        <v>606</v>
      </c>
      <c r="Z1" s="595" t="s">
        <v>519</v>
      </c>
      <c r="AA1" s="595"/>
    </row>
    <row r="2" spans="1:27" ht="14.4" customHeight="1" x14ac:dyDescent="0.2">
      <c r="A2" s="592"/>
      <c r="B2" s="594"/>
      <c r="C2" s="587"/>
      <c r="D2" s="587"/>
      <c r="E2" s="587"/>
      <c r="F2" s="587"/>
      <c r="G2" s="587"/>
      <c r="H2" s="587"/>
      <c r="I2" s="587"/>
      <c r="J2" s="587"/>
      <c r="K2" s="587"/>
      <c r="L2" s="587"/>
      <c r="M2" s="587"/>
      <c r="N2" s="587"/>
      <c r="O2" s="585"/>
      <c r="P2" s="589"/>
      <c r="Q2" s="589"/>
      <c r="R2" s="585"/>
      <c r="S2" s="585"/>
      <c r="T2" s="585"/>
      <c r="U2" s="596"/>
      <c r="V2" s="596"/>
      <c r="W2" s="596"/>
      <c r="X2" s="596"/>
      <c r="Y2" s="596"/>
      <c r="Z2" s="426" t="s">
        <v>521</v>
      </c>
      <c r="AA2" s="426" t="s">
        <v>520</v>
      </c>
    </row>
    <row r="3" spans="1:27" x14ac:dyDescent="0.2">
      <c r="A3" s="427" t="s">
        <v>372</v>
      </c>
      <c r="B3" s="427" t="s">
        <v>118</v>
      </c>
      <c r="C3" s="428">
        <f>+C4+C22+C25</f>
        <v>2925627053</v>
      </c>
      <c r="D3" s="428">
        <f>+D4+D22+D25</f>
        <v>3043826624</v>
      </c>
      <c r="E3" s="428">
        <f>+E4+E22+E25</f>
        <v>3673501690</v>
      </c>
      <c r="F3" s="428">
        <f>+F4+F22+F25</f>
        <v>3530340261</v>
      </c>
      <c r="G3" s="428">
        <f t="shared" ref="G3:L3" si="0">+G4+G22+G25</f>
        <v>3871535031.5</v>
      </c>
      <c r="H3" s="428">
        <f t="shared" si="0"/>
        <v>4188218386</v>
      </c>
      <c r="I3" s="428">
        <f t="shared" si="0"/>
        <v>4547648292</v>
      </c>
      <c r="J3" s="428">
        <f t="shared" si="0"/>
        <v>5264537496</v>
      </c>
      <c r="K3" s="428">
        <f t="shared" si="0"/>
        <v>6194404646</v>
      </c>
      <c r="L3" s="428">
        <f t="shared" si="0"/>
        <v>6043057140</v>
      </c>
      <c r="M3" s="428">
        <f>+M4+M22+M25</f>
        <v>6816476844.9499998</v>
      </c>
      <c r="N3" s="429" t="s">
        <v>373</v>
      </c>
      <c r="O3" s="430" t="s">
        <v>118</v>
      </c>
      <c r="P3" s="431">
        <f t="shared" ref="P3:AA3" si="1">+P4</f>
        <v>5461709994</v>
      </c>
      <c r="Q3" s="431">
        <f t="shared" si="1"/>
        <v>5597037249</v>
      </c>
      <c r="R3" s="431">
        <f t="shared" si="1"/>
        <v>5893780023</v>
      </c>
      <c r="S3" s="431">
        <f t="shared" si="1"/>
        <v>6539115246</v>
      </c>
      <c r="T3" s="431">
        <f t="shared" si="1"/>
        <v>10896577157</v>
      </c>
      <c r="U3" s="431">
        <f t="shared" si="1"/>
        <v>14162543582</v>
      </c>
      <c r="V3" s="432">
        <f t="shared" si="1"/>
        <v>15012296196.92</v>
      </c>
      <c r="W3" s="432">
        <f t="shared" si="1"/>
        <v>15762911006.765999</v>
      </c>
      <c r="X3" s="432">
        <f t="shared" si="1"/>
        <v>16393427447.036642</v>
      </c>
      <c r="Y3" s="432">
        <f>+U3+V3+W3+X3</f>
        <v>61331178232.722641</v>
      </c>
      <c r="Z3" s="432">
        <f t="shared" si="1"/>
        <v>9964965036.7250004</v>
      </c>
      <c r="AA3" s="432">
        <f t="shared" si="1"/>
        <v>51366213195.997643</v>
      </c>
    </row>
    <row r="4" spans="1:27" x14ac:dyDescent="0.2">
      <c r="A4" s="427" t="s">
        <v>374</v>
      </c>
      <c r="B4" s="427" t="s">
        <v>375</v>
      </c>
      <c r="C4" s="428">
        <f>+C5+C8+C11+C19</f>
        <v>2083990805</v>
      </c>
      <c r="D4" s="428">
        <f>+D5+D8+D11+D19</f>
        <v>2081763815</v>
      </c>
      <c r="E4" s="428">
        <f>+E5+E8+E11+E19</f>
        <v>2301586288</v>
      </c>
      <c r="F4" s="428">
        <f>+F5+F8+F11+F19</f>
        <v>2431017741</v>
      </c>
      <c r="G4" s="428">
        <f t="shared" ref="G4:L4" si="2">+G5+G8+G11+G19</f>
        <v>2563378232</v>
      </c>
      <c r="H4" s="428">
        <f t="shared" si="2"/>
        <v>2666966187</v>
      </c>
      <c r="I4" s="428">
        <f t="shared" si="2"/>
        <v>2755217184</v>
      </c>
      <c r="J4" s="428">
        <f t="shared" si="2"/>
        <v>2899019765</v>
      </c>
      <c r="K4" s="428">
        <f t="shared" si="2"/>
        <v>3193915664</v>
      </c>
      <c r="L4" s="428">
        <f t="shared" si="2"/>
        <v>3906699168</v>
      </c>
      <c r="M4" s="428">
        <f>+M5+M8+M11+M19</f>
        <v>4061777350</v>
      </c>
      <c r="N4" s="429">
        <v>101</v>
      </c>
      <c r="O4" s="433" t="s">
        <v>376</v>
      </c>
      <c r="P4" s="434">
        <f t="shared" ref="P4:S4" si="3">+P5+P14+P22</f>
        <v>5461709994</v>
      </c>
      <c r="Q4" s="434">
        <f t="shared" si="3"/>
        <v>5597037249</v>
      </c>
      <c r="R4" s="434">
        <f t="shared" si="3"/>
        <v>5893780023</v>
      </c>
      <c r="S4" s="434">
        <f t="shared" si="3"/>
        <v>6539115246</v>
      </c>
      <c r="T4" s="434">
        <f t="shared" ref="T4:U4" si="4">+T5+T14+T22</f>
        <v>10896577157</v>
      </c>
      <c r="U4" s="434">
        <f t="shared" si="4"/>
        <v>14162543582</v>
      </c>
      <c r="V4" s="435">
        <f t="shared" ref="V4:X4" si="5">+V5+V14+V22</f>
        <v>15012296196.92</v>
      </c>
      <c r="W4" s="435">
        <f t="shared" si="5"/>
        <v>15762911006.765999</v>
      </c>
      <c r="X4" s="435">
        <f t="shared" si="5"/>
        <v>16393427447.036642</v>
      </c>
      <c r="Y4" s="435">
        <f t="shared" ref="Y4:Y57" si="6">+U4+V4+W4+X4</f>
        <v>61331178232.722641</v>
      </c>
      <c r="Z4" s="435">
        <f t="shared" ref="Z4:AA4" si="7">+Z5+Z14+Z22</f>
        <v>9964965036.7250004</v>
      </c>
      <c r="AA4" s="435">
        <f t="shared" si="7"/>
        <v>51366213195.997643</v>
      </c>
    </row>
    <row r="5" spans="1:27" x14ac:dyDescent="0.2">
      <c r="A5" s="427" t="s">
        <v>377</v>
      </c>
      <c r="B5" s="427" t="s">
        <v>378</v>
      </c>
      <c r="C5" s="428">
        <f>+C6+C7</f>
        <v>1552702588</v>
      </c>
      <c r="D5" s="428">
        <f>+D6+D7</f>
        <v>1591529815</v>
      </c>
      <c r="E5" s="428">
        <f>+E6+E7</f>
        <v>1755085944</v>
      </c>
      <c r="F5" s="428">
        <f>+F6+F7</f>
        <v>1832383346</v>
      </c>
      <c r="G5" s="428">
        <f t="shared" ref="G5:L5" si="8">+G6+G7</f>
        <v>1930079374</v>
      </c>
      <c r="H5" s="428">
        <f t="shared" si="8"/>
        <v>2006599363</v>
      </c>
      <c r="I5" s="428">
        <f t="shared" si="8"/>
        <v>2047616330</v>
      </c>
      <c r="J5" s="428">
        <f t="shared" si="8"/>
        <v>2152502456</v>
      </c>
      <c r="K5" s="428">
        <f t="shared" si="8"/>
        <v>2359586214.6999998</v>
      </c>
      <c r="L5" s="428">
        <f t="shared" si="8"/>
        <v>2893119986</v>
      </c>
      <c r="M5" s="428">
        <f>+M6+M7</f>
        <v>2995237316</v>
      </c>
      <c r="N5" s="436">
        <v>10101001</v>
      </c>
      <c r="O5" s="430" t="s">
        <v>379</v>
      </c>
      <c r="P5" s="437">
        <f t="shared" ref="P5:S5" si="9">SUM(P6:P13)</f>
        <v>3546416729</v>
      </c>
      <c r="Q5" s="437">
        <f t="shared" si="9"/>
        <v>3650787784</v>
      </c>
      <c r="R5" s="437">
        <f t="shared" si="9"/>
        <v>3798239867</v>
      </c>
      <c r="S5" s="438">
        <f t="shared" si="9"/>
        <v>4158988525</v>
      </c>
      <c r="T5" s="438">
        <f t="shared" ref="T5" si="10">SUM(T6:T13)</f>
        <v>7011081297</v>
      </c>
      <c r="U5" s="439">
        <f>SUM(U6:U13)</f>
        <v>9307226097</v>
      </c>
      <c r="V5" s="439">
        <f t="shared" ref="V5:X5" si="11">SUM(V6:V13)</f>
        <v>9865659662.8199997</v>
      </c>
      <c r="W5" s="439">
        <f t="shared" si="11"/>
        <v>10358942645.960999</v>
      </c>
      <c r="X5" s="439">
        <f t="shared" si="11"/>
        <v>10773300351.79944</v>
      </c>
      <c r="Y5" s="439">
        <f t="shared" si="6"/>
        <v>40305128757.580437</v>
      </c>
      <c r="Z5" s="439">
        <f>SUM(Z6:Z13)</f>
        <v>5978979022.0349998</v>
      </c>
      <c r="AA5" s="439">
        <f t="shared" ref="AA5" si="12">SUM(AA6:AA13)</f>
        <v>34326149735.545444</v>
      </c>
    </row>
    <row r="6" spans="1:27" ht="12" x14ac:dyDescent="0.25">
      <c r="A6" s="440" t="s">
        <v>380</v>
      </c>
      <c r="B6" s="441" t="s">
        <v>381</v>
      </c>
      <c r="C6" s="442">
        <f>779780676+691056579</f>
        <v>1470837255</v>
      </c>
      <c r="D6" s="442">
        <f>762636726+828893089</f>
        <v>1591529815</v>
      </c>
      <c r="E6" s="442">
        <f>826973725+928112219</f>
        <v>1755085944</v>
      </c>
      <c r="F6" s="442">
        <f>891246648+830909012</f>
        <v>1722155660</v>
      </c>
      <c r="G6" s="442">
        <v>1790230261</v>
      </c>
      <c r="H6" s="442">
        <v>1879775679</v>
      </c>
      <c r="I6" s="442">
        <v>1915761959</v>
      </c>
      <c r="J6" s="442">
        <v>2023841205</v>
      </c>
      <c r="K6" s="442">
        <v>2209229431</v>
      </c>
      <c r="L6" s="442">
        <v>2715303232</v>
      </c>
      <c r="M6" s="442">
        <v>2801878854</v>
      </c>
      <c r="N6" s="443">
        <v>1010100101</v>
      </c>
      <c r="O6" s="444" t="s">
        <v>382</v>
      </c>
      <c r="P6" s="445">
        <v>2867041135</v>
      </c>
      <c r="Q6" s="445">
        <f>1590935413+1389084146</f>
        <v>2980019559</v>
      </c>
      <c r="R6" s="445">
        <f>1316900000+1760590633</f>
        <v>3077490633</v>
      </c>
      <c r="S6" s="446">
        <f>1720500000+1618726968</f>
        <v>3339226968</v>
      </c>
      <c r="T6" s="446">
        <f>1971598712+3881133421</f>
        <v>5852732133</v>
      </c>
      <c r="U6" s="447">
        <f>1601303600+5943072498</f>
        <v>7544376098</v>
      </c>
      <c r="V6" s="447">
        <f>+U6*1.06</f>
        <v>7997038663.8800001</v>
      </c>
      <c r="W6" s="447">
        <f>+V6*1.05</f>
        <v>8396890597.0740004</v>
      </c>
      <c r="X6" s="447">
        <f>+W6*1.04</f>
        <v>8732766220.9569607</v>
      </c>
      <c r="Y6" s="447">
        <f t="shared" si="6"/>
        <v>32671071579.910965</v>
      </c>
      <c r="Z6" s="447">
        <f>+$Z$57*0.6</f>
        <v>5978979022.0349998</v>
      </c>
      <c r="AA6" s="447">
        <f>+Y6-Z6</f>
        <v>26692092557.875965</v>
      </c>
    </row>
    <row r="7" spans="1:27" ht="12" x14ac:dyDescent="0.25">
      <c r="A7" s="440" t="s">
        <v>383</v>
      </c>
      <c r="B7" s="441" t="s">
        <v>384</v>
      </c>
      <c r="C7" s="442">
        <v>81865333</v>
      </c>
      <c r="D7" s="442"/>
      <c r="E7" s="442"/>
      <c r="F7" s="442">
        <v>110227686</v>
      </c>
      <c r="G7" s="442">
        <v>139849113</v>
      </c>
      <c r="H7" s="442">
        <v>126823684</v>
      </c>
      <c r="I7" s="442">
        <v>131854371</v>
      </c>
      <c r="J7" s="442">
        <v>128661251</v>
      </c>
      <c r="K7" s="442">
        <v>150356783.69999999</v>
      </c>
      <c r="L7" s="442">
        <v>177816754</v>
      </c>
      <c r="M7" s="442">
        <v>193358462</v>
      </c>
      <c r="N7" s="443">
        <v>1010100104</v>
      </c>
      <c r="O7" s="448" t="s">
        <v>385</v>
      </c>
      <c r="P7" s="449">
        <v>8497835</v>
      </c>
      <c r="Q7" s="449">
        <v>9068753</v>
      </c>
      <c r="R7" s="449">
        <v>9301432</v>
      </c>
      <c r="S7" s="450">
        <v>9681483</v>
      </c>
      <c r="T7" s="450">
        <v>8787358</v>
      </c>
      <c r="U7" s="451">
        <v>9950580</v>
      </c>
      <c r="V7" s="452">
        <f t="shared" ref="V7:V27" si="13">+U7*1.06</f>
        <v>10547614.800000001</v>
      </c>
      <c r="W7" s="452">
        <f t="shared" ref="W7:W27" si="14">+V7*1.05</f>
        <v>11074995.540000001</v>
      </c>
      <c r="X7" s="452">
        <f t="shared" ref="X7:X13" si="15">+W7*1.04</f>
        <v>11517995.361600002</v>
      </c>
      <c r="Y7" s="452">
        <f t="shared" si="6"/>
        <v>43091185.701600008</v>
      </c>
      <c r="Z7" s="452"/>
      <c r="AA7" s="452">
        <f t="shared" ref="AA7:AA13" si="16">+Y7-Z7</f>
        <v>43091185.701600008</v>
      </c>
    </row>
    <row r="8" spans="1:27" ht="12" x14ac:dyDescent="0.25">
      <c r="A8" s="440" t="s">
        <v>386</v>
      </c>
      <c r="B8" s="441" t="s">
        <v>387</v>
      </c>
      <c r="C8" s="442">
        <f t="shared" ref="C8:M8" si="17">+C9+C10</f>
        <v>186342567</v>
      </c>
      <c r="D8" s="442">
        <f t="shared" si="17"/>
        <v>189049670</v>
      </c>
      <c r="E8" s="442">
        <f t="shared" si="17"/>
        <v>205360933</v>
      </c>
      <c r="F8" s="442">
        <f t="shared" si="17"/>
        <v>212507626</v>
      </c>
      <c r="G8" s="442">
        <f t="shared" si="17"/>
        <v>211912784</v>
      </c>
      <c r="H8" s="442">
        <f t="shared" si="17"/>
        <v>227432292</v>
      </c>
      <c r="I8" s="442">
        <f t="shared" si="17"/>
        <v>247334181</v>
      </c>
      <c r="J8" s="442">
        <f t="shared" si="17"/>
        <v>262363726</v>
      </c>
      <c r="K8" s="442">
        <f t="shared" si="17"/>
        <v>289804928</v>
      </c>
      <c r="L8" s="442">
        <f t="shared" si="17"/>
        <v>370653206</v>
      </c>
      <c r="M8" s="442">
        <f t="shared" si="17"/>
        <v>381864540</v>
      </c>
      <c r="N8" s="443">
        <v>1010100105</v>
      </c>
      <c r="O8" s="444" t="s">
        <v>388</v>
      </c>
      <c r="P8" s="445">
        <v>10560315</v>
      </c>
      <c r="Q8" s="445">
        <v>12119629</v>
      </c>
      <c r="R8" s="445">
        <v>12114464</v>
      </c>
      <c r="S8" s="446">
        <v>15646364</v>
      </c>
      <c r="T8" s="446">
        <v>14819364</v>
      </c>
      <c r="U8" s="447">
        <v>14928960</v>
      </c>
      <c r="V8" s="447">
        <f t="shared" si="13"/>
        <v>15824697.600000001</v>
      </c>
      <c r="W8" s="447">
        <f t="shared" si="14"/>
        <v>16615932.480000002</v>
      </c>
      <c r="X8" s="447">
        <f t="shared" si="15"/>
        <v>17280569.779200003</v>
      </c>
      <c r="Y8" s="447">
        <f t="shared" si="6"/>
        <v>64650159.859200008</v>
      </c>
      <c r="Z8" s="447"/>
      <c r="AA8" s="447">
        <f t="shared" si="16"/>
        <v>64650159.859200008</v>
      </c>
    </row>
    <row r="9" spans="1:27" ht="12" x14ac:dyDescent="0.25">
      <c r="A9" s="440" t="s">
        <v>389</v>
      </c>
      <c r="B9" s="441" t="s">
        <v>390</v>
      </c>
      <c r="C9" s="442">
        <f>56314002+130028565</f>
        <v>186342567</v>
      </c>
      <c r="D9" s="442">
        <f>63021105+126028565</f>
        <v>189049670</v>
      </c>
      <c r="E9" s="442">
        <v>205360933</v>
      </c>
      <c r="F9" s="442">
        <f>146000000+39186878</f>
        <v>185186878</v>
      </c>
      <c r="G9" s="442">
        <v>168690869</v>
      </c>
      <c r="H9" s="442">
        <v>178323114</v>
      </c>
      <c r="I9" s="442">
        <v>185621348</v>
      </c>
      <c r="J9" s="442">
        <v>197752654</v>
      </c>
      <c r="K9" s="442">
        <v>228418915</v>
      </c>
      <c r="L9" s="442">
        <v>299774893</v>
      </c>
      <c r="M9" s="442">
        <v>307039303</v>
      </c>
      <c r="N9" s="443">
        <v>1010100106</v>
      </c>
      <c r="O9" s="448" t="s">
        <v>391</v>
      </c>
      <c r="P9" s="449">
        <v>126956431</v>
      </c>
      <c r="Q9" s="449">
        <v>136646825</v>
      </c>
      <c r="R9" s="449">
        <v>139157009</v>
      </c>
      <c r="S9" s="450">
        <v>150091952</v>
      </c>
      <c r="T9" s="450">
        <v>217733765</v>
      </c>
      <c r="U9" s="451">
        <v>341746951</v>
      </c>
      <c r="V9" s="452">
        <f t="shared" si="13"/>
        <v>362251768.06</v>
      </c>
      <c r="W9" s="452">
        <f t="shared" si="14"/>
        <v>380364356.463</v>
      </c>
      <c r="X9" s="452">
        <f t="shared" si="15"/>
        <v>395578930.72152001</v>
      </c>
      <c r="Y9" s="452">
        <f t="shared" si="6"/>
        <v>1479942006.2445199</v>
      </c>
      <c r="Z9" s="452"/>
      <c r="AA9" s="452">
        <f t="shared" si="16"/>
        <v>1479942006.2445199</v>
      </c>
    </row>
    <row r="10" spans="1:27" ht="12" x14ac:dyDescent="0.25">
      <c r="A10" s="440" t="s">
        <v>392</v>
      </c>
      <c r="B10" s="441" t="s">
        <v>393</v>
      </c>
      <c r="C10" s="442"/>
      <c r="D10" s="442"/>
      <c r="E10" s="442"/>
      <c r="F10" s="442">
        <v>27320748</v>
      </c>
      <c r="G10" s="442">
        <v>43221915</v>
      </c>
      <c r="H10" s="442">
        <v>49109178</v>
      </c>
      <c r="I10" s="442">
        <v>61712833</v>
      </c>
      <c r="J10" s="442">
        <v>64611072</v>
      </c>
      <c r="K10" s="442">
        <v>61386013</v>
      </c>
      <c r="L10" s="442">
        <v>70878313</v>
      </c>
      <c r="M10" s="442">
        <v>74825237</v>
      </c>
      <c r="N10" s="443">
        <v>1010100107</v>
      </c>
      <c r="O10" s="444" t="s">
        <v>394</v>
      </c>
      <c r="P10" s="445">
        <v>88841933</v>
      </c>
      <c r="Q10" s="445">
        <v>91988548</v>
      </c>
      <c r="R10" s="445">
        <v>95423574</v>
      </c>
      <c r="S10" s="446">
        <v>103011490</v>
      </c>
      <c r="T10" s="446">
        <v>134887169</v>
      </c>
      <c r="U10" s="447">
        <v>235598753</v>
      </c>
      <c r="V10" s="447">
        <f t="shared" si="13"/>
        <v>249734678.18000001</v>
      </c>
      <c r="W10" s="447">
        <f t="shared" si="14"/>
        <v>262221412.08900002</v>
      </c>
      <c r="X10" s="447">
        <f t="shared" si="15"/>
        <v>272710268.57256001</v>
      </c>
      <c r="Y10" s="447">
        <f t="shared" si="6"/>
        <v>1020265111.8415601</v>
      </c>
      <c r="Z10" s="447"/>
      <c r="AA10" s="447">
        <f t="shared" si="16"/>
        <v>1020265111.8415601</v>
      </c>
    </row>
    <row r="11" spans="1:27" ht="12" x14ac:dyDescent="0.25">
      <c r="A11" s="440" t="s">
        <v>395</v>
      </c>
      <c r="B11" s="441" t="s">
        <v>396</v>
      </c>
      <c r="C11" s="442">
        <f t="shared" ref="C11:M11" si="18">SUM(C12:C18)</f>
        <v>344945650</v>
      </c>
      <c r="D11" s="442">
        <f t="shared" si="18"/>
        <v>301184330</v>
      </c>
      <c r="E11" s="442">
        <f t="shared" si="18"/>
        <v>341139411</v>
      </c>
      <c r="F11" s="442">
        <f t="shared" si="18"/>
        <v>386126769</v>
      </c>
      <c r="G11" s="442">
        <f t="shared" si="18"/>
        <v>420286074</v>
      </c>
      <c r="H11" s="442">
        <f t="shared" si="18"/>
        <v>431790532</v>
      </c>
      <c r="I11" s="442">
        <f t="shared" si="18"/>
        <v>449257381</v>
      </c>
      <c r="J11" s="442">
        <f t="shared" si="18"/>
        <v>464149234</v>
      </c>
      <c r="K11" s="442">
        <f t="shared" si="18"/>
        <v>516185274.30000001</v>
      </c>
      <c r="L11" s="442">
        <f t="shared" si="18"/>
        <v>606669934</v>
      </c>
      <c r="M11" s="442">
        <f t="shared" si="18"/>
        <v>647365723</v>
      </c>
      <c r="N11" s="443">
        <v>1010100108</v>
      </c>
      <c r="O11" s="448" t="s">
        <v>397</v>
      </c>
      <c r="P11" s="449">
        <v>38397387</v>
      </c>
      <c r="Q11" s="449">
        <v>28789766</v>
      </c>
      <c r="R11" s="449">
        <v>36079906</v>
      </c>
      <c r="S11" s="450">
        <v>50532932</v>
      </c>
      <c r="T11" s="450">
        <v>54813913</v>
      </c>
      <c r="U11" s="451">
        <v>63000000</v>
      </c>
      <c r="V11" s="452">
        <f t="shared" si="13"/>
        <v>66780000</v>
      </c>
      <c r="W11" s="452">
        <f t="shared" si="14"/>
        <v>70119000</v>
      </c>
      <c r="X11" s="452">
        <f t="shared" si="15"/>
        <v>72923760</v>
      </c>
      <c r="Y11" s="452">
        <f t="shared" si="6"/>
        <v>272822760</v>
      </c>
      <c r="Z11" s="452"/>
      <c r="AA11" s="452">
        <f t="shared" si="16"/>
        <v>272822760</v>
      </c>
    </row>
    <row r="12" spans="1:27" ht="12" x14ac:dyDescent="0.25">
      <c r="A12" s="440" t="s">
        <v>398</v>
      </c>
      <c r="B12" s="441" t="s">
        <v>399</v>
      </c>
      <c r="C12" s="442">
        <v>46537844</v>
      </c>
      <c r="D12" s="442">
        <f>1742275+30840824</f>
        <v>32583099</v>
      </c>
      <c r="E12" s="442">
        <f>16594431+29544340</f>
        <v>46138771</v>
      </c>
      <c r="F12" s="442">
        <v>51100217</v>
      </c>
      <c r="G12" s="442">
        <v>51145559</v>
      </c>
      <c r="H12" s="442">
        <v>56950561</v>
      </c>
      <c r="I12" s="442">
        <v>59282683</v>
      </c>
      <c r="J12" s="442">
        <v>63039948</v>
      </c>
      <c r="K12" s="442">
        <v>67041671</v>
      </c>
      <c r="L12" s="442">
        <v>81022613</v>
      </c>
      <c r="M12" s="442">
        <v>90231782</v>
      </c>
      <c r="N12" s="443">
        <v>1010100109</v>
      </c>
      <c r="O12" s="444" t="s">
        <v>400</v>
      </c>
      <c r="P12" s="445">
        <v>274816904</v>
      </c>
      <c r="Q12" s="445">
        <v>285760139</v>
      </c>
      <c r="R12" s="445">
        <f>247425280+52316286</f>
        <v>299741566</v>
      </c>
      <c r="S12" s="446">
        <v>326629089</v>
      </c>
      <c r="T12" s="446">
        <v>545999410</v>
      </c>
      <c r="U12" s="447">
        <v>741638348</v>
      </c>
      <c r="V12" s="447">
        <f t="shared" si="13"/>
        <v>786136648.88</v>
      </c>
      <c r="W12" s="447">
        <f t="shared" si="14"/>
        <v>825443481.324</v>
      </c>
      <c r="X12" s="447">
        <f t="shared" si="15"/>
        <v>858461220.57696009</v>
      </c>
      <c r="Y12" s="447">
        <f t="shared" si="6"/>
        <v>3211679698.7809601</v>
      </c>
      <c r="Z12" s="447"/>
      <c r="AA12" s="447">
        <f t="shared" si="16"/>
        <v>3211679698.7809601</v>
      </c>
    </row>
    <row r="13" spans="1:27" ht="12" x14ac:dyDescent="0.25">
      <c r="A13" s="440" t="s">
        <v>401</v>
      </c>
      <c r="B13" s="441" t="s">
        <v>402</v>
      </c>
      <c r="C13" s="442">
        <v>4875736</v>
      </c>
      <c r="D13" s="442">
        <v>5319340</v>
      </c>
      <c r="E13" s="442">
        <f>2756045+2820156</f>
        <v>5576201</v>
      </c>
      <c r="F13" s="442">
        <v>9755834</v>
      </c>
      <c r="G13" s="442">
        <v>11804405</v>
      </c>
      <c r="H13" s="442">
        <v>10548453</v>
      </c>
      <c r="I13" s="442">
        <v>10819894</v>
      </c>
      <c r="J13" s="442">
        <v>10332856</v>
      </c>
      <c r="K13" s="442">
        <v>12467879</v>
      </c>
      <c r="L13" s="442">
        <v>14312056</v>
      </c>
      <c r="M13" s="442">
        <v>15526740</v>
      </c>
      <c r="N13" s="443">
        <v>1010100110</v>
      </c>
      <c r="O13" s="448" t="s">
        <v>403</v>
      </c>
      <c r="P13" s="449">
        <v>131304789</v>
      </c>
      <c r="Q13" s="449">
        <v>106394565</v>
      </c>
      <c r="R13" s="449">
        <v>128931283</v>
      </c>
      <c r="S13" s="450">
        <v>164168247</v>
      </c>
      <c r="T13" s="450">
        <v>181308185</v>
      </c>
      <c r="U13" s="451">
        <v>355986407</v>
      </c>
      <c r="V13" s="452">
        <f t="shared" si="13"/>
        <v>377345591.42000002</v>
      </c>
      <c r="W13" s="452">
        <f t="shared" si="14"/>
        <v>396212870.99100006</v>
      </c>
      <c r="X13" s="452">
        <f t="shared" si="15"/>
        <v>412061385.83064008</v>
      </c>
      <c r="Y13" s="452">
        <f t="shared" si="6"/>
        <v>1541606255.2416403</v>
      </c>
      <c r="Z13" s="452"/>
      <c r="AA13" s="452">
        <f t="shared" si="16"/>
        <v>1541606255.2416403</v>
      </c>
    </row>
    <row r="14" spans="1:27" x14ac:dyDescent="0.2">
      <c r="A14" s="440" t="s">
        <v>404</v>
      </c>
      <c r="B14" s="441" t="s">
        <v>385</v>
      </c>
      <c r="C14" s="442">
        <f>3589075+3579528</f>
        <v>7168603</v>
      </c>
      <c r="D14" s="442">
        <f>4511416+3579528</f>
        <v>8090944</v>
      </c>
      <c r="E14" s="442">
        <f>3175246+5208573</f>
        <v>8383819</v>
      </c>
      <c r="F14" s="442">
        <v>8726527</v>
      </c>
      <c r="G14" s="442">
        <v>9003113</v>
      </c>
      <c r="H14" s="442">
        <v>9432902</v>
      </c>
      <c r="I14" s="442">
        <v>9827020</v>
      </c>
      <c r="J14" s="442">
        <v>9718677</v>
      </c>
      <c r="K14" s="442">
        <v>11119107</v>
      </c>
      <c r="L14" s="442">
        <v>7798827</v>
      </c>
      <c r="M14" s="442">
        <v>8408150</v>
      </c>
      <c r="N14" s="430">
        <v>10102</v>
      </c>
      <c r="O14" s="453" t="s">
        <v>405</v>
      </c>
      <c r="P14" s="434">
        <f t="shared" ref="P14:S14" si="19">SUM(P15:P21)</f>
        <v>1272400603</v>
      </c>
      <c r="Q14" s="434">
        <f t="shared" si="19"/>
        <v>1304448678</v>
      </c>
      <c r="R14" s="434">
        <f t="shared" si="19"/>
        <v>1385685937</v>
      </c>
      <c r="S14" s="454">
        <f t="shared" si="19"/>
        <v>1540873751</v>
      </c>
      <c r="T14" s="454">
        <f t="shared" ref="T14" si="20">SUM(T15:T21)</f>
        <v>2760341971</v>
      </c>
      <c r="U14" s="455">
        <f>SUM(U15:U21)</f>
        <v>3451450465</v>
      </c>
      <c r="V14" s="455">
        <f t="shared" ref="V14:X14" si="21">SUM(V15:V21)</f>
        <v>3658537492.9000001</v>
      </c>
      <c r="W14" s="455">
        <f t="shared" si="21"/>
        <v>3841464367.5450006</v>
      </c>
      <c r="X14" s="455">
        <f t="shared" si="21"/>
        <v>3995122942.2468004</v>
      </c>
      <c r="Y14" s="455">
        <f t="shared" si="6"/>
        <v>14946575267.691799</v>
      </c>
      <c r="Z14" s="455">
        <f t="shared" ref="Z14" si="22">SUM(Z15:Z21)</f>
        <v>2989489511.0175004</v>
      </c>
      <c r="AA14" s="455">
        <f t="shared" ref="AA14" si="23">SUM(AA15:AA21)</f>
        <v>11957085756.674301</v>
      </c>
    </row>
    <row r="15" spans="1:27" ht="12" x14ac:dyDescent="0.25">
      <c r="A15" s="440" t="s">
        <v>406</v>
      </c>
      <c r="B15" s="441" t="s">
        <v>407</v>
      </c>
      <c r="C15" s="442">
        <f>2604570+2512263</f>
        <v>5116833</v>
      </c>
      <c r="D15" s="442">
        <f>3568626+2512263</f>
        <v>6080889</v>
      </c>
      <c r="E15" s="442">
        <f>2386645+3848505</f>
        <v>6235150</v>
      </c>
      <c r="F15" s="442">
        <v>6739480</v>
      </c>
      <c r="G15" s="442">
        <v>8341660</v>
      </c>
      <c r="H15" s="442">
        <v>9820650</v>
      </c>
      <c r="I15" s="442">
        <v>10394400</v>
      </c>
      <c r="J15" s="442">
        <v>11613066</v>
      </c>
      <c r="K15" s="442">
        <v>11007500</v>
      </c>
      <c r="L15" s="442">
        <v>9214682</v>
      </c>
      <c r="M15" s="442">
        <v>9565120</v>
      </c>
      <c r="N15" s="443">
        <v>10102001</v>
      </c>
      <c r="O15" s="448" t="s">
        <v>408</v>
      </c>
      <c r="P15" s="449">
        <v>361070358</v>
      </c>
      <c r="Q15" s="449">
        <f>150000000+227114190</f>
        <v>377114190</v>
      </c>
      <c r="R15" s="449">
        <f>150000000+249223800</f>
        <v>399223800</v>
      </c>
      <c r="S15" s="450">
        <f>170000000+264326267</f>
        <v>434326267</v>
      </c>
      <c r="T15" s="450">
        <f>176000000+637469645</f>
        <v>813469645</v>
      </c>
      <c r="U15" s="451">
        <f>150000000+838805676</f>
        <v>988805676</v>
      </c>
      <c r="V15" s="452">
        <f t="shared" si="13"/>
        <v>1048134016.5600001</v>
      </c>
      <c r="W15" s="452">
        <f t="shared" si="14"/>
        <v>1100540717.388</v>
      </c>
      <c r="X15" s="452">
        <f t="shared" ref="X15:X21" si="24">+W15*1.04</f>
        <v>1144562346.0835199</v>
      </c>
      <c r="Y15" s="452">
        <f t="shared" si="6"/>
        <v>4282042756.0315199</v>
      </c>
      <c r="Z15" s="452">
        <f>+Z57*0.1</f>
        <v>996496503.67250013</v>
      </c>
      <c r="AA15" s="452">
        <f t="shared" ref="AA15:AA21" si="25">+Y15-Z15</f>
        <v>3285546252.3590198</v>
      </c>
    </row>
    <row r="16" spans="1:27" ht="12" x14ac:dyDescent="0.25">
      <c r="A16" s="440" t="s">
        <v>409</v>
      </c>
      <c r="B16" s="441" t="s">
        <v>410</v>
      </c>
      <c r="C16" s="442">
        <f>27443670+45765859</f>
        <v>73209529</v>
      </c>
      <c r="D16" s="442">
        <f>8512515+45765859</f>
        <v>54278374</v>
      </c>
      <c r="E16" s="442">
        <f>36970411+31102131</f>
        <v>68072542</v>
      </c>
      <c r="F16" s="442">
        <f>52000000+21068114</f>
        <v>73068114</v>
      </c>
      <c r="G16" s="442">
        <v>80068038</v>
      </c>
      <c r="H16" s="442">
        <v>80535459</v>
      </c>
      <c r="I16" s="442">
        <v>85643985</v>
      </c>
      <c r="J16" s="442">
        <v>89437004</v>
      </c>
      <c r="K16" s="442">
        <v>100016207.3</v>
      </c>
      <c r="L16" s="442">
        <v>120372479</v>
      </c>
      <c r="M16" s="442">
        <v>125874922</v>
      </c>
      <c r="N16" s="443">
        <v>10102002</v>
      </c>
      <c r="O16" s="444" t="s">
        <v>411</v>
      </c>
      <c r="P16" s="445">
        <v>255761956</v>
      </c>
      <c r="Q16" s="445">
        <f>115100000+152018996</f>
        <v>267118996</v>
      </c>
      <c r="R16" s="445">
        <f>115100000+167683400</f>
        <v>282783400</v>
      </c>
      <c r="S16" s="446">
        <f>120000000+186987094</f>
        <v>306987094</v>
      </c>
      <c r="T16" s="446">
        <f>136000000+433790300</f>
        <v>569790300</v>
      </c>
      <c r="U16" s="447">
        <f>150000000+550404228</f>
        <v>700404228</v>
      </c>
      <c r="V16" s="447">
        <f t="shared" si="13"/>
        <v>742428481.68000007</v>
      </c>
      <c r="W16" s="447">
        <f t="shared" si="14"/>
        <v>779549905.76400006</v>
      </c>
      <c r="X16" s="447">
        <f t="shared" si="24"/>
        <v>810731901.99456012</v>
      </c>
      <c r="Y16" s="447">
        <f t="shared" si="6"/>
        <v>3033114517.4385605</v>
      </c>
      <c r="Z16" s="447">
        <f>+Z57*0.1</f>
        <v>996496503.67250013</v>
      </c>
      <c r="AA16" s="447">
        <f t="shared" si="25"/>
        <v>2036618013.7660604</v>
      </c>
    </row>
    <row r="17" spans="1:27" ht="12" x14ac:dyDescent="0.25">
      <c r="A17" s="440" t="s">
        <v>412</v>
      </c>
      <c r="B17" s="441" t="s">
        <v>403</v>
      </c>
      <c r="C17" s="442">
        <v>64735494</v>
      </c>
      <c r="D17" s="442">
        <f>39193707+20674889</f>
        <v>59868596</v>
      </c>
      <c r="E17" s="442">
        <f>48757307+4986419</f>
        <v>53743726</v>
      </c>
      <c r="F17" s="442">
        <v>73308670</v>
      </c>
      <c r="G17" s="442">
        <v>93419848</v>
      </c>
      <c r="H17" s="442">
        <v>84654287</v>
      </c>
      <c r="I17" s="442">
        <v>88763962</v>
      </c>
      <c r="J17" s="442">
        <v>84128429</v>
      </c>
      <c r="K17" s="442">
        <v>101534004</v>
      </c>
      <c r="L17" s="442">
        <v>115315619</v>
      </c>
      <c r="M17" s="442">
        <v>125491147</v>
      </c>
      <c r="N17" s="443">
        <v>10102003</v>
      </c>
      <c r="O17" s="448" t="s">
        <v>413</v>
      </c>
      <c r="P17" s="449">
        <v>304971861</v>
      </c>
      <c r="Q17" s="449">
        <f>150000000+154679892</f>
        <v>304679892</v>
      </c>
      <c r="R17" s="449">
        <f>155064640+170397697</f>
        <v>325462337</v>
      </c>
      <c r="S17" s="450">
        <f>141100000+272936490</f>
        <v>414036490</v>
      </c>
      <c r="T17" s="450">
        <f>182397767+411004159</f>
        <v>593401926</v>
      </c>
      <c r="U17" s="451">
        <f>185982400+622709144</f>
        <v>808691544</v>
      </c>
      <c r="V17" s="452">
        <f t="shared" si="13"/>
        <v>857213036.63999999</v>
      </c>
      <c r="W17" s="452">
        <f t="shared" si="14"/>
        <v>900073688.472</v>
      </c>
      <c r="X17" s="452">
        <f t="shared" si="24"/>
        <v>936076636.01087999</v>
      </c>
      <c r="Y17" s="452">
        <f t="shared" si="6"/>
        <v>3502054905.12288</v>
      </c>
      <c r="Z17" s="452">
        <f>+Z57*0.1</f>
        <v>996496503.67250013</v>
      </c>
      <c r="AA17" s="452">
        <f t="shared" si="25"/>
        <v>2505558401.4503798</v>
      </c>
    </row>
    <row r="18" spans="1:27" ht="12" x14ac:dyDescent="0.25">
      <c r="A18" s="440" t="s">
        <v>414</v>
      </c>
      <c r="B18" s="441" t="s">
        <v>415</v>
      </c>
      <c r="C18" s="442">
        <f>108803332+34498279</f>
        <v>143301611</v>
      </c>
      <c r="D18" s="442">
        <f>89963088+45000000</f>
        <v>134963088</v>
      </c>
      <c r="E18" s="442">
        <f>41390733+111598469</f>
        <v>152989202</v>
      </c>
      <c r="F18" s="442">
        <f>100000000+63427927</f>
        <v>163427927</v>
      </c>
      <c r="G18" s="442">
        <v>166503451</v>
      </c>
      <c r="H18" s="442">
        <v>179848220</v>
      </c>
      <c r="I18" s="442">
        <v>184525437</v>
      </c>
      <c r="J18" s="442">
        <v>195879254</v>
      </c>
      <c r="K18" s="442">
        <v>212998906</v>
      </c>
      <c r="L18" s="442">
        <v>258633658</v>
      </c>
      <c r="M18" s="442">
        <v>272267862</v>
      </c>
      <c r="N18" s="443">
        <v>10102004</v>
      </c>
      <c r="O18" s="444" t="s">
        <v>416</v>
      </c>
      <c r="P18" s="445">
        <v>131230446</v>
      </c>
      <c r="Q18" s="445">
        <v>132451700</v>
      </c>
      <c r="R18" s="445">
        <v>142870000</v>
      </c>
      <c r="S18" s="446">
        <v>149862800</v>
      </c>
      <c r="T18" s="446">
        <v>284656300</v>
      </c>
      <c r="U18" s="447">
        <v>357511225</v>
      </c>
      <c r="V18" s="447">
        <f t="shared" si="13"/>
        <v>378961898.5</v>
      </c>
      <c r="W18" s="447">
        <f t="shared" si="14"/>
        <v>397909993.42500001</v>
      </c>
      <c r="X18" s="447">
        <f t="shared" si="24"/>
        <v>413826393.162</v>
      </c>
      <c r="Y18" s="447">
        <f t="shared" si="6"/>
        <v>1548209510.0869999</v>
      </c>
      <c r="Z18" s="447"/>
      <c r="AA18" s="447">
        <f t="shared" si="25"/>
        <v>1548209510.0869999</v>
      </c>
    </row>
    <row r="19" spans="1:27" ht="12" x14ac:dyDescent="0.25">
      <c r="A19" s="440" t="s">
        <v>417</v>
      </c>
      <c r="B19" s="441" t="s">
        <v>418</v>
      </c>
      <c r="C19" s="442">
        <f>+C21</f>
        <v>0</v>
      </c>
      <c r="D19" s="442">
        <f>+D21</f>
        <v>0</v>
      </c>
      <c r="E19" s="442">
        <f>+E21</f>
        <v>0</v>
      </c>
      <c r="F19" s="442">
        <f>+F21</f>
        <v>0</v>
      </c>
      <c r="G19" s="442">
        <f>+G21</f>
        <v>1100000</v>
      </c>
      <c r="H19" s="442">
        <f t="shared" ref="H19:M19" si="26">+H20+H21</f>
        <v>1144000</v>
      </c>
      <c r="I19" s="442">
        <f t="shared" si="26"/>
        <v>11009292</v>
      </c>
      <c r="J19" s="442">
        <f t="shared" si="26"/>
        <v>20004349</v>
      </c>
      <c r="K19" s="442">
        <f t="shared" si="26"/>
        <v>28339247</v>
      </c>
      <c r="L19" s="442">
        <f t="shared" si="26"/>
        <v>36256042</v>
      </c>
      <c r="M19" s="442">
        <f t="shared" si="26"/>
        <v>37309771</v>
      </c>
      <c r="N19" s="443">
        <v>10102005</v>
      </c>
      <c r="O19" s="448" t="s">
        <v>419</v>
      </c>
      <c r="P19" s="449">
        <v>55294400</v>
      </c>
      <c r="Q19" s="449">
        <v>57482600</v>
      </c>
      <c r="R19" s="449">
        <v>56723900</v>
      </c>
      <c r="S19" s="450">
        <v>47502000</v>
      </c>
      <c r="T19" s="450">
        <v>143706500</v>
      </c>
      <c r="U19" s="451">
        <v>149148760</v>
      </c>
      <c r="V19" s="452">
        <f t="shared" si="13"/>
        <v>158097685.59999999</v>
      </c>
      <c r="W19" s="452">
        <f t="shared" si="14"/>
        <v>166002569.88</v>
      </c>
      <c r="X19" s="452">
        <f t="shared" si="24"/>
        <v>172642672.67520002</v>
      </c>
      <c r="Y19" s="452">
        <f t="shared" si="6"/>
        <v>645891688.1552</v>
      </c>
      <c r="Z19" s="452"/>
      <c r="AA19" s="452">
        <f t="shared" si="25"/>
        <v>645891688.1552</v>
      </c>
    </row>
    <row r="20" spans="1:27" ht="12" x14ac:dyDescent="0.25">
      <c r="A20" s="440" t="s">
        <v>420</v>
      </c>
      <c r="B20" s="441" t="s">
        <v>421</v>
      </c>
      <c r="C20" s="442"/>
      <c r="D20" s="442"/>
      <c r="E20" s="442"/>
      <c r="F20" s="442"/>
      <c r="G20" s="442">
        <v>0</v>
      </c>
      <c r="H20" s="442"/>
      <c r="I20" s="442">
        <v>11009292</v>
      </c>
      <c r="J20" s="442">
        <v>20004349</v>
      </c>
      <c r="K20" s="442">
        <v>28339247</v>
      </c>
      <c r="L20" s="442">
        <v>36256042</v>
      </c>
      <c r="M20" s="442">
        <v>37309771</v>
      </c>
      <c r="N20" s="443">
        <v>10102006</v>
      </c>
      <c r="O20" s="444" t="s">
        <v>422</v>
      </c>
      <c r="P20" s="445">
        <v>98434209</v>
      </c>
      <c r="Q20" s="445">
        <v>99355600</v>
      </c>
      <c r="R20" s="445">
        <v>107167200</v>
      </c>
      <c r="S20" s="446">
        <v>113202500</v>
      </c>
      <c r="T20" s="446">
        <v>213178000</v>
      </c>
      <c r="U20" s="447">
        <v>268133419</v>
      </c>
      <c r="V20" s="447">
        <f t="shared" si="13"/>
        <v>284221424.13999999</v>
      </c>
      <c r="W20" s="447">
        <f t="shared" si="14"/>
        <v>298432495.347</v>
      </c>
      <c r="X20" s="447">
        <f t="shared" si="24"/>
        <v>310369795.16088003</v>
      </c>
      <c r="Y20" s="447">
        <f t="shared" si="6"/>
        <v>1161157133.6478801</v>
      </c>
      <c r="Z20" s="447"/>
      <c r="AA20" s="447">
        <f t="shared" si="25"/>
        <v>1161157133.6478801</v>
      </c>
    </row>
    <row r="21" spans="1:27" ht="12" x14ac:dyDescent="0.25">
      <c r="A21" s="440" t="s">
        <v>420</v>
      </c>
      <c r="B21" s="441" t="s">
        <v>423</v>
      </c>
      <c r="C21" s="442"/>
      <c r="D21" s="442"/>
      <c r="E21" s="442"/>
      <c r="F21" s="442">
        <v>0</v>
      </c>
      <c r="G21" s="442">
        <v>1100000</v>
      </c>
      <c r="H21" s="442">
        <v>1144000</v>
      </c>
      <c r="I21" s="442"/>
      <c r="J21" s="442">
        <v>0</v>
      </c>
      <c r="K21" s="442">
        <v>0</v>
      </c>
      <c r="L21" s="442">
        <v>0</v>
      </c>
      <c r="M21" s="442">
        <v>0</v>
      </c>
      <c r="N21" s="443">
        <v>10102007</v>
      </c>
      <c r="O21" s="448" t="s">
        <v>424</v>
      </c>
      <c r="P21" s="449">
        <v>65637373</v>
      </c>
      <c r="Q21" s="449">
        <v>66245700</v>
      </c>
      <c r="R21" s="449">
        <v>71455300</v>
      </c>
      <c r="S21" s="450">
        <v>74956600</v>
      </c>
      <c r="T21" s="450">
        <v>142139300</v>
      </c>
      <c r="U21" s="451">
        <v>178755613</v>
      </c>
      <c r="V21" s="452">
        <f t="shared" si="13"/>
        <v>189480949.78</v>
      </c>
      <c r="W21" s="452">
        <f t="shared" si="14"/>
        <v>198954997.26900002</v>
      </c>
      <c r="X21" s="452">
        <f t="shared" si="24"/>
        <v>206913197.15976003</v>
      </c>
      <c r="Y21" s="452">
        <f t="shared" si="6"/>
        <v>774104757.20876002</v>
      </c>
      <c r="Z21" s="452"/>
      <c r="AA21" s="452">
        <f t="shared" si="25"/>
        <v>774104757.20876002</v>
      </c>
    </row>
    <row r="22" spans="1:27" ht="9.75" customHeight="1" x14ac:dyDescent="0.2">
      <c r="A22" s="440" t="s">
        <v>425</v>
      </c>
      <c r="B22" s="441" t="s">
        <v>426</v>
      </c>
      <c r="C22" s="442">
        <f t="shared" ref="C22:M22" si="27">+C23+C24</f>
        <v>241275959</v>
      </c>
      <c r="D22" s="442">
        <f t="shared" si="27"/>
        <v>337178916</v>
      </c>
      <c r="E22" s="442">
        <f t="shared" si="27"/>
        <v>665646676</v>
      </c>
      <c r="F22" s="442">
        <f t="shared" si="27"/>
        <v>361533269</v>
      </c>
      <c r="G22" s="442">
        <f t="shared" si="27"/>
        <v>537046129.5</v>
      </c>
      <c r="H22" s="442">
        <f t="shared" si="27"/>
        <v>712577335</v>
      </c>
      <c r="I22" s="442">
        <f t="shared" si="27"/>
        <v>957733513</v>
      </c>
      <c r="J22" s="442">
        <f t="shared" si="27"/>
        <v>1482446799</v>
      </c>
      <c r="K22" s="442">
        <f t="shared" si="27"/>
        <v>2029289124</v>
      </c>
      <c r="L22" s="442">
        <f t="shared" si="27"/>
        <v>940117247</v>
      </c>
      <c r="M22" s="442">
        <f t="shared" si="27"/>
        <v>1479386667</v>
      </c>
      <c r="N22" s="430">
        <v>10103</v>
      </c>
      <c r="O22" s="453" t="s">
        <v>427</v>
      </c>
      <c r="P22" s="434">
        <f>SUM(P23:P27)</f>
        <v>642892662</v>
      </c>
      <c r="Q22" s="434">
        <f>SUM(Q23:Q27)</f>
        <v>641800787</v>
      </c>
      <c r="R22" s="434">
        <f>SUM(R23:R27)</f>
        <v>709854219</v>
      </c>
      <c r="S22" s="434">
        <f>+S23+S25+S26+S27</f>
        <v>839252970</v>
      </c>
      <c r="T22" s="434">
        <f>+T23+T25+T26+T27</f>
        <v>1125153889</v>
      </c>
      <c r="U22" s="434">
        <f>+U23+U25+U26+U27</f>
        <v>1403867020</v>
      </c>
      <c r="V22" s="435">
        <f t="shared" ref="V22:X22" si="28">+V23+V25+V26+V27</f>
        <v>1488099041.2</v>
      </c>
      <c r="W22" s="435">
        <f t="shared" si="28"/>
        <v>1562503993.2600002</v>
      </c>
      <c r="X22" s="435">
        <f t="shared" si="28"/>
        <v>1625004152.9904001</v>
      </c>
      <c r="Y22" s="435">
        <f t="shared" si="6"/>
        <v>6079474207.4504004</v>
      </c>
      <c r="Z22" s="435">
        <f t="shared" ref="Z22" si="29">+Z23+Z25+Z26+Z27</f>
        <v>996496503.67250013</v>
      </c>
      <c r="AA22" s="435">
        <f t="shared" ref="AA22" si="30">+AA23+AA25+AA26+AA27</f>
        <v>5082977703.7779007</v>
      </c>
    </row>
    <row r="23" spans="1:27" ht="12" x14ac:dyDescent="0.25">
      <c r="A23" s="440" t="s">
        <v>428</v>
      </c>
      <c r="B23" s="441" t="s">
        <v>429</v>
      </c>
      <c r="C23" s="442">
        <v>124369975</v>
      </c>
      <c r="D23" s="442">
        <v>202778916</v>
      </c>
      <c r="E23" s="442">
        <v>376346676</v>
      </c>
      <c r="F23" s="442">
        <v>251995019</v>
      </c>
      <c r="G23" s="442">
        <v>272169439</v>
      </c>
      <c r="H23" s="442">
        <v>410600746</v>
      </c>
      <c r="I23" s="442">
        <v>590585049</v>
      </c>
      <c r="J23" s="442">
        <v>906167395</v>
      </c>
      <c r="K23" s="442">
        <v>1213118799</v>
      </c>
      <c r="L23" s="442">
        <v>638417247</v>
      </c>
      <c r="M23" s="442">
        <v>979576673</v>
      </c>
      <c r="N23" s="443">
        <v>1010300101</v>
      </c>
      <c r="O23" s="448" t="s">
        <v>430</v>
      </c>
      <c r="P23" s="449">
        <v>192913748</v>
      </c>
      <c r="Q23" s="449">
        <v>158682376</v>
      </c>
      <c r="R23" s="449">
        <v>190342758</v>
      </c>
      <c r="S23" s="450">
        <v>233799447</v>
      </c>
      <c r="T23" s="450">
        <v>269363877</v>
      </c>
      <c r="U23" s="451">
        <v>397072426</v>
      </c>
      <c r="V23" s="452">
        <f t="shared" si="13"/>
        <v>420896771.56</v>
      </c>
      <c r="W23" s="452">
        <f t="shared" si="14"/>
        <v>441941610.13800001</v>
      </c>
      <c r="X23" s="452">
        <f t="shared" ref="X23:X27" si="31">+W23*1.04</f>
        <v>459619274.54352003</v>
      </c>
      <c r="Y23" s="452">
        <f t="shared" si="6"/>
        <v>1719530082.2415199</v>
      </c>
      <c r="Z23" s="452"/>
      <c r="AA23" s="452">
        <f t="shared" ref="AA23:AA27" si="32">+Y23-Z23</f>
        <v>1719530082.2415199</v>
      </c>
    </row>
    <row r="24" spans="1:27" ht="8.25" hidden="1" customHeight="1" x14ac:dyDescent="0.25">
      <c r="A24" s="440" t="s">
        <v>431</v>
      </c>
      <c r="B24" s="441" t="s">
        <v>432</v>
      </c>
      <c r="C24" s="442">
        <v>116905984</v>
      </c>
      <c r="D24" s="442">
        <v>134400000</v>
      </c>
      <c r="E24" s="442">
        <v>289300000</v>
      </c>
      <c r="F24" s="442">
        <v>109538250</v>
      </c>
      <c r="G24" s="442">
        <v>264876690.5</v>
      </c>
      <c r="H24" s="442">
        <v>301976589</v>
      </c>
      <c r="I24" s="442">
        <v>367148464</v>
      </c>
      <c r="J24" s="442">
        <v>576279404</v>
      </c>
      <c r="K24" s="442">
        <v>816170325</v>
      </c>
      <c r="L24" s="442">
        <v>301700000</v>
      </c>
      <c r="M24" s="442">
        <v>499809994</v>
      </c>
      <c r="N24" s="443">
        <v>1010300102</v>
      </c>
      <c r="O24" s="448" t="s">
        <v>433</v>
      </c>
      <c r="P24" s="449">
        <v>0</v>
      </c>
      <c r="Q24" s="449">
        <v>0</v>
      </c>
      <c r="R24" s="449">
        <v>0</v>
      </c>
      <c r="S24" s="450">
        <v>0</v>
      </c>
      <c r="T24" s="450">
        <v>0</v>
      </c>
      <c r="U24" s="451">
        <v>0</v>
      </c>
      <c r="V24" s="452">
        <f t="shared" si="13"/>
        <v>0</v>
      </c>
      <c r="W24" s="452">
        <f t="shared" si="14"/>
        <v>0</v>
      </c>
      <c r="X24" s="452">
        <f t="shared" si="31"/>
        <v>0</v>
      </c>
      <c r="Y24" s="452">
        <f t="shared" si="6"/>
        <v>0</v>
      </c>
      <c r="Z24" s="452"/>
      <c r="AA24" s="452">
        <f t="shared" si="32"/>
        <v>0</v>
      </c>
    </row>
    <row r="25" spans="1:27" ht="12" x14ac:dyDescent="0.25">
      <c r="A25" s="440" t="s">
        <v>434</v>
      </c>
      <c r="B25" s="441" t="s">
        <v>405</v>
      </c>
      <c r="C25" s="442">
        <f>+C26+C31+C33+C34</f>
        <v>600360289</v>
      </c>
      <c r="D25" s="442">
        <f>+D26+D31+D33+D34</f>
        <v>624883893</v>
      </c>
      <c r="E25" s="442">
        <f>+E26+E31+E33+E34</f>
        <v>706268726</v>
      </c>
      <c r="F25" s="442">
        <f>+F26+F31+F33+F34</f>
        <v>737789251</v>
      </c>
      <c r="G25" s="442">
        <f t="shared" ref="G25:L25" si="33">+G26+G31+G33+G34</f>
        <v>771110670</v>
      </c>
      <c r="H25" s="442">
        <f t="shared" si="33"/>
        <v>808674864</v>
      </c>
      <c r="I25" s="442">
        <f t="shared" si="33"/>
        <v>834697595</v>
      </c>
      <c r="J25" s="442">
        <f t="shared" si="33"/>
        <v>883070932</v>
      </c>
      <c r="K25" s="442">
        <f t="shared" si="33"/>
        <v>971199858</v>
      </c>
      <c r="L25" s="442">
        <f t="shared" si="33"/>
        <v>1196240725</v>
      </c>
      <c r="M25" s="442">
        <f>+M26+M31</f>
        <v>1275312827.95</v>
      </c>
      <c r="N25" s="443">
        <v>1010300103</v>
      </c>
      <c r="O25" s="444" t="s">
        <v>435</v>
      </c>
      <c r="P25" s="445">
        <v>16220021</v>
      </c>
      <c r="Q25" s="445">
        <v>13637640</v>
      </c>
      <c r="R25" s="445">
        <v>15919652</v>
      </c>
      <c r="S25" s="446">
        <v>20407830</v>
      </c>
      <c r="T25" s="446">
        <v>22678653</v>
      </c>
      <c r="U25" s="447">
        <v>44119158</v>
      </c>
      <c r="V25" s="447">
        <f t="shared" si="13"/>
        <v>46766307.480000004</v>
      </c>
      <c r="W25" s="447">
        <f t="shared" si="14"/>
        <v>49104622.85400001</v>
      </c>
      <c r="X25" s="447">
        <f t="shared" si="31"/>
        <v>51068807.768160015</v>
      </c>
      <c r="Y25" s="447">
        <f t="shared" si="6"/>
        <v>191058896.10216004</v>
      </c>
      <c r="Z25" s="447"/>
      <c r="AA25" s="447">
        <f t="shared" si="32"/>
        <v>191058896.10216004</v>
      </c>
    </row>
    <row r="26" spans="1:27" ht="12" x14ac:dyDescent="0.25">
      <c r="A26" s="440" t="s">
        <v>436</v>
      </c>
      <c r="B26" s="441" t="s">
        <v>437</v>
      </c>
      <c r="C26" s="442">
        <f>SUM(C27:C30)</f>
        <v>380318980</v>
      </c>
      <c r="D26" s="442">
        <f>SUM(D27:D30)</f>
        <v>402709916</v>
      </c>
      <c r="E26" s="442">
        <f>SUM(E27:E30)</f>
        <v>438269331</v>
      </c>
      <c r="F26" s="442">
        <f>SUM(F27:F30)</f>
        <v>462903557</v>
      </c>
      <c r="G26" s="442">
        <f t="shared" ref="G26:M26" si="34">SUM(G27:G30)</f>
        <v>467836135</v>
      </c>
      <c r="H26" s="442">
        <f t="shared" si="34"/>
        <v>498831167</v>
      </c>
      <c r="I26" s="442">
        <f t="shared" si="34"/>
        <v>513873333</v>
      </c>
      <c r="J26" s="442">
        <f t="shared" si="34"/>
        <v>544951063</v>
      </c>
      <c r="K26" s="442">
        <f t="shared" si="34"/>
        <v>600459376</v>
      </c>
      <c r="L26" s="442">
        <f t="shared" si="34"/>
        <v>744442795</v>
      </c>
      <c r="M26" s="442">
        <f t="shared" si="34"/>
        <v>800006659.95000005</v>
      </c>
      <c r="N26" s="443">
        <v>10103002</v>
      </c>
      <c r="O26" s="448" t="s">
        <v>438</v>
      </c>
      <c r="P26" s="449">
        <v>336621832</v>
      </c>
      <c r="Q26" s="449">
        <f>191800000+165630223</f>
        <v>357430223</v>
      </c>
      <c r="R26" s="449">
        <f>194261760+167081465</f>
        <v>361343225</v>
      </c>
      <c r="S26" s="450">
        <f>199300000+231148811</f>
        <v>430448811</v>
      </c>
      <c r="T26" s="450">
        <f>228800000+595336270</f>
        <v>824136270</v>
      </c>
      <c r="U26" s="451">
        <f>224703800+643235080</f>
        <v>867938880</v>
      </c>
      <c r="V26" s="452">
        <f t="shared" si="13"/>
        <v>920015212.80000007</v>
      </c>
      <c r="W26" s="452">
        <f t="shared" si="14"/>
        <v>966015973.44000006</v>
      </c>
      <c r="X26" s="452">
        <f t="shared" si="31"/>
        <v>1004656612.3776001</v>
      </c>
      <c r="Y26" s="452">
        <f t="shared" si="6"/>
        <v>3758626678.6176004</v>
      </c>
      <c r="Z26" s="452">
        <f>+Z57*0.1</f>
        <v>996496503.67250013</v>
      </c>
      <c r="AA26" s="452">
        <f t="shared" si="32"/>
        <v>2762130174.9451003</v>
      </c>
    </row>
    <row r="27" spans="1:27" ht="12" x14ac:dyDescent="0.25">
      <c r="A27" s="440" t="s">
        <v>439</v>
      </c>
      <c r="B27" s="441" t="s">
        <v>440</v>
      </c>
      <c r="C27" s="442">
        <v>70935666</v>
      </c>
      <c r="D27" s="442">
        <f>9442484+70936000</f>
        <v>80378484</v>
      </c>
      <c r="E27" s="442">
        <f>47707986+31441478</f>
        <v>79149464</v>
      </c>
      <c r="F27" s="442">
        <v>82932100</v>
      </c>
      <c r="G27" s="442">
        <v>86319885</v>
      </c>
      <c r="H27" s="442">
        <v>91606759</v>
      </c>
      <c r="I27" s="442">
        <v>95164100</v>
      </c>
      <c r="J27" s="442">
        <v>100448900</v>
      </c>
      <c r="K27" s="442">
        <v>110093700</v>
      </c>
      <c r="L27" s="442">
        <v>134205440</v>
      </c>
      <c r="M27" s="442">
        <v>138336299.94999999</v>
      </c>
      <c r="N27" s="443">
        <v>10103016</v>
      </c>
      <c r="O27" s="444" t="s">
        <v>393</v>
      </c>
      <c r="P27" s="445">
        <v>97137061</v>
      </c>
      <c r="Q27" s="445">
        <v>112050548</v>
      </c>
      <c r="R27" s="445">
        <v>142248584</v>
      </c>
      <c r="S27" s="446">
        <v>154596882</v>
      </c>
      <c r="T27" s="446">
        <v>8975089</v>
      </c>
      <c r="U27" s="447">
        <v>94736556</v>
      </c>
      <c r="V27" s="447">
        <f t="shared" si="13"/>
        <v>100420749.36</v>
      </c>
      <c r="W27" s="447">
        <f t="shared" si="14"/>
        <v>105441786.82800001</v>
      </c>
      <c r="X27" s="447">
        <f t="shared" si="31"/>
        <v>109659458.30112001</v>
      </c>
      <c r="Y27" s="447">
        <f t="shared" si="6"/>
        <v>410258550.48912001</v>
      </c>
      <c r="Z27" s="447"/>
      <c r="AA27" s="447">
        <f t="shared" si="32"/>
        <v>410258550.48912001</v>
      </c>
    </row>
    <row r="28" spans="1:27" x14ac:dyDescent="0.2">
      <c r="A28" s="440" t="s">
        <v>441</v>
      </c>
      <c r="B28" s="441" t="s">
        <v>442</v>
      </c>
      <c r="C28" s="442">
        <f>75256138+11495590+91360195</f>
        <v>178111923</v>
      </c>
      <c r="D28" s="442">
        <f>87270565+95256138</f>
        <v>182526703</v>
      </c>
      <c r="E28" s="442">
        <f>79332933+125357210</f>
        <v>204690143</v>
      </c>
      <c r="F28" s="442">
        <f>90000000+126181388</f>
        <v>216181388</v>
      </c>
      <c r="G28" s="442">
        <v>217994891</v>
      </c>
      <c r="H28" s="442">
        <v>232706072</v>
      </c>
      <c r="I28" s="442">
        <v>239154988</v>
      </c>
      <c r="J28" s="442">
        <v>253960806</v>
      </c>
      <c r="K28" s="442">
        <v>278665610</v>
      </c>
      <c r="L28" s="442">
        <v>327368407</v>
      </c>
      <c r="M28" s="442">
        <v>354363764</v>
      </c>
      <c r="N28" s="430">
        <v>2</v>
      </c>
      <c r="O28" s="456" t="s">
        <v>443</v>
      </c>
      <c r="P28" s="437">
        <f t="shared" ref="P28:S28" si="35">+P29+P32+P36</f>
        <v>1585481916.1599998</v>
      </c>
      <c r="Q28" s="437">
        <f t="shared" si="35"/>
        <v>1052722873</v>
      </c>
      <c r="R28" s="437">
        <f t="shared" si="35"/>
        <v>1084493727</v>
      </c>
      <c r="S28" s="438">
        <f t="shared" si="35"/>
        <v>2295085816.77</v>
      </c>
      <c r="T28" s="438">
        <f t="shared" ref="T28:U28" si="36">+T29+T32+T36</f>
        <v>2571781905.9200001</v>
      </c>
      <c r="U28" s="438">
        <f t="shared" si="36"/>
        <v>3108475981</v>
      </c>
      <c r="V28" s="439">
        <f t="shared" ref="V28:AA28" si="37">+V29+V32+V36</f>
        <v>3294984539.8600001</v>
      </c>
      <c r="W28" s="439">
        <f t="shared" si="37"/>
        <v>3459733766.8530002</v>
      </c>
      <c r="X28" s="439">
        <f t="shared" si="37"/>
        <v>3598123117.5271201</v>
      </c>
      <c r="Y28" s="439">
        <f t="shared" si="6"/>
        <v>13461317405.240122</v>
      </c>
      <c r="Z28" s="439">
        <f t="shared" si="37"/>
        <v>0</v>
      </c>
      <c r="AA28" s="439">
        <f t="shared" si="37"/>
        <v>13461317405.240122</v>
      </c>
    </row>
    <row r="29" spans="1:27" x14ac:dyDescent="0.2">
      <c r="A29" s="440" t="s">
        <v>444</v>
      </c>
      <c r="B29" s="441" t="s">
        <v>445</v>
      </c>
      <c r="C29" s="442">
        <f>10825297+112938268</f>
        <v>123763565</v>
      </c>
      <c r="D29" s="442">
        <f>83932101+48061037</f>
        <v>131993138</v>
      </c>
      <c r="E29" s="442">
        <f>70813668+74833515</f>
        <v>145647183</v>
      </c>
      <c r="F29" s="442">
        <f>76500000+78424469</f>
        <v>154924469</v>
      </c>
      <c r="G29" s="442">
        <v>154441759</v>
      </c>
      <c r="H29" s="442">
        <v>164819936</v>
      </c>
      <c r="I29" s="442">
        <v>169521745</v>
      </c>
      <c r="J29" s="442">
        <v>179880757</v>
      </c>
      <c r="K29" s="442">
        <v>197392393</v>
      </c>
      <c r="L29" s="442">
        <v>231782248</v>
      </c>
      <c r="M29" s="442">
        <v>252313424</v>
      </c>
      <c r="N29" s="430">
        <v>201</v>
      </c>
      <c r="O29" s="453" t="s">
        <v>446</v>
      </c>
      <c r="P29" s="434">
        <f t="shared" ref="P29:R30" si="38">+P30</f>
        <v>16488159</v>
      </c>
      <c r="Q29" s="434">
        <f t="shared" si="38"/>
        <v>4255392</v>
      </c>
      <c r="R29" s="434">
        <f t="shared" si="38"/>
        <v>4000000</v>
      </c>
      <c r="S29" s="454">
        <f t="shared" ref="S29:AA30" si="39">+S30</f>
        <v>0</v>
      </c>
      <c r="T29" s="454">
        <f t="shared" si="39"/>
        <v>15000000</v>
      </c>
      <c r="U29" s="455">
        <f t="shared" si="39"/>
        <v>20000000</v>
      </c>
      <c r="V29" s="455">
        <f t="shared" si="39"/>
        <v>21200000</v>
      </c>
      <c r="W29" s="455">
        <f t="shared" si="39"/>
        <v>22260000</v>
      </c>
      <c r="X29" s="455">
        <f t="shared" si="39"/>
        <v>23150400</v>
      </c>
      <c r="Y29" s="455">
        <f t="shared" si="6"/>
        <v>86610400</v>
      </c>
      <c r="Z29" s="455">
        <f t="shared" si="39"/>
        <v>0</v>
      </c>
      <c r="AA29" s="455">
        <f t="shared" si="39"/>
        <v>86610400</v>
      </c>
    </row>
    <row r="30" spans="1:27" x14ac:dyDescent="0.2">
      <c r="A30" s="440" t="s">
        <v>447</v>
      </c>
      <c r="B30" s="441" t="s">
        <v>448</v>
      </c>
      <c r="C30" s="442">
        <v>7507826</v>
      </c>
      <c r="D30" s="442">
        <f>3498252+4313339</f>
        <v>7811591</v>
      </c>
      <c r="E30" s="442">
        <f>4596166+4186375</f>
        <v>8782541</v>
      </c>
      <c r="F30" s="442">
        <v>8865600</v>
      </c>
      <c r="G30" s="442">
        <v>9079600</v>
      </c>
      <c r="H30" s="442">
        <v>9698400</v>
      </c>
      <c r="I30" s="442">
        <v>10032500</v>
      </c>
      <c r="J30" s="442">
        <v>10660600</v>
      </c>
      <c r="K30" s="442">
        <v>14307673</v>
      </c>
      <c r="L30" s="442">
        <v>51086700</v>
      </c>
      <c r="M30" s="442">
        <v>54993172</v>
      </c>
      <c r="N30" s="430">
        <v>20101</v>
      </c>
      <c r="O30" s="430" t="s">
        <v>449</v>
      </c>
      <c r="P30" s="437">
        <f t="shared" si="38"/>
        <v>16488159</v>
      </c>
      <c r="Q30" s="437">
        <f t="shared" si="38"/>
        <v>4255392</v>
      </c>
      <c r="R30" s="437">
        <f t="shared" si="38"/>
        <v>4000000</v>
      </c>
      <c r="S30" s="438">
        <f t="shared" si="39"/>
        <v>0</v>
      </c>
      <c r="T30" s="438">
        <f t="shared" si="39"/>
        <v>15000000</v>
      </c>
      <c r="U30" s="439">
        <f t="shared" si="39"/>
        <v>20000000</v>
      </c>
      <c r="V30" s="439">
        <f t="shared" si="39"/>
        <v>21200000</v>
      </c>
      <c r="W30" s="439">
        <f t="shared" si="39"/>
        <v>22260000</v>
      </c>
      <c r="X30" s="439">
        <f t="shared" si="39"/>
        <v>23150400</v>
      </c>
      <c r="Y30" s="439">
        <f t="shared" si="6"/>
        <v>86610400</v>
      </c>
      <c r="Z30" s="439">
        <f t="shared" si="39"/>
        <v>0</v>
      </c>
      <c r="AA30" s="439">
        <f t="shared" si="39"/>
        <v>86610400</v>
      </c>
    </row>
    <row r="31" spans="1:27" ht="12" x14ac:dyDescent="0.25">
      <c r="A31" s="440" t="s">
        <v>450</v>
      </c>
      <c r="B31" s="441" t="s">
        <v>451</v>
      </c>
      <c r="C31" s="442">
        <f t="shared" ref="C31:L31" si="40">+C32</f>
        <v>145292407</v>
      </c>
      <c r="D31" s="442">
        <f t="shared" si="40"/>
        <v>149792027</v>
      </c>
      <c r="E31" s="442">
        <f t="shared" si="40"/>
        <v>169072569</v>
      </c>
      <c r="F31" s="442">
        <f t="shared" si="40"/>
        <v>171226894</v>
      </c>
      <c r="G31" s="442">
        <f t="shared" si="40"/>
        <v>186713643</v>
      </c>
      <c r="H31" s="442">
        <f t="shared" si="40"/>
        <v>195142697</v>
      </c>
      <c r="I31" s="442">
        <f t="shared" si="40"/>
        <v>201877462</v>
      </c>
      <c r="J31" s="442">
        <f t="shared" si="40"/>
        <v>212567069</v>
      </c>
      <c r="K31" s="442">
        <f t="shared" si="40"/>
        <v>233125482</v>
      </c>
      <c r="L31" s="442">
        <f t="shared" si="40"/>
        <v>284007598</v>
      </c>
      <c r="M31" s="442">
        <f>+M32+M33+M34</f>
        <v>475306168</v>
      </c>
      <c r="N31" s="457">
        <v>201010030801</v>
      </c>
      <c r="O31" s="444" t="s">
        <v>452</v>
      </c>
      <c r="P31" s="445">
        <v>16488159</v>
      </c>
      <c r="Q31" s="445">
        <v>4255392</v>
      </c>
      <c r="R31" s="445">
        <v>4000000</v>
      </c>
      <c r="S31" s="446"/>
      <c r="T31" s="446">
        <v>15000000</v>
      </c>
      <c r="U31" s="447">
        <v>20000000</v>
      </c>
      <c r="V31" s="447">
        <f t="shared" ref="V31" si="41">+U31*1.06</f>
        <v>21200000</v>
      </c>
      <c r="W31" s="447">
        <f t="shared" ref="W31" si="42">+V31*1.05</f>
        <v>22260000</v>
      </c>
      <c r="X31" s="447">
        <f>+W31*1.04</f>
        <v>23150400</v>
      </c>
      <c r="Y31" s="447">
        <f t="shared" si="6"/>
        <v>86610400</v>
      </c>
      <c r="Z31" s="447"/>
      <c r="AA31" s="447">
        <f>+Y31-Z31</f>
        <v>86610400</v>
      </c>
    </row>
    <row r="32" spans="1:27" x14ac:dyDescent="0.2">
      <c r="A32" s="440" t="s">
        <v>453</v>
      </c>
      <c r="B32" s="441" t="s">
        <v>454</v>
      </c>
      <c r="C32" s="442">
        <f>44693437+100598970</f>
        <v>145292407</v>
      </c>
      <c r="D32" s="442">
        <f>81886315+67905712</f>
        <v>149792027</v>
      </c>
      <c r="E32" s="442">
        <f>113921473+55151096</f>
        <v>169072569</v>
      </c>
      <c r="F32" s="442">
        <f>90000000+81226894</f>
        <v>171226894</v>
      </c>
      <c r="G32" s="442">
        <v>186713643</v>
      </c>
      <c r="H32" s="442">
        <v>195142697</v>
      </c>
      <c r="I32" s="442">
        <v>201877462</v>
      </c>
      <c r="J32" s="442">
        <v>212567069</v>
      </c>
      <c r="K32" s="442">
        <v>233125482</v>
      </c>
      <c r="L32" s="442">
        <v>284007598</v>
      </c>
      <c r="M32" s="442">
        <v>302296668</v>
      </c>
      <c r="N32" s="430">
        <v>202</v>
      </c>
      <c r="O32" s="456" t="s">
        <v>455</v>
      </c>
      <c r="P32" s="437">
        <f t="shared" ref="P32:T32" si="43">+P33</f>
        <v>25204791</v>
      </c>
      <c r="Q32" s="437">
        <f t="shared" si="43"/>
        <v>28974809</v>
      </c>
      <c r="R32" s="437">
        <f t="shared" si="43"/>
        <v>31887200</v>
      </c>
      <c r="S32" s="438">
        <f t="shared" si="43"/>
        <v>17871124.77</v>
      </c>
      <c r="T32" s="438">
        <f t="shared" si="43"/>
        <v>21191623.920000002</v>
      </c>
      <c r="U32" s="439">
        <f>+U33</f>
        <v>45000000</v>
      </c>
      <c r="V32" s="439">
        <f t="shared" ref="V32:X32" si="44">+V33</f>
        <v>47700000</v>
      </c>
      <c r="W32" s="439">
        <f t="shared" si="44"/>
        <v>50085000</v>
      </c>
      <c r="X32" s="439">
        <f t="shared" si="44"/>
        <v>52088400</v>
      </c>
      <c r="Y32" s="439">
        <f t="shared" si="6"/>
        <v>194873400</v>
      </c>
      <c r="Z32" s="439">
        <f t="shared" ref="Z32" si="45">+Z33</f>
        <v>0</v>
      </c>
      <c r="AA32" s="439">
        <f t="shared" ref="AA32" si="46">+AA33</f>
        <v>194873400</v>
      </c>
    </row>
    <row r="33" spans="1:27" x14ac:dyDescent="0.2">
      <c r="A33" s="440" t="s">
        <v>456</v>
      </c>
      <c r="B33" s="441" t="s">
        <v>457</v>
      </c>
      <c r="C33" s="442">
        <v>44369695</v>
      </c>
      <c r="D33" s="442">
        <v>43908066</v>
      </c>
      <c r="E33" s="442">
        <v>59352994</v>
      </c>
      <c r="F33" s="442">
        <f>20000000+42193400</f>
        <v>62193400</v>
      </c>
      <c r="G33" s="442">
        <v>73405839</v>
      </c>
      <c r="H33" s="442">
        <v>68700500</v>
      </c>
      <c r="I33" s="442">
        <v>71367400</v>
      </c>
      <c r="J33" s="442">
        <v>75330800</v>
      </c>
      <c r="K33" s="442">
        <v>82564500</v>
      </c>
      <c r="L33" s="442">
        <v>100664432</v>
      </c>
      <c r="M33" s="442">
        <v>103801400</v>
      </c>
      <c r="N33" s="448">
        <v>20201</v>
      </c>
      <c r="O33" s="453" t="s">
        <v>458</v>
      </c>
      <c r="P33" s="445">
        <f t="shared" ref="P33:S33" si="47">+P34+P35</f>
        <v>25204791</v>
      </c>
      <c r="Q33" s="445">
        <f t="shared" si="47"/>
        <v>28974809</v>
      </c>
      <c r="R33" s="445">
        <f t="shared" si="47"/>
        <v>31887200</v>
      </c>
      <c r="S33" s="446">
        <f t="shared" si="47"/>
        <v>17871124.77</v>
      </c>
      <c r="T33" s="446">
        <f t="shared" ref="T33" si="48">+T34+T35</f>
        <v>21191623.920000002</v>
      </c>
      <c r="U33" s="458">
        <f>+U34+U35</f>
        <v>45000000</v>
      </c>
      <c r="V33" s="458">
        <f t="shared" ref="V33:X33" si="49">+V34+V35</f>
        <v>47700000</v>
      </c>
      <c r="W33" s="458">
        <f t="shared" si="49"/>
        <v>50085000</v>
      </c>
      <c r="X33" s="458">
        <f t="shared" si="49"/>
        <v>52088400</v>
      </c>
      <c r="Y33" s="458">
        <f t="shared" si="6"/>
        <v>194873400</v>
      </c>
      <c r="Z33" s="458">
        <f t="shared" ref="Z33" si="50">+Z34+Z35</f>
        <v>0</v>
      </c>
      <c r="AA33" s="458">
        <f t="shared" ref="AA33" si="51">+AA34+AA35</f>
        <v>194873400</v>
      </c>
    </row>
    <row r="34" spans="1:27" ht="12" x14ac:dyDescent="0.25">
      <c r="A34" s="440" t="s">
        <v>459</v>
      </c>
      <c r="B34" s="441" t="s">
        <v>424</v>
      </c>
      <c r="C34" s="442">
        <v>30379207</v>
      </c>
      <c r="D34" s="442">
        <v>28473884</v>
      </c>
      <c r="E34" s="442">
        <v>39573832</v>
      </c>
      <c r="F34" s="442">
        <f>10000000+31465400</f>
        <v>41465400</v>
      </c>
      <c r="G34" s="442">
        <v>43155053</v>
      </c>
      <c r="H34" s="442">
        <v>46000500</v>
      </c>
      <c r="I34" s="442">
        <v>47579400</v>
      </c>
      <c r="J34" s="442">
        <v>50222000</v>
      </c>
      <c r="K34" s="442">
        <v>55050500</v>
      </c>
      <c r="L34" s="442">
        <v>67125900</v>
      </c>
      <c r="M34" s="442">
        <v>69208100</v>
      </c>
      <c r="N34" s="459">
        <v>20201002</v>
      </c>
      <c r="O34" s="448" t="s">
        <v>460</v>
      </c>
      <c r="P34" s="449">
        <v>18228620</v>
      </c>
      <c r="Q34" s="449">
        <v>13902530</v>
      </c>
      <c r="R34" s="449">
        <v>15828583</v>
      </c>
      <c r="S34" s="450">
        <v>7871124.7699999996</v>
      </c>
      <c r="T34" s="450">
        <v>7809300</v>
      </c>
      <c r="U34" s="452">
        <v>20000000</v>
      </c>
      <c r="V34" s="452">
        <f t="shared" ref="V34:V35" si="52">+U34*1.06</f>
        <v>21200000</v>
      </c>
      <c r="W34" s="452">
        <f t="shared" ref="W34:W40" si="53">+V34*1.05</f>
        <v>22260000</v>
      </c>
      <c r="X34" s="452">
        <f t="shared" ref="X34:X35" si="54">+W34*1.04</f>
        <v>23150400</v>
      </c>
      <c r="Y34" s="452">
        <f t="shared" si="6"/>
        <v>86610400</v>
      </c>
      <c r="Z34" s="452"/>
      <c r="AA34" s="452">
        <f t="shared" ref="AA34:AA35" si="55">+Y34-Z34</f>
        <v>86610400</v>
      </c>
    </row>
    <row r="35" spans="1:27" ht="12" x14ac:dyDescent="0.25">
      <c r="A35" s="427">
        <v>1.2</v>
      </c>
      <c r="B35" s="427" t="s">
        <v>461</v>
      </c>
      <c r="C35" s="460">
        <f>+C36+C38</f>
        <v>207357757.42000002</v>
      </c>
      <c r="D35" s="460">
        <f>+D36+D38</f>
        <v>253914615.74000001</v>
      </c>
      <c r="E35" s="460">
        <f>+E36+E38</f>
        <v>261463356.88</v>
      </c>
      <c r="F35" s="460">
        <f>+F36+F38</f>
        <v>266799159.39000002</v>
      </c>
      <c r="G35" s="460">
        <f t="shared" ref="G35:L35" si="56">+G36+G38</f>
        <v>365336096.57999998</v>
      </c>
      <c r="H35" s="460">
        <f t="shared" si="56"/>
        <v>435601673.49000001</v>
      </c>
      <c r="I35" s="460">
        <f t="shared" si="56"/>
        <v>434357366.08000004</v>
      </c>
      <c r="J35" s="460">
        <f t="shared" si="56"/>
        <v>393613796.62</v>
      </c>
      <c r="K35" s="460">
        <f t="shared" si="56"/>
        <v>501269107</v>
      </c>
      <c r="L35" s="460">
        <f t="shared" si="56"/>
        <v>626837324.08000004</v>
      </c>
      <c r="M35" s="460">
        <f>+M36+M38</f>
        <v>716541655</v>
      </c>
      <c r="N35" s="459">
        <v>2020100302</v>
      </c>
      <c r="O35" s="444" t="s">
        <v>462</v>
      </c>
      <c r="P35" s="445">
        <v>6976171</v>
      </c>
      <c r="Q35" s="445">
        <v>15072279</v>
      </c>
      <c r="R35" s="445">
        <v>16058617</v>
      </c>
      <c r="S35" s="446">
        <v>10000000</v>
      </c>
      <c r="T35" s="446">
        <v>13382323.92</v>
      </c>
      <c r="U35" s="447">
        <v>25000000</v>
      </c>
      <c r="V35" s="447">
        <f t="shared" si="52"/>
        <v>26500000</v>
      </c>
      <c r="W35" s="447">
        <f t="shared" si="53"/>
        <v>27825000</v>
      </c>
      <c r="X35" s="447">
        <f t="shared" si="54"/>
        <v>28938000</v>
      </c>
      <c r="Y35" s="447">
        <f t="shared" si="6"/>
        <v>108263000</v>
      </c>
      <c r="Z35" s="447"/>
      <c r="AA35" s="447">
        <f t="shared" si="55"/>
        <v>108263000</v>
      </c>
    </row>
    <row r="36" spans="1:27" x14ac:dyDescent="0.2">
      <c r="A36" s="427" t="s">
        <v>463</v>
      </c>
      <c r="B36" s="427" t="s">
        <v>464</v>
      </c>
      <c r="C36" s="460">
        <f t="shared" ref="C36:M36" si="57">+C37</f>
        <v>10559995</v>
      </c>
      <c r="D36" s="460">
        <f t="shared" si="57"/>
        <v>20759481</v>
      </c>
      <c r="E36" s="460">
        <f t="shared" si="57"/>
        <v>20024315</v>
      </c>
      <c r="F36" s="460">
        <f t="shared" si="57"/>
        <v>14090198</v>
      </c>
      <c r="G36" s="460">
        <f t="shared" si="57"/>
        <v>20102141</v>
      </c>
      <c r="H36" s="460">
        <f t="shared" si="57"/>
        <v>5474193</v>
      </c>
      <c r="I36" s="460">
        <f t="shared" si="57"/>
        <v>48291674</v>
      </c>
      <c r="J36" s="460">
        <f t="shared" si="57"/>
        <v>35395461</v>
      </c>
      <c r="K36" s="460">
        <f t="shared" si="57"/>
        <v>23941689</v>
      </c>
      <c r="L36" s="460">
        <f t="shared" si="57"/>
        <v>25286552</v>
      </c>
      <c r="M36" s="460">
        <f t="shared" si="57"/>
        <v>33965756</v>
      </c>
      <c r="N36" s="430">
        <v>20202</v>
      </c>
      <c r="O36" s="430" t="s">
        <v>465</v>
      </c>
      <c r="P36" s="437">
        <f t="shared" ref="P36:S36" si="58">SUM(P37:P40)</f>
        <v>1543788966.1599998</v>
      </c>
      <c r="Q36" s="437">
        <f t="shared" si="58"/>
        <v>1019492672</v>
      </c>
      <c r="R36" s="437">
        <f t="shared" si="58"/>
        <v>1048606527</v>
      </c>
      <c r="S36" s="438">
        <f t="shared" si="58"/>
        <v>2277214692</v>
      </c>
      <c r="T36" s="438">
        <f t="shared" ref="T36:AA36" si="59">SUM(T37:T40)</f>
        <v>2535590282</v>
      </c>
      <c r="U36" s="438">
        <f t="shared" si="59"/>
        <v>3043475981</v>
      </c>
      <c r="V36" s="439">
        <f t="shared" si="59"/>
        <v>3226084539.8600001</v>
      </c>
      <c r="W36" s="439">
        <f t="shared" si="59"/>
        <v>3387388766.8530002</v>
      </c>
      <c r="X36" s="439">
        <f t="shared" si="59"/>
        <v>3522884317.5271201</v>
      </c>
      <c r="Y36" s="439">
        <f t="shared" si="6"/>
        <v>13179833605.240122</v>
      </c>
      <c r="Z36" s="439">
        <f t="shared" si="59"/>
        <v>0</v>
      </c>
      <c r="AA36" s="439">
        <f t="shared" si="59"/>
        <v>13179833605.240122</v>
      </c>
    </row>
    <row r="37" spans="1:27" ht="12" x14ac:dyDescent="0.25">
      <c r="A37" s="427" t="s">
        <v>466</v>
      </c>
      <c r="B37" s="427" t="s">
        <v>467</v>
      </c>
      <c r="C37" s="460">
        <v>10559995</v>
      </c>
      <c r="D37" s="460">
        <v>20759481</v>
      </c>
      <c r="E37" s="460">
        <v>20024315</v>
      </c>
      <c r="F37" s="460">
        <v>14090198</v>
      </c>
      <c r="G37" s="460">
        <v>20102141</v>
      </c>
      <c r="H37" s="460">
        <v>5474193</v>
      </c>
      <c r="I37" s="460">
        <v>48291674</v>
      </c>
      <c r="J37" s="460">
        <v>35395461</v>
      </c>
      <c r="K37" s="460">
        <v>23941689</v>
      </c>
      <c r="L37" s="460">
        <v>25286552</v>
      </c>
      <c r="M37" s="460">
        <v>33965756</v>
      </c>
      <c r="N37" s="459">
        <v>2020200609</v>
      </c>
      <c r="O37" s="433" t="s">
        <v>468</v>
      </c>
      <c r="P37" s="434">
        <v>173756582</v>
      </c>
      <c r="Q37" s="434">
        <v>148811131</v>
      </c>
      <c r="R37" s="434">
        <f>147871557+160946594</f>
        <v>308818151</v>
      </c>
      <c r="S37" s="446">
        <v>317017676</v>
      </c>
      <c r="T37" s="446">
        <v>410288048</v>
      </c>
      <c r="U37" s="447">
        <v>559639689</v>
      </c>
      <c r="V37" s="447">
        <f t="shared" ref="V37:V40" si="60">+U37*1.06</f>
        <v>593218070.34000003</v>
      </c>
      <c r="W37" s="447">
        <f t="shared" si="53"/>
        <v>622878973.85700011</v>
      </c>
      <c r="X37" s="447">
        <f t="shared" ref="X37:X38" si="61">+W37*1.04</f>
        <v>647794132.81128013</v>
      </c>
      <c r="Y37" s="447">
        <f t="shared" si="6"/>
        <v>2423530866.0082803</v>
      </c>
      <c r="Z37" s="447"/>
      <c r="AA37" s="447">
        <f t="shared" ref="AA37:AA40" si="62">+Y37-Z37</f>
        <v>2423530866.0082803</v>
      </c>
    </row>
    <row r="38" spans="1:27" ht="12" x14ac:dyDescent="0.25">
      <c r="A38" s="427" t="s">
        <v>469</v>
      </c>
      <c r="B38" s="441" t="s">
        <v>470</v>
      </c>
      <c r="C38" s="461">
        <f t="shared" ref="C38:M38" si="63">SUM(C39:C44)</f>
        <v>196797762.42000002</v>
      </c>
      <c r="D38" s="461">
        <f t="shared" si="63"/>
        <v>233155134.74000001</v>
      </c>
      <c r="E38" s="461">
        <f t="shared" si="63"/>
        <v>241439041.88</v>
      </c>
      <c r="F38" s="461">
        <f t="shared" si="63"/>
        <v>252708961.39000002</v>
      </c>
      <c r="G38" s="461">
        <f t="shared" si="63"/>
        <v>345233955.57999998</v>
      </c>
      <c r="H38" s="461">
        <f t="shared" si="63"/>
        <v>430127480.49000001</v>
      </c>
      <c r="I38" s="461">
        <f t="shared" si="63"/>
        <v>386065692.08000004</v>
      </c>
      <c r="J38" s="461">
        <f t="shared" si="63"/>
        <v>358218335.62</v>
      </c>
      <c r="K38" s="461">
        <f t="shared" si="63"/>
        <v>477327418</v>
      </c>
      <c r="L38" s="461">
        <f t="shared" si="63"/>
        <v>601550772.08000004</v>
      </c>
      <c r="M38" s="461">
        <f t="shared" si="63"/>
        <v>682575899</v>
      </c>
      <c r="N38" s="459">
        <v>2020200701</v>
      </c>
      <c r="O38" s="430" t="s">
        <v>471</v>
      </c>
      <c r="P38" s="437">
        <v>254087195.16</v>
      </c>
      <c r="Q38" s="437">
        <v>80158144</v>
      </c>
      <c r="R38" s="437">
        <v>204383051</v>
      </c>
      <c r="S38" s="450">
        <v>71644311</v>
      </c>
      <c r="T38" s="450">
        <v>124043796</v>
      </c>
      <c r="U38" s="452">
        <v>150137208</v>
      </c>
      <c r="V38" s="452">
        <f t="shared" si="60"/>
        <v>159145440.48000002</v>
      </c>
      <c r="W38" s="452">
        <f t="shared" si="53"/>
        <v>167102712.50400004</v>
      </c>
      <c r="X38" s="452">
        <f t="shared" si="61"/>
        <v>173786821.00416005</v>
      </c>
      <c r="Y38" s="452">
        <f t="shared" si="6"/>
        <v>650172181.98816013</v>
      </c>
      <c r="Z38" s="452"/>
      <c r="AA38" s="452">
        <f t="shared" si="62"/>
        <v>650172181.98816013</v>
      </c>
    </row>
    <row r="39" spans="1:27" ht="12" x14ac:dyDescent="0.25">
      <c r="A39" s="427" t="s">
        <v>472</v>
      </c>
      <c r="B39" s="441" t="s">
        <v>473</v>
      </c>
      <c r="C39" s="461">
        <v>5000000</v>
      </c>
      <c r="D39" s="461">
        <v>0</v>
      </c>
      <c r="E39" s="461">
        <v>0</v>
      </c>
      <c r="F39" s="461">
        <v>0</v>
      </c>
      <c r="G39" s="461"/>
      <c r="H39" s="461">
        <v>5000000</v>
      </c>
      <c r="I39" s="461"/>
      <c r="J39" s="461">
        <v>0</v>
      </c>
      <c r="K39" s="461">
        <v>0</v>
      </c>
      <c r="L39" s="461">
        <v>1939700</v>
      </c>
      <c r="M39" s="461">
        <v>0</v>
      </c>
      <c r="N39" s="459">
        <v>2020200802</v>
      </c>
      <c r="O39" s="444" t="s">
        <v>474</v>
      </c>
      <c r="P39" s="445">
        <v>1017531088</v>
      </c>
      <c r="Q39" s="445">
        <v>749742887</v>
      </c>
      <c r="R39" s="445">
        <f>193500000+233130129+50000000</f>
        <v>476630129</v>
      </c>
      <c r="S39" s="446">
        <v>1789409258</v>
      </c>
      <c r="T39" s="446">
        <v>1821332368</v>
      </c>
      <c r="U39" s="447">
        <v>2125856575</v>
      </c>
      <c r="V39" s="447">
        <f t="shared" si="60"/>
        <v>2253407969.5</v>
      </c>
      <c r="W39" s="447">
        <f t="shared" si="53"/>
        <v>2366078367.9749999</v>
      </c>
      <c r="X39" s="447">
        <f t="shared" ref="X39:X40" si="64">+W39*1.04</f>
        <v>2460721502.6939998</v>
      </c>
      <c r="Y39" s="447">
        <f t="shared" si="6"/>
        <v>9206064415.1690006</v>
      </c>
      <c r="Z39" s="447"/>
      <c r="AA39" s="447">
        <f t="shared" si="62"/>
        <v>9206064415.1690006</v>
      </c>
    </row>
    <row r="40" spans="1:27" s="469" customFormat="1" ht="12" x14ac:dyDescent="0.25">
      <c r="A40" s="462" t="s">
        <v>475</v>
      </c>
      <c r="B40" s="463" t="s">
        <v>476</v>
      </c>
      <c r="C40" s="464">
        <v>8771800</v>
      </c>
      <c r="D40" s="464">
        <v>21938500</v>
      </c>
      <c r="E40" s="464">
        <v>18257900</v>
      </c>
      <c r="F40" s="464">
        <v>34986024</v>
      </c>
      <c r="G40" s="464">
        <v>18585000</v>
      </c>
      <c r="H40" s="464">
        <v>5011800</v>
      </c>
      <c r="I40" s="464">
        <v>5336100</v>
      </c>
      <c r="J40" s="464">
        <v>11658300</v>
      </c>
      <c r="K40" s="464">
        <v>7495510</v>
      </c>
      <c r="L40" s="464">
        <v>2948600</v>
      </c>
      <c r="M40" s="464">
        <v>13885000</v>
      </c>
      <c r="N40" s="465">
        <v>20202010</v>
      </c>
      <c r="O40" s="466" t="s">
        <v>477</v>
      </c>
      <c r="P40" s="467">
        <v>98414101</v>
      </c>
      <c r="Q40" s="467">
        <v>40780510</v>
      </c>
      <c r="R40" s="467">
        <v>58775196</v>
      </c>
      <c r="S40" s="468">
        <v>99143447</v>
      </c>
      <c r="T40" s="468">
        <v>179926070</v>
      </c>
      <c r="U40" s="451">
        <v>207842509</v>
      </c>
      <c r="V40" s="451">
        <f t="shared" si="60"/>
        <v>220313059.54000002</v>
      </c>
      <c r="W40" s="451">
        <f t="shared" si="53"/>
        <v>231328712.51700002</v>
      </c>
      <c r="X40" s="451">
        <f t="shared" si="64"/>
        <v>240581861.01768002</v>
      </c>
      <c r="Y40" s="451">
        <f t="shared" si="6"/>
        <v>900066142.07468009</v>
      </c>
      <c r="Z40" s="451"/>
      <c r="AA40" s="452">
        <f t="shared" si="62"/>
        <v>900066142.07468009</v>
      </c>
    </row>
    <row r="41" spans="1:27" s="469" customFormat="1" x14ac:dyDescent="0.2">
      <c r="A41" s="462" t="s">
        <v>478</v>
      </c>
      <c r="B41" s="463" t="s">
        <v>479</v>
      </c>
      <c r="C41" s="464">
        <v>109543982.42</v>
      </c>
      <c r="D41" s="464">
        <v>99557282.739999995</v>
      </c>
      <c r="E41" s="464">
        <v>99216049.760000005</v>
      </c>
      <c r="F41" s="464">
        <v>113093673.54000001</v>
      </c>
      <c r="G41" s="464">
        <v>127317653.58</v>
      </c>
      <c r="H41" s="464">
        <v>137721864.22</v>
      </c>
      <c r="I41" s="464">
        <v>149882826.08000001</v>
      </c>
      <c r="J41" s="464">
        <v>172075768.62</v>
      </c>
      <c r="K41" s="464">
        <v>200000000</v>
      </c>
      <c r="L41" s="464">
        <v>247340651</v>
      </c>
      <c r="M41" s="464">
        <v>270355148</v>
      </c>
      <c r="N41" s="470">
        <v>3</v>
      </c>
      <c r="O41" s="433" t="s">
        <v>480</v>
      </c>
      <c r="P41" s="434">
        <f t="shared" ref="P41:S41" si="65">+P42+P46</f>
        <v>3646760600</v>
      </c>
      <c r="Q41" s="434">
        <f t="shared" si="65"/>
        <v>4259360786</v>
      </c>
      <c r="R41" s="434">
        <f t="shared" si="65"/>
        <v>3849609739</v>
      </c>
      <c r="S41" s="454">
        <f t="shared" si="65"/>
        <v>3946776720.6100001</v>
      </c>
      <c r="T41" s="454">
        <f t="shared" ref="T41" si="66">+T42+T46</f>
        <v>5428808635.9200001</v>
      </c>
      <c r="U41" s="455">
        <f>+U42+U46</f>
        <v>5689497520</v>
      </c>
      <c r="V41" s="455">
        <f t="shared" ref="V41:X41" si="67">+V42+V46</f>
        <v>5818294876.5540819</v>
      </c>
      <c r="W41" s="455">
        <f t="shared" si="67"/>
        <v>6109956200.1034069</v>
      </c>
      <c r="X41" s="455">
        <f t="shared" si="67"/>
        <v>6415499371.4246302</v>
      </c>
      <c r="Y41" s="455">
        <f t="shared" si="6"/>
        <v>24033247968.082115</v>
      </c>
      <c r="Z41" s="455">
        <f t="shared" ref="Z41" si="68">+Z42+Z46</f>
        <v>0</v>
      </c>
      <c r="AA41" s="455">
        <f t="shared" ref="AA41" si="69">+AA42+AA46</f>
        <v>24033247968.082115</v>
      </c>
    </row>
    <row r="42" spans="1:27" s="469" customFormat="1" x14ac:dyDescent="0.2">
      <c r="A42" s="462" t="s">
        <v>481</v>
      </c>
      <c r="B42" s="463" t="s">
        <v>482</v>
      </c>
      <c r="C42" s="464">
        <v>29802302</v>
      </c>
      <c r="D42" s="464">
        <v>32164886</v>
      </c>
      <c r="E42" s="464">
        <v>33794424.119999997</v>
      </c>
      <c r="F42" s="464">
        <v>25908667</v>
      </c>
      <c r="G42" s="464">
        <v>59534923</v>
      </c>
      <c r="H42" s="464">
        <v>70697500</v>
      </c>
      <c r="I42" s="464">
        <v>81039859</v>
      </c>
      <c r="J42" s="464">
        <v>87472975</v>
      </c>
      <c r="K42" s="464">
        <v>96385733</v>
      </c>
      <c r="L42" s="464">
        <v>90595553.230000004</v>
      </c>
      <c r="M42" s="464">
        <v>129920881</v>
      </c>
      <c r="N42" s="470">
        <v>303</v>
      </c>
      <c r="O42" s="470" t="s">
        <v>483</v>
      </c>
      <c r="P42" s="471">
        <f t="shared" ref="P42:R43" si="70">+P43</f>
        <v>3600468934</v>
      </c>
      <c r="Q42" s="471">
        <f t="shared" si="70"/>
        <v>4211597045</v>
      </c>
      <c r="R42" s="471">
        <f t="shared" si="70"/>
        <v>3800030976</v>
      </c>
      <c r="S42" s="472">
        <f t="shared" ref="S42:AA42" si="71">+S43</f>
        <v>3893560789.6100001</v>
      </c>
      <c r="T42" s="472">
        <f t="shared" si="71"/>
        <v>5375600468.9200001</v>
      </c>
      <c r="U42" s="473">
        <f t="shared" si="71"/>
        <v>5614497520</v>
      </c>
      <c r="V42" s="473">
        <f t="shared" si="71"/>
        <v>5738794876.5540819</v>
      </c>
      <c r="W42" s="473">
        <f t="shared" si="71"/>
        <v>6026481200.1034069</v>
      </c>
      <c r="X42" s="473">
        <f t="shared" si="71"/>
        <v>6328685371.4246302</v>
      </c>
      <c r="Y42" s="473">
        <f t="shared" si="6"/>
        <v>23708458968.082115</v>
      </c>
      <c r="Z42" s="473">
        <f t="shared" si="71"/>
        <v>0</v>
      </c>
      <c r="AA42" s="473">
        <f t="shared" si="71"/>
        <v>23708458968.082115</v>
      </c>
    </row>
    <row r="43" spans="1:27" s="469" customFormat="1" x14ac:dyDescent="0.2">
      <c r="A43" s="462" t="s">
        <v>484</v>
      </c>
      <c r="B43" s="463" t="s">
        <v>485</v>
      </c>
      <c r="C43" s="464">
        <v>23679678</v>
      </c>
      <c r="D43" s="464">
        <v>29494466</v>
      </c>
      <c r="E43" s="464">
        <v>30170668</v>
      </c>
      <c r="F43" s="464">
        <v>55577322</v>
      </c>
      <c r="G43" s="464">
        <v>31416379</v>
      </c>
      <c r="H43" s="464">
        <v>48138226</v>
      </c>
      <c r="I43" s="464">
        <v>80253709</v>
      </c>
      <c r="J43" s="464">
        <v>87011292</v>
      </c>
      <c r="K43" s="464">
        <v>120504428</v>
      </c>
      <c r="L43" s="464">
        <v>135314445.84999999</v>
      </c>
      <c r="M43" s="464">
        <v>88492695</v>
      </c>
      <c r="N43" s="474">
        <v>30301</v>
      </c>
      <c r="O43" s="444" t="s">
        <v>486</v>
      </c>
      <c r="P43" s="445">
        <f t="shared" si="70"/>
        <v>3600468934</v>
      </c>
      <c r="Q43" s="445">
        <f t="shared" si="70"/>
        <v>4211597045</v>
      </c>
      <c r="R43" s="445">
        <f t="shared" si="70"/>
        <v>3800030976</v>
      </c>
      <c r="S43" s="446">
        <f>+S44+S45</f>
        <v>3893560789.6100001</v>
      </c>
      <c r="T43" s="446">
        <f>+T44+T45</f>
        <v>5375600468.9200001</v>
      </c>
      <c r="U43" s="458">
        <f>+U44+U45</f>
        <v>5614497520</v>
      </c>
      <c r="V43" s="458">
        <f t="shared" ref="V43:X43" si="72">+V44+V45</f>
        <v>5738794876.5540819</v>
      </c>
      <c r="W43" s="458">
        <f t="shared" si="72"/>
        <v>6026481200.1034069</v>
      </c>
      <c r="X43" s="458">
        <f t="shared" si="72"/>
        <v>6328685371.4246302</v>
      </c>
      <c r="Y43" s="458">
        <f t="shared" si="6"/>
        <v>23708458968.082115</v>
      </c>
      <c r="Z43" s="458">
        <f t="shared" ref="Z43" si="73">+Z44+Z45</f>
        <v>0</v>
      </c>
      <c r="AA43" s="458">
        <f t="shared" ref="AA43" si="74">+AA44+AA45</f>
        <v>23708458968.082115</v>
      </c>
    </row>
    <row r="44" spans="1:27" s="469" customFormat="1" ht="12" x14ac:dyDescent="0.25">
      <c r="A44" s="462" t="s">
        <v>487</v>
      </c>
      <c r="B44" s="463" t="s">
        <v>488</v>
      </c>
      <c r="C44" s="464">
        <v>20000000</v>
      </c>
      <c r="D44" s="464">
        <v>50000000</v>
      </c>
      <c r="E44" s="464">
        <v>60000000</v>
      </c>
      <c r="F44" s="464">
        <v>23143274.850000001</v>
      </c>
      <c r="G44" s="464">
        <v>108380000</v>
      </c>
      <c r="H44" s="464">
        <v>163558090.27000001</v>
      </c>
      <c r="I44" s="464">
        <v>69553198</v>
      </c>
      <c r="J44" s="464"/>
      <c r="K44" s="464">
        <v>52941747</v>
      </c>
      <c r="L44" s="464">
        <v>123411822</v>
      </c>
      <c r="M44" s="464">
        <v>179922175</v>
      </c>
      <c r="N44" s="465">
        <v>30301021</v>
      </c>
      <c r="O44" s="474" t="s">
        <v>489</v>
      </c>
      <c r="P44" s="467">
        <v>3600468934</v>
      </c>
      <c r="Q44" s="467">
        <v>4211597045</v>
      </c>
      <c r="R44" s="467">
        <v>3800030976</v>
      </c>
      <c r="S44" s="468">
        <v>3893560789.6100001</v>
      </c>
      <c r="T44" s="468">
        <v>5375600468.9200001</v>
      </c>
      <c r="U44" s="451">
        <v>5614497520</v>
      </c>
      <c r="V44" s="451">
        <f>+'DESTINACIONES 2025'!D61</f>
        <v>5738794876.5540819</v>
      </c>
      <c r="W44" s="451">
        <f>+'DESTINACIONES 2026'!D61</f>
        <v>6026481200.1034069</v>
      </c>
      <c r="X44" s="451">
        <f>+'DESTINACIONES 2027'!D61</f>
        <v>6328685371.4246302</v>
      </c>
      <c r="Y44" s="451">
        <f t="shared" si="6"/>
        <v>23708458968.082115</v>
      </c>
      <c r="Z44" s="451"/>
      <c r="AA44" s="452">
        <f t="shared" ref="AA44:AA45" si="75">+Y44-Z44</f>
        <v>23708458968.082115</v>
      </c>
    </row>
    <row r="45" spans="1:27" s="469" customFormat="1" ht="12" x14ac:dyDescent="0.25">
      <c r="A45" s="462"/>
      <c r="B45" s="463"/>
      <c r="C45" s="464"/>
      <c r="D45" s="464"/>
      <c r="E45" s="464"/>
      <c r="F45" s="464"/>
      <c r="G45" s="464"/>
      <c r="H45" s="464"/>
      <c r="I45" s="464"/>
      <c r="J45" s="464"/>
      <c r="K45" s="464"/>
      <c r="L45" s="464"/>
      <c r="M45" s="464"/>
      <c r="N45" s="465"/>
      <c r="O45" s="444" t="s">
        <v>490</v>
      </c>
      <c r="P45" s="445"/>
      <c r="Q45" s="445"/>
      <c r="R45" s="445"/>
      <c r="S45" s="446"/>
      <c r="T45" s="446">
        <v>0</v>
      </c>
      <c r="U45" s="447"/>
      <c r="V45" s="447">
        <f t="shared" ref="V45" si="76">+U45*1.06</f>
        <v>0</v>
      </c>
      <c r="W45" s="447"/>
      <c r="X45" s="447"/>
      <c r="Y45" s="447">
        <f t="shared" si="6"/>
        <v>0</v>
      </c>
      <c r="Z45" s="447"/>
      <c r="AA45" s="447">
        <f t="shared" si="75"/>
        <v>0</v>
      </c>
    </row>
    <row r="46" spans="1:27" s="469" customFormat="1" ht="10.5" customHeight="1" x14ac:dyDescent="0.2">
      <c r="A46" s="462">
        <v>1.3</v>
      </c>
      <c r="B46" s="462" t="s">
        <v>491</v>
      </c>
      <c r="C46" s="475">
        <f>+C47+C50</f>
        <v>1434767263</v>
      </c>
      <c r="D46" s="475">
        <f>+D47+D50</f>
        <v>1690779830</v>
      </c>
      <c r="E46" s="475">
        <f>+E47+E50</f>
        <v>2770102261</v>
      </c>
      <c r="F46" s="475">
        <f>+F47+F50</f>
        <v>2201145697</v>
      </c>
      <c r="G46" s="475">
        <f t="shared" ref="G46:L46" si="77">+G47+G50</f>
        <v>1891621108</v>
      </c>
      <c r="H46" s="475">
        <f t="shared" si="77"/>
        <v>3496755684</v>
      </c>
      <c r="I46" s="475">
        <f t="shared" si="77"/>
        <v>2838253399</v>
      </c>
      <c r="J46" s="475">
        <f t="shared" si="77"/>
        <v>4016347870</v>
      </c>
      <c r="K46" s="475">
        <f t="shared" si="77"/>
        <v>3585077965</v>
      </c>
      <c r="L46" s="475">
        <f t="shared" si="77"/>
        <v>3029279632</v>
      </c>
      <c r="M46" s="475">
        <f>+M47+M50</f>
        <v>3769222666</v>
      </c>
      <c r="N46" s="470">
        <v>30304</v>
      </c>
      <c r="O46" s="476" t="s">
        <v>544</v>
      </c>
      <c r="P46" s="471">
        <f t="shared" ref="P46:T46" si="78">+P47</f>
        <v>46291666</v>
      </c>
      <c r="Q46" s="471">
        <f t="shared" si="78"/>
        <v>47763741</v>
      </c>
      <c r="R46" s="471">
        <f t="shared" si="78"/>
        <v>49578763</v>
      </c>
      <c r="S46" s="472">
        <f t="shared" si="78"/>
        <v>53215931</v>
      </c>
      <c r="T46" s="472">
        <f t="shared" si="78"/>
        <v>53208167</v>
      </c>
      <c r="U46" s="473">
        <f>+U47</f>
        <v>75000000</v>
      </c>
      <c r="V46" s="473">
        <f t="shared" ref="V46:X46" si="79">+V47</f>
        <v>79500000</v>
      </c>
      <c r="W46" s="473">
        <f t="shared" si="79"/>
        <v>83475000</v>
      </c>
      <c r="X46" s="473">
        <f t="shared" si="79"/>
        <v>86814000</v>
      </c>
      <c r="Y46" s="473">
        <f t="shared" si="6"/>
        <v>324789000</v>
      </c>
      <c r="Z46" s="451"/>
      <c r="AA46" s="473">
        <f t="shared" ref="AA46" si="80">+AA47</f>
        <v>324789000</v>
      </c>
    </row>
    <row r="47" spans="1:27" s="469" customFormat="1" ht="12" x14ac:dyDescent="0.25">
      <c r="A47" s="462" t="s">
        <v>492</v>
      </c>
      <c r="B47" s="462" t="s">
        <v>493</v>
      </c>
      <c r="C47" s="475">
        <f t="shared" ref="C47:M48" si="81">+C48</f>
        <v>65580642</v>
      </c>
      <c r="D47" s="475">
        <f t="shared" si="81"/>
        <v>56395728</v>
      </c>
      <c r="E47" s="475">
        <f t="shared" si="81"/>
        <v>55458589</v>
      </c>
      <c r="F47" s="475">
        <f t="shared" si="81"/>
        <v>66505138</v>
      </c>
      <c r="G47" s="475">
        <f t="shared" si="81"/>
        <v>62656936</v>
      </c>
      <c r="H47" s="475">
        <f t="shared" si="81"/>
        <v>63631699</v>
      </c>
      <c r="I47" s="475">
        <f t="shared" si="81"/>
        <v>84699290</v>
      </c>
      <c r="J47" s="475">
        <f t="shared" si="81"/>
        <v>63490735</v>
      </c>
      <c r="K47" s="475">
        <f t="shared" si="81"/>
        <v>92849522</v>
      </c>
      <c r="L47" s="475">
        <f t="shared" si="81"/>
        <v>125918146</v>
      </c>
      <c r="M47" s="475">
        <f t="shared" si="81"/>
        <v>155106496</v>
      </c>
      <c r="N47" s="465">
        <v>304001</v>
      </c>
      <c r="O47" s="444" t="s">
        <v>494</v>
      </c>
      <c r="P47" s="445">
        <v>46291666</v>
      </c>
      <c r="Q47" s="445">
        <v>47763741</v>
      </c>
      <c r="R47" s="445">
        <v>49578763</v>
      </c>
      <c r="S47" s="446">
        <v>53215931</v>
      </c>
      <c r="T47" s="446">
        <v>53208167</v>
      </c>
      <c r="U47" s="447">
        <v>75000000</v>
      </c>
      <c r="V47" s="447">
        <f t="shared" ref="V47" si="82">+U47*1.06</f>
        <v>79500000</v>
      </c>
      <c r="W47" s="447">
        <f t="shared" ref="W47" si="83">+V47*1.05</f>
        <v>83475000</v>
      </c>
      <c r="X47" s="447">
        <f>+W47*1.04</f>
        <v>86814000</v>
      </c>
      <c r="Y47" s="447">
        <f t="shared" si="6"/>
        <v>324789000</v>
      </c>
      <c r="Z47" s="447"/>
      <c r="AA47" s="447">
        <f>+Y47-Z47</f>
        <v>324789000</v>
      </c>
    </row>
    <row r="48" spans="1:27" s="469" customFormat="1" x14ac:dyDescent="0.2">
      <c r="A48" s="462" t="s">
        <v>495</v>
      </c>
      <c r="B48" s="462" t="s">
        <v>496</v>
      </c>
      <c r="C48" s="475">
        <f t="shared" si="81"/>
        <v>65580642</v>
      </c>
      <c r="D48" s="475">
        <f t="shared" si="81"/>
        <v>56395728</v>
      </c>
      <c r="E48" s="475">
        <f t="shared" si="81"/>
        <v>55458589</v>
      </c>
      <c r="F48" s="475">
        <f t="shared" si="81"/>
        <v>66505138</v>
      </c>
      <c r="G48" s="475">
        <f t="shared" si="81"/>
        <v>62656936</v>
      </c>
      <c r="H48" s="475">
        <f t="shared" si="81"/>
        <v>63631699</v>
      </c>
      <c r="I48" s="475">
        <f t="shared" si="81"/>
        <v>84699290</v>
      </c>
      <c r="J48" s="475">
        <f t="shared" si="81"/>
        <v>63490735</v>
      </c>
      <c r="K48" s="475">
        <f t="shared" si="81"/>
        <v>92849522</v>
      </c>
      <c r="L48" s="475">
        <f t="shared" si="81"/>
        <v>125918146</v>
      </c>
      <c r="M48" s="475">
        <f t="shared" si="81"/>
        <v>155106496</v>
      </c>
      <c r="N48" s="470">
        <v>8</v>
      </c>
      <c r="O48" s="466" t="s">
        <v>497</v>
      </c>
      <c r="P48" s="471">
        <f t="shared" ref="P48:S48" si="84">+P49+P51+P54</f>
        <v>178288089</v>
      </c>
      <c r="Q48" s="471">
        <f t="shared" si="84"/>
        <v>242424830</v>
      </c>
      <c r="R48" s="471">
        <f t="shared" si="84"/>
        <v>314217840</v>
      </c>
      <c r="S48" s="472">
        <f t="shared" si="84"/>
        <v>343791378.92000002</v>
      </c>
      <c r="T48" s="472">
        <f t="shared" ref="T48" si="85">+T49+T51+T54</f>
        <v>361741418.89999998</v>
      </c>
      <c r="U48" s="473">
        <f>+U49+U51+U54</f>
        <v>418267729</v>
      </c>
      <c r="V48" s="473">
        <f t="shared" ref="V48:X48" si="86">+V49+V51+V54</f>
        <v>443363792.74000001</v>
      </c>
      <c r="W48" s="473">
        <f t="shared" si="86"/>
        <v>465531982.37699997</v>
      </c>
      <c r="X48" s="473">
        <f t="shared" si="86"/>
        <v>484153261.67208004</v>
      </c>
      <c r="Y48" s="473">
        <f t="shared" si="6"/>
        <v>1811316765.7890801</v>
      </c>
      <c r="Z48" s="473">
        <f t="shared" ref="Z48" si="87">+Z49+Z51+Z54</f>
        <v>0</v>
      </c>
      <c r="AA48" s="473">
        <f t="shared" ref="AA48" si="88">+AA49+AA51+AA54</f>
        <v>1811316765.7890801</v>
      </c>
    </row>
    <row r="49" spans="1:27" s="469" customFormat="1" x14ac:dyDescent="0.2">
      <c r="A49" s="462" t="s">
        <v>498</v>
      </c>
      <c r="B49" s="463" t="s">
        <v>499</v>
      </c>
      <c r="C49" s="477">
        <f>63068520+2512122</f>
        <v>65580642</v>
      </c>
      <c r="D49" s="477">
        <v>56395728</v>
      </c>
      <c r="E49" s="477">
        <v>55458589</v>
      </c>
      <c r="F49" s="477">
        <v>66505138</v>
      </c>
      <c r="G49" s="477">
        <v>62656936</v>
      </c>
      <c r="H49" s="477">
        <v>63631699</v>
      </c>
      <c r="I49" s="477">
        <v>84699290</v>
      </c>
      <c r="J49" s="477">
        <v>63490735</v>
      </c>
      <c r="K49" s="477">
        <v>92849522</v>
      </c>
      <c r="L49" s="477">
        <v>125918146</v>
      </c>
      <c r="M49" s="477">
        <v>155106496</v>
      </c>
      <c r="N49" s="470">
        <v>80102</v>
      </c>
      <c r="O49" s="453" t="s">
        <v>500</v>
      </c>
      <c r="P49" s="434">
        <f t="shared" ref="P49:T49" si="89">+P50</f>
        <v>26140607</v>
      </c>
      <c r="Q49" s="434">
        <f t="shared" si="89"/>
        <v>27482467</v>
      </c>
      <c r="R49" s="434">
        <f t="shared" si="89"/>
        <v>26436794</v>
      </c>
      <c r="S49" s="454">
        <f t="shared" si="89"/>
        <v>27554500</v>
      </c>
      <c r="T49" s="454">
        <f t="shared" si="89"/>
        <v>28679900</v>
      </c>
      <c r="U49" s="455">
        <f>+U50</f>
        <v>34415880</v>
      </c>
      <c r="V49" s="455">
        <f t="shared" ref="V49:X49" si="90">+V50</f>
        <v>36480832.800000004</v>
      </c>
      <c r="W49" s="455">
        <f t="shared" si="90"/>
        <v>38304874.440000005</v>
      </c>
      <c r="X49" s="455">
        <f t="shared" si="90"/>
        <v>39837069.417600006</v>
      </c>
      <c r="Y49" s="455">
        <f t="shared" si="6"/>
        <v>149038656.65760002</v>
      </c>
      <c r="Z49" s="455">
        <f t="shared" ref="Z49" si="91">+Z50</f>
        <v>0</v>
      </c>
      <c r="AA49" s="455">
        <f t="shared" ref="AA49" si="92">+AA50</f>
        <v>149038656.65760002</v>
      </c>
    </row>
    <row r="50" spans="1:27" s="469" customFormat="1" ht="12" x14ac:dyDescent="0.25">
      <c r="A50" s="462" t="s">
        <v>501</v>
      </c>
      <c r="B50" s="463" t="s">
        <v>502</v>
      </c>
      <c r="C50" s="477">
        <f t="shared" ref="C50:M50" si="93">+C51+C52+C53</f>
        <v>1369186621</v>
      </c>
      <c r="D50" s="477">
        <f t="shared" si="93"/>
        <v>1634384102</v>
      </c>
      <c r="E50" s="477">
        <f t="shared" si="93"/>
        <v>2714643672</v>
      </c>
      <c r="F50" s="477">
        <f t="shared" si="93"/>
        <v>2134640559</v>
      </c>
      <c r="G50" s="477">
        <f t="shared" si="93"/>
        <v>1828964172</v>
      </c>
      <c r="H50" s="477">
        <f t="shared" si="93"/>
        <v>3433123985</v>
      </c>
      <c r="I50" s="477">
        <f t="shared" si="93"/>
        <v>2753554109</v>
      </c>
      <c r="J50" s="477">
        <f t="shared" si="93"/>
        <v>3952857135</v>
      </c>
      <c r="K50" s="477">
        <f t="shared" si="93"/>
        <v>3492228443</v>
      </c>
      <c r="L50" s="477">
        <f t="shared" si="93"/>
        <v>2903361486</v>
      </c>
      <c r="M50" s="477">
        <f t="shared" si="93"/>
        <v>3614116170</v>
      </c>
      <c r="N50" s="465">
        <v>80102001</v>
      </c>
      <c r="O50" s="474" t="s">
        <v>503</v>
      </c>
      <c r="P50" s="467">
        <v>26140607</v>
      </c>
      <c r="Q50" s="467">
        <v>27482467</v>
      </c>
      <c r="R50" s="467">
        <v>26436794</v>
      </c>
      <c r="S50" s="468">
        <v>27554500</v>
      </c>
      <c r="T50" s="468">
        <v>28679900</v>
      </c>
      <c r="U50" s="451">
        <v>34415880</v>
      </c>
      <c r="V50" s="451">
        <f t="shared" ref="V50" si="94">+U50*1.06</f>
        <v>36480832.800000004</v>
      </c>
      <c r="W50" s="451">
        <f t="shared" ref="W50" si="95">+V50*1.05</f>
        <v>38304874.440000005</v>
      </c>
      <c r="X50" s="451">
        <f>+W50*1.04</f>
        <v>39837069.417600006</v>
      </c>
      <c r="Y50" s="451">
        <f t="shared" si="6"/>
        <v>149038656.65760002</v>
      </c>
      <c r="Z50" s="451"/>
      <c r="AA50" s="452">
        <f>+Y50-Z50</f>
        <v>149038656.65760002</v>
      </c>
    </row>
    <row r="51" spans="1:27" s="469" customFormat="1" x14ac:dyDescent="0.2">
      <c r="A51" s="462" t="s">
        <v>504</v>
      </c>
      <c r="B51" s="463" t="s">
        <v>505</v>
      </c>
      <c r="C51" s="477"/>
      <c r="D51" s="477">
        <v>51160240</v>
      </c>
      <c r="E51" s="477">
        <v>50000000</v>
      </c>
      <c r="F51" s="477">
        <v>2575000</v>
      </c>
      <c r="G51" s="477"/>
      <c r="H51" s="477"/>
      <c r="I51" s="477">
        <v>0</v>
      </c>
      <c r="J51" s="477"/>
      <c r="K51" s="477"/>
      <c r="L51" s="477">
        <v>0</v>
      </c>
      <c r="M51" s="477"/>
      <c r="N51" s="470">
        <v>803</v>
      </c>
      <c r="O51" s="453" t="s">
        <v>506</v>
      </c>
      <c r="P51" s="434">
        <f t="shared" ref="P51:R52" si="96">+P52</f>
        <v>8397382</v>
      </c>
      <c r="Q51" s="434">
        <f t="shared" si="96"/>
        <v>1596173</v>
      </c>
      <c r="R51" s="434">
        <f t="shared" si="96"/>
        <v>6540708</v>
      </c>
      <c r="S51" s="454">
        <f t="shared" ref="S51:AA52" si="97">+S52</f>
        <v>5001959.92</v>
      </c>
      <c r="T51" s="454">
        <f t="shared" si="97"/>
        <v>5595847.9000000004</v>
      </c>
      <c r="U51" s="455">
        <f t="shared" si="97"/>
        <v>9003528</v>
      </c>
      <c r="V51" s="455">
        <f t="shared" si="97"/>
        <v>9543739.6799999997</v>
      </c>
      <c r="W51" s="455">
        <f t="shared" si="97"/>
        <v>10020926.664000001</v>
      </c>
      <c r="X51" s="455">
        <f t="shared" si="97"/>
        <v>10421763.730560001</v>
      </c>
      <c r="Y51" s="455">
        <f t="shared" si="6"/>
        <v>38989958.074560001</v>
      </c>
      <c r="Z51" s="455">
        <f t="shared" si="97"/>
        <v>0</v>
      </c>
      <c r="AA51" s="455">
        <f t="shared" si="97"/>
        <v>38989958.074560001</v>
      </c>
    </row>
    <row r="52" spans="1:27" s="469" customFormat="1" x14ac:dyDescent="0.2">
      <c r="A52" s="462" t="s">
        <v>507</v>
      </c>
      <c r="B52" s="463" t="s">
        <v>508</v>
      </c>
      <c r="C52" s="477">
        <v>25773000</v>
      </c>
      <c r="D52" s="477">
        <v>27455977</v>
      </c>
      <c r="E52" s="477">
        <v>29564596</v>
      </c>
      <c r="F52" s="477">
        <v>30000000</v>
      </c>
      <c r="G52" s="477">
        <v>31111830</v>
      </c>
      <c r="H52" s="477">
        <v>32295510</v>
      </c>
      <c r="I52" s="477">
        <v>33083521</v>
      </c>
      <c r="J52" s="477">
        <v>37725341</v>
      </c>
      <c r="K52" s="477">
        <v>34959689</v>
      </c>
      <c r="L52" s="477">
        <v>37326460</v>
      </c>
      <c r="M52" s="477">
        <v>44472731</v>
      </c>
      <c r="N52" s="474">
        <v>803001</v>
      </c>
      <c r="O52" s="466" t="s">
        <v>509</v>
      </c>
      <c r="P52" s="467">
        <f t="shared" si="96"/>
        <v>8397382</v>
      </c>
      <c r="Q52" s="467">
        <f t="shared" si="96"/>
        <v>1596173</v>
      </c>
      <c r="R52" s="467">
        <f t="shared" si="96"/>
        <v>6540708</v>
      </c>
      <c r="S52" s="468">
        <f t="shared" si="97"/>
        <v>5001959.92</v>
      </c>
      <c r="T52" s="468">
        <f t="shared" si="97"/>
        <v>5595847.9000000004</v>
      </c>
      <c r="U52" s="478">
        <f t="shared" si="97"/>
        <v>9003528</v>
      </c>
      <c r="V52" s="478">
        <f t="shared" si="97"/>
        <v>9543739.6799999997</v>
      </c>
      <c r="W52" s="478">
        <f t="shared" si="97"/>
        <v>10020926.664000001</v>
      </c>
      <c r="X52" s="478">
        <f t="shared" si="97"/>
        <v>10421763.730560001</v>
      </c>
      <c r="Y52" s="478">
        <f t="shared" si="6"/>
        <v>38989958.074560001</v>
      </c>
      <c r="Z52" s="478">
        <f t="shared" si="97"/>
        <v>0</v>
      </c>
      <c r="AA52" s="478">
        <f t="shared" si="97"/>
        <v>38989958.074560001</v>
      </c>
    </row>
    <row r="53" spans="1:27" s="469" customFormat="1" ht="12" x14ac:dyDescent="0.25">
      <c r="A53" s="462" t="s">
        <v>510</v>
      </c>
      <c r="B53" s="463" t="s">
        <v>511</v>
      </c>
      <c r="C53" s="477">
        <v>1343413621</v>
      </c>
      <c r="D53" s="477">
        <v>1555767885</v>
      </c>
      <c r="E53" s="477">
        <v>2635079076</v>
      </c>
      <c r="F53" s="477">
        <v>2102065559</v>
      </c>
      <c r="G53" s="477">
        <v>1797852342</v>
      </c>
      <c r="H53" s="477">
        <v>3400828475</v>
      </c>
      <c r="I53" s="477">
        <v>2720470588</v>
      </c>
      <c r="J53" s="477">
        <v>3915131794</v>
      </c>
      <c r="K53" s="477">
        <v>3457268754</v>
      </c>
      <c r="L53" s="477">
        <v>2866035026</v>
      </c>
      <c r="M53" s="477">
        <v>3569643439</v>
      </c>
      <c r="N53" s="465">
        <v>803001</v>
      </c>
      <c r="O53" s="444" t="s">
        <v>512</v>
      </c>
      <c r="P53" s="445">
        <v>8397382</v>
      </c>
      <c r="Q53" s="445">
        <v>1596173</v>
      </c>
      <c r="R53" s="445">
        <v>6540708</v>
      </c>
      <c r="S53" s="446">
        <v>5001959.92</v>
      </c>
      <c r="T53" s="446">
        <v>5595847.9000000004</v>
      </c>
      <c r="U53" s="447">
        <v>9003528</v>
      </c>
      <c r="V53" s="447">
        <f t="shared" ref="V53" si="98">+U53*1.06</f>
        <v>9543739.6799999997</v>
      </c>
      <c r="W53" s="447">
        <f t="shared" ref="W53" si="99">+V53*1.05</f>
        <v>10020926.664000001</v>
      </c>
      <c r="X53" s="447">
        <f>+W53*1.04</f>
        <v>10421763.730560001</v>
      </c>
      <c r="Y53" s="447">
        <f t="shared" si="6"/>
        <v>38989958.074560001</v>
      </c>
      <c r="Z53" s="447"/>
      <c r="AA53" s="447">
        <f>+Y53-Z53</f>
        <v>38989958.074560001</v>
      </c>
    </row>
    <row r="54" spans="1:27" s="469" customFormat="1" x14ac:dyDescent="0.2">
      <c r="A54" s="462"/>
      <c r="B54" s="463"/>
      <c r="C54" s="477"/>
      <c r="D54" s="477"/>
      <c r="E54" s="477"/>
      <c r="F54" s="477"/>
      <c r="G54" s="477"/>
      <c r="H54" s="477"/>
      <c r="I54" s="477"/>
      <c r="J54" s="477"/>
      <c r="K54" s="477"/>
      <c r="L54" s="477"/>
      <c r="M54" s="477"/>
      <c r="N54" s="470"/>
      <c r="O54" s="470" t="s">
        <v>513</v>
      </c>
      <c r="P54" s="471">
        <f t="shared" ref="P54:R55" si="100">+P55</f>
        <v>143750100</v>
      </c>
      <c r="Q54" s="471">
        <f t="shared" si="100"/>
        <v>213346190</v>
      </c>
      <c r="R54" s="471">
        <f t="shared" si="100"/>
        <v>281240338</v>
      </c>
      <c r="S54" s="472">
        <f t="shared" ref="S54:AA55" si="101">+S55</f>
        <v>311234919</v>
      </c>
      <c r="T54" s="472">
        <f t="shared" si="101"/>
        <v>327465671</v>
      </c>
      <c r="U54" s="473">
        <f t="shared" si="101"/>
        <v>374848321</v>
      </c>
      <c r="V54" s="473">
        <f t="shared" si="101"/>
        <v>397339220.25999999</v>
      </c>
      <c r="W54" s="473">
        <f t="shared" si="101"/>
        <v>417206181.273</v>
      </c>
      <c r="X54" s="473">
        <f t="shared" si="101"/>
        <v>433894428.52392</v>
      </c>
      <c r="Y54" s="473">
        <f t="shared" si="6"/>
        <v>1623288151.0569201</v>
      </c>
      <c r="Z54" s="473">
        <f t="shared" si="101"/>
        <v>0</v>
      </c>
      <c r="AA54" s="473">
        <f t="shared" si="101"/>
        <v>1623288151.0569201</v>
      </c>
    </row>
    <row r="55" spans="1:27" s="469" customFormat="1" x14ac:dyDescent="0.2">
      <c r="A55" s="462"/>
      <c r="B55" s="463"/>
      <c r="C55" s="477"/>
      <c r="D55" s="477"/>
      <c r="E55" s="477"/>
      <c r="F55" s="477"/>
      <c r="G55" s="477"/>
      <c r="H55" s="477"/>
      <c r="I55" s="477"/>
      <c r="J55" s="477"/>
      <c r="K55" s="477"/>
      <c r="L55" s="477"/>
      <c r="M55" s="477"/>
      <c r="N55" s="474">
        <v>804</v>
      </c>
      <c r="O55" s="444" t="s">
        <v>514</v>
      </c>
      <c r="P55" s="445">
        <f t="shared" si="100"/>
        <v>143750100</v>
      </c>
      <c r="Q55" s="445">
        <f t="shared" si="100"/>
        <v>213346190</v>
      </c>
      <c r="R55" s="445">
        <f t="shared" si="100"/>
        <v>281240338</v>
      </c>
      <c r="S55" s="446">
        <f t="shared" si="101"/>
        <v>311234919</v>
      </c>
      <c r="T55" s="446">
        <f t="shared" si="101"/>
        <v>327465671</v>
      </c>
      <c r="U55" s="458">
        <f t="shared" si="101"/>
        <v>374848321</v>
      </c>
      <c r="V55" s="458">
        <f t="shared" si="101"/>
        <v>397339220.25999999</v>
      </c>
      <c r="W55" s="458">
        <f t="shared" si="101"/>
        <v>417206181.273</v>
      </c>
      <c r="X55" s="458">
        <f t="shared" si="101"/>
        <v>433894428.52392</v>
      </c>
      <c r="Y55" s="458">
        <f t="shared" si="6"/>
        <v>1623288151.0569201</v>
      </c>
      <c r="Z55" s="458">
        <f t="shared" si="101"/>
        <v>0</v>
      </c>
      <c r="AA55" s="458">
        <f t="shared" si="101"/>
        <v>1623288151.0569201</v>
      </c>
    </row>
    <row r="56" spans="1:27" s="469" customFormat="1" ht="12" x14ac:dyDescent="0.25">
      <c r="A56" s="462"/>
      <c r="B56" s="463"/>
      <c r="C56" s="477"/>
      <c r="D56" s="477"/>
      <c r="E56" s="477"/>
      <c r="F56" s="477"/>
      <c r="G56" s="477"/>
      <c r="H56" s="477"/>
      <c r="I56" s="477"/>
      <c r="J56" s="477"/>
      <c r="K56" s="477"/>
      <c r="L56" s="477"/>
      <c r="M56" s="477"/>
      <c r="N56" s="465">
        <v>80401</v>
      </c>
      <c r="O56" s="469" t="s">
        <v>515</v>
      </c>
      <c r="P56" s="479">
        <v>143750100</v>
      </c>
      <c r="Q56" s="479">
        <v>213346190</v>
      </c>
      <c r="R56" s="479">
        <v>281240338</v>
      </c>
      <c r="S56" s="480">
        <v>311234919</v>
      </c>
      <c r="T56" s="480">
        <v>327465671</v>
      </c>
      <c r="U56" s="451">
        <v>374848321</v>
      </c>
      <c r="V56" s="451">
        <f t="shared" ref="V56" si="102">+U56*1.06</f>
        <v>397339220.25999999</v>
      </c>
      <c r="W56" s="451">
        <f t="shared" ref="W56" si="103">+V56*1.05</f>
        <v>417206181.273</v>
      </c>
      <c r="X56" s="451">
        <f>+W56*1.04</f>
        <v>433894428.52392</v>
      </c>
      <c r="Y56" s="451">
        <f t="shared" si="6"/>
        <v>1623288151.0569201</v>
      </c>
      <c r="Z56" s="451"/>
      <c r="AA56" s="452">
        <f>+Y56-Z56</f>
        <v>1623288151.0569201</v>
      </c>
    </row>
    <row r="57" spans="1:27" ht="12" x14ac:dyDescent="0.25">
      <c r="A57" s="583" t="s">
        <v>516</v>
      </c>
      <c r="B57" s="583"/>
      <c r="C57" s="481">
        <f t="shared" ref="C57:M57" si="104">+C46+C35+C3</f>
        <v>4567752073.4200001</v>
      </c>
      <c r="D57" s="481">
        <f t="shared" si="104"/>
        <v>4988521069.7399998</v>
      </c>
      <c r="E57" s="481">
        <f t="shared" si="104"/>
        <v>6705067307.8800001</v>
      </c>
      <c r="F57" s="481">
        <f t="shared" si="104"/>
        <v>5998285117.3899994</v>
      </c>
      <c r="G57" s="481">
        <f t="shared" si="104"/>
        <v>6128492236.0799999</v>
      </c>
      <c r="H57" s="481">
        <f t="shared" si="104"/>
        <v>8120575743.4899998</v>
      </c>
      <c r="I57" s="481">
        <f t="shared" si="104"/>
        <v>7820259057.0799999</v>
      </c>
      <c r="J57" s="481">
        <f t="shared" si="104"/>
        <v>9674499162.6199989</v>
      </c>
      <c r="K57" s="481">
        <f t="shared" si="104"/>
        <v>10280751718</v>
      </c>
      <c r="L57" s="481">
        <f t="shared" si="104"/>
        <v>9699174096.0799999</v>
      </c>
      <c r="M57" s="481">
        <f t="shared" si="104"/>
        <v>11302241165.950001</v>
      </c>
      <c r="N57" s="482"/>
      <c r="O57" s="483" t="s">
        <v>517</v>
      </c>
      <c r="P57" s="484">
        <f t="shared" ref="P57:S57" si="105">+P3+P28+P41+P48</f>
        <v>10872240599.16</v>
      </c>
      <c r="Q57" s="484">
        <f t="shared" si="105"/>
        <v>11151545738</v>
      </c>
      <c r="R57" s="484">
        <f t="shared" si="105"/>
        <v>11142101329</v>
      </c>
      <c r="S57" s="484">
        <f t="shared" si="105"/>
        <v>13124769162.300001</v>
      </c>
      <c r="T57" s="484">
        <f t="shared" ref="T57" si="106">+T3+T28+T41+T48</f>
        <v>19258909117.740002</v>
      </c>
      <c r="U57" s="485">
        <f>+U3+U28+U41+U48</f>
        <v>23378784812</v>
      </c>
      <c r="V57" s="485">
        <f t="shared" ref="V57:X57" si="107">+V3+V28+V41+V48</f>
        <v>24568939406.074081</v>
      </c>
      <c r="W57" s="485">
        <f t="shared" si="107"/>
        <v>25798132956.099403</v>
      </c>
      <c r="X57" s="485">
        <f t="shared" si="107"/>
        <v>26891203197.660473</v>
      </c>
      <c r="Y57" s="485">
        <f t="shared" si="6"/>
        <v>100637060371.83397</v>
      </c>
      <c r="Z57" s="486">
        <f>+'DESTINACIONES 2024 '!B58+'DESTINACIONES 2025'!B58+'DESTINACIONES 2026'!B58+'DESTINACIONES 2027'!B58</f>
        <v>9964965036.7250004</v>
      </c>
      <c r="AA57" s="485">
        <f t="shared" ref="AA57" si="108">+AA3+AA28+AA41+AA48</f>
        <v>90672095335.108963</v>
      </c>
    </row>
    <row r="58" spans="1:27" x14ac:dyDescent="0.2">
      <c r="AA58" s="490"/>
    </row>
    <row r="59" spans="1:27" ht="12" x14ac:dyDescent="0.25">
      <c r="B59" s="487"/>
      <c r="O59" s="491" t="s">
        <v>607</v>
      </c>
      <c r="P59" s="492"/>
      <c r="Q59" s="492"/>
      <c r="R59" s="492"/>
      <c r="S59" s="493"/>
      <c r="T59" s="493"/>
      <c r="U59" s="494">
        <f>+'DESTINACIONES 2024 '!C61+'DESTINACIONES 2024 '!D61</f>
        <v>19789779875.902</v>
      </c>
      <c r="V59" s="494">
        <f>+'DESTINACIONES 2025'!C61+'DESTINACIONES 2025'!D61</f>
        <v>20269415780.523773</v>
      </c>
      <c r="W59" s="494">
        <f>+'DESTINACIONES 2026'!C61+'DESTINACIONES 2026'!D61</f>
        <v>21277724866.766167</v>
      </c>
      <c r="X59" s="494">
        <f>+'DESTINACIONES 2027'!C61+'DESTINACIONES 2027'!D61</f>
        <v>22336521973.264999</v>
      </c>
      <c r="Y59" s="494">
        <f>SUM(U59:X59)</f>
        <v>83673442496.45694</v>
      </c>
    </row>
    <row r="60" spans="1:27" ht="12" x14ac:dyDescent="0.25">
      <c r="M60" s="495"/>
      <c r="N60" s="496"/>
      <c r="O60" s="497" t="s">
        <v>608</v>
      </c>
      <c r="P60" s="492"/>
      <c r="Q60" s="492"/>
      <c r="R60" s="492"/>
      <c r="S60" s="493"/>
      <c r="T60" s="493"/>
      <c r="U60" s="498">
        <f>+U57-U59</f>
        <v>3589004936.0979996</v>
      </c>
      <c r="V60" s="498">
        <f t="shared" ref="V60:X60" si="109">+V57-V59</f>
        <v>4299523625.5503082</v>
      </c>
      <c r="W60" s="498">
        <f t="shared" si="109"/>
        <v>4520408089.3332367</v>
      </c>
      <c r="X60" s="498">
        <f t="shared" si="109"/>
        <v>4554681224.3954735</v>
      </c>
      <c r="Y60" s="494">
        <f>SUM(U60:X60)</f>
        <v>16963617875.377018</v>
      </c>
    </row>
    <row r="61" spans="1:27" x14ac:dyDescent="0.2">
      <c r="B61" s="487"/>
      <c r="C61" s="499"/>
      <c r="D61" s="499"/>
      <c r="E61" s="499"/>
      <c r="F61" s="499"/>
      <c r="G61" s="499"/>
      <c r="H61" s="499"/>
      <c r="I61" s="499"/>
      <c r="J61" s="499"/>
      <c r="K61" s="499"/>
      <c r="L61" s="499"/>
      <c r="M61" s="500"/>
      <c r="N61" s="501"/>
      <c r="O61" s="500"/>
    </row>
    <row r="62" spans="1:27" x14ac:dyDescent="0.2">
      <c r="C62" s="502"/>
      <c r="D62" s="502"/>
      <c r="E62" s="502"/>
      <c r="F62" s="502"/>
      <c r="G62" s="502"/>
      <c r="H62" s="502"/>
      <c r="I62" s="502"/>
      <c r="J62" s="502"/>
      <c r="K62" s="502"/>
      <c r="L62" s="502"/>
      <c r="M62" s="502"/>
      <c r="N62" s="503"/>
      <c r="O62" s="502"/>
      <c r="S62" s="488"/>
      <c r="T62" s="488"/>
    </row>
    <row r="63" spans="1:27" x14ac:dyDescent="0.2">
      <c r="D63" s="504"/>
    </row>
    <row r="64" spans="1:27" x14ac:dyDescent="0.2">
      <c r="C64" s="499"/>
      <c r="D64" s="499"/>
      <c r="E64" s="499"/>
      <c r="F64" s="499"/>
      <c r="G64" s="499"/>
      <c r="H64" s="499"/>
      <c r="I64" s="499"/>
      <c r="J64" s="499"/>
      <c r="K64" s="499"/>
      <c r="L64" s="499"/>
      <c r="M64" s="499"/>
      <c r="N64" s="505"/>
      <c r="O64" s="499"/>
    </row>
    <row r="66" spans="3:15" x14ac:dyDescent="0.2">
      <c r="C66" s="506"/>
      <c r="D66" s="506"/>
      <c r="E66" s="506"/>
      <c r="F66" s="506"/>
      <c r="G66" s="506"/>
      <c r="H66" s="506"/>
      <c r="I66" s="506"/>
      <c r="J66" s="506"/>
      <c r="K66" s="506"/>
      <c r="L66" s="506"/>
      <c r="M66" s="506"/>
      <c r="N66" s="507"/>
      <c r="O66" s="506"/>
    </row>
    <row r="67" spans="3:15" x14ac:dyDescent="0.2">
      <c r="C67" s="506"/>
      <c r="D67" s="506"/>
      <c r="E67" s="506"/>
      <c r="F67" s="506"/>
      <c r="G67" s="506"/>
      <c r="H67" s="506"/>
      <c r="I67" s="506"/>
      <c r="J67" s="506"/>
      <c r="K67" s="506"/>
      <c r="L67" s="506"/>
      <c r="M67" s="506"/>
      <c r="N67" s="507"/>
      <c r="O67" s="506"/>
    </row>
    <row r="68" spans="3:15" x14ac:dyDescent="0.2">
      <c r="C68" s="502"/>
      <c r="D68" s="502"/>
      <c r="E68" s="502"/>
      <c r="F68" s="502"/>
      <c r="G68" s="502"/>
      <c r="H68" s="502"/>
      <c r="I68" s="502"/>
      <c r="J68" s="502"/>
      <c r="K68" s="502"/>
      <c r="L68" s="502"/>
      <c r="M68" s="502"/>
      <c r="N68" s="503"/>
      <c r="O68" s="502"/>
    </row>
    <row r="70" spans="3:15" x14ac:dyDescent="0.2">
      <c r="C70" s="504"/>
      <c r="D70" s="504"/>
      <c r="E70" s="504"/>
      <c r="F70" s="504"/>
      <c r="G70" s="504"/>
      <c r="H70" s="504"/>
      <c r="I70" s="504"/>
      <c r="J70" s="504"/>
      <c r="K70" s="504"/>
      <c r="L70" s="504"/>
      <c r="M70" s="504"/>
      <c r="N70" s="508"/>
      <c r="O70" s="504"/>
    </row>
    <row r="71" spans="3:15" x14ac:dyDescent="0.2">
      <c r="C71" s="502"/>
      <c r="D71" s="502"/>
      <c r="E71" s="502"/>
      <c r="F71" s="502"/>
      <c r="G71" s="502"/>
      <c r="H71" s="502"/>
      <c r="I71" s="502"/>
      <c r="J71" s="502"/>
      <c r="K71" s="502"/>
      <c r="L71" s="502"/>
      <c r="M71" s="502"/>
      <c r="N71" s="503"/>
      <c r="O71" s="502"/>
    </row>
    <row r="73" spans="3:15" x14ac:dyDescent="0.2">
      <c r="C73" s="509"/>
      <c r="D73" s="509"/>
      <c r="E73" s="509"/>
      <c r="F73" s="509"/>
      <c r="G73" s="509"/>
      <c r="H73" s="509"/>
      <c r="I73" s="509"/>
      <c r="J73" s="509"/>
      <c r="K73" s="509"/>
    </row>
    <row r="74" spans="3:15" x14ac:dyDescent="0.2">
      <c r="C74" s="499"/>
      <c r="D74" s="499"/>
      <c r="E74" s="499"/>
      <c r="F74" s="499"/>
      <c r="G74" s="499"/>
      <c r="H74" s="499"/>
      <c r="I74" s="499"/>
      <c r="J74" s="499"/>
      <c r="K74" s="499"/>
      <c r="L74" s="499"/>
      <c r="M74" s="499"/>
      <c r="N74" s="505"/>
      <c r="O74" s="499"/>
    </row>
    <row r="75" spans="3:15" x14ac:dyDescent="0.2">
      <c r="C75" s="499"/>
      <c r="D75" s="499"/>
      <c r="E75" s="499"/>
      <c r="F75" s="499"/>
      <c r="G75" s="499"/>
      <c r="H75" s="499"/>
      <c r="I75" s="499"/>
      <c r="J75" s="499"/>
      <c r="K75" s="499"/>
    </row>
    <row r="85" spans="3:11" x14ac:dyDescent="0.2">
      <c r="C85" s="504"/>
      <c r="D85" s="504"/>
      <c r="E85" s="504"/>
      <c r="F85" s="504"/>
      <c r="G85" s="504"/>
      <c r="H85" s="504"/>
      <c r="I85" s="504"/>
      <c r="J85" s="504"/>
      <c r="K85" s="504"/>
    </row>
    <row r="86" spans="3:11" x14ac:dyDescent="0.2">
      <c r="C86" s="510"/>
      <c r="D86" s="510"/>
      <c r="E86" s="510"/>
      <c r="F86" s="510"/>
      <c r="G86" s="510"/>
      <c r="H86" s="510"/>
      <c r="I86" s="510"/>
      <c r="J86" s="510"/>
      <c r="K86" s="510"/>
    </row>
  </sheetData>
  <mergeCells count="27">
    <mergeCell ref="C1:C2"/>
    <mergeCell ref="D1:D2"/>
    <mergeCell ref="E1:E2"/>
    <mergeCell ref="Z1:AA1"/>
    <mergeCell ref="F1:F2"/>
    <mergeCell ref="V1:V2"/>
    <mergeCell ref="W1:W2"/>
    <mergeCell ref="X1:X2"/>
    <mergeCell ref="Y1:Y2"/>
    <mergeCell ref="T1:T2"/>
    <mergeCell ref="U1:U2"/>
    <mergeCell ref="A57:B57"/>
    <mergeCell ref="S1:S2"/>
    <mergeCell ref="M1:M2"/>
    <mergeCell ref="N1:N2"/>
    <mergeCell ref="O1:O2"/>
    <mergeCell ref="P1:P2"/>
    <mergeCell ref="Q1:Q2"/>
    <mergeCell ref="R1:R2"/>
    <mergeCell ref="G1:G2"/>
    <mergeCell ref="H1:H2"/>
    <mergeCell ref="I1:I2"/>
    <mergeCell ref="J1:J2"/>
    <mergeCell ref="K1:K2"/>
    <mergeCell ref="L1:L2"/>
    <mergeCell ref="A1:A2"/>
    <mergeCell ref="B1:B2"/>
  </mergeCells>
  <pageMargins left="0.7" right="0.7" top="0.75" bottom="0.75" header="0.3" footer="0.3"/>
  <pageSetup paperSize="120" orientation="portrait" r:id="rId1"/>
  <ignoredErrors>
    <ignoredError sqref="Y3:AA4 V14:X56 Y6:AA57 Y5 AA5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05DA6-DFDE-4D86-A68E-C2ED32CD5AEC}">
  <dimension ref="A1:U60"/>
  <sheetViews>
    <sheetView topLeftCell="O16" workbookViewId="0">
      <selection activeCell="P9" sqref="P9"/>
    </sheetView>
  </sheetViews>
  <sheetFormatPr baseColWidth="10" defaultRowHeight="13.2" x14ac:dyDescent="0.25"/>
  <cols>
    <col min="1" max="1" width="11.44140625" style="62" hidden="1" customWidth="1"/>
    <col min="2" max="2" width="40.5546875" style="62" hidden="1" customWidth="1"/>
    <col min="3" max="11" width="16.44140625" style="62" hidden="1" customWidth="1"/>
    <col min="12" max="13" width="16.6640625" style="62" hidden="1" customWidth="1"/>
    <col min="14" max="14" width="8.6640625" style="184" hidden="1" customWidth="1"/>
    <col min="15" max="15" width="47" style="62" customWidth="1"/>
    <col min="16" max="16" width="20" style="62" customWidth="1"/>
    <col min="17" max="17" width="11.44140625" style="62"/>
    <col min="18" max="18" width="12.6640625" style="62" bestFit="1" customWidth="1"/>
    <col min="19" max="20" width="11.44140625" style="62"/>
    <col min="21" max="21" width="18.33203125" style="62" bestFit="1" customWidth="1"/>
    <col min="22" max="241" width="11.44140625" style="62"/>
    <col min="242" max="255" width="0" style="62" hidden="1" customWidth="1"/>
    <col min="256" max="256" width="22.109375" style="62" customWidth="1"/>
    <col min="257" max="262" width="0" style="62" hidden="1" customWidth="1"/>
    <col min="263" max="263" width="13.33203125" style="62" customWidth="1"/>
    <col min="264" max="264" width="12.44140625" style="62" customWidth="1"/>
    <col min="265" max="265" width="12.109375" style="62" bestFit="1" customWidth="1"/>
    <col min="266" max="266" width="8.44140625" style="62" customWidth="1"/>
    <col min="267" max="497" width="11.44140625" style="62"/>
    <col min="498" max="511" width="0" style="62" hidden="1" customWidth="1"/>
    <col min="512" max="512" width="22.109375" style="62" customWidth="1"/>
    <col min="513" max="518" width="0" style="62" hidden="1" customWidth="1"/>
    <col min="519" max="519" width="13.33203125" style="62" customWidth="1"/>
    <col min="520" max="520" width="12.44140625" style="62" customWidth="1"/>
    <col min="521" max="521" width="12.109375" style="62" bestFit="1" customWidth="1"/>
    <col min="522" max="522" width="8.44140625" style="62" customWidth="1"/>
    <col min="523" max="753" width="11.44140625" style="62"/>
    <col min="754" max="767" width="0" style="62" hidden="1" customWidth="1"/>
    <col min="768" max="768" width="22.109375" style="62" customWidth="1"/>
    <col min="769" max="774" width="0" style="62" hidden="1" customWidth="1"/>
    <col min="775" max="775" width="13.33203125" style="62" customWidth="1"/>
    <col min="776" max="776" width="12.44140625" style="62" customWidth="1"/>
    <col min="777" max="777" width="12.109375" style="62" bestFit="1" customWidth="1"/>
    <col min="778" max="778" width="8.44140625" style="62" customWidth="1"/>
    <col min="779" max="1009" width="11.44140625" style="62"/>
    <col min="1010" max="1023" width="0" style="62" hidden="1" customWidth="1"/>
    <col min="1024" max="1024" width="22.109375" style="62" customWidth="1"/>
    <col min="1025" max="1030" width="0" style="62" hidden="1" customWidth="1"/>
    <col min="1031" max="1031" width="13.33203125" style="62" customWidth="1"/>
    <col min="1032" max="1032" width="12.44140625" style="62" customWidth="1"/>
    <col min="1033" max="1033" width="12.109375" style="62" bestFit="1" customWidth="1"/>
    <col min="1034" max="1034" width="8.44140625" style="62" customWidth="1"/>
    <col min="1035" max="1265" width="11.44140625" style="62"/>
    <col min="1266" max="1279" width="0" style="62" hidden="1" customWidth="1"/>
    <col min="1280" max="1280" width="22.109375" style="62" customWidth="1"/>
    <col min="1281" max="1286" width="0" style="62" hidden="1" customWidth="1"/>
    <col min="1287" max="1287" width="13.33203125" style="62" customWidth="1"/>
    <col min="1288" max="1288" width="12.44140625" style="62" customWidth="1"/>
    <col min="1289" max="1289" width="12.109375" style="62" bestFit="1" customWidth="1"/>
    <col min="1290" max="1290" width="8.44140625" style="62" customWidth="1"/>
    <col min="1291" max="1521" width="11.44140625" style="62"/>
    <col min="1522" max="1535" width="0" style="62" hidden="1" customWidth="1"/>
    <col min="1536" max="1536" width="22.109375" style="62" customWidth="1"/>
    <col min="1537" max="1542" width="0" style="62" hidden="1" customWidth="1"/>
    <col min="1543" max="1543" width="13.33203125" style="62" customWidth="1"/>
    <col min="1544" max="1544" width="12.44140625" style="62" customWidth="1"/>
    <col min="1545" max="1545" width="12.109375" style="62" bestFit="1" customWidth="1"/>
    <col min="1546" max="1546" width="8.44140625" style="62" customWidth="1"/>
    <col min="1547" max="1777" width="11.44140625" style="62"/>
    <col min="1778" max="1791" width="0" style="62" hidden="1" customWidth="1"/>
    <col min="1792" max="1792" width="22.109375" style="62" customWidth="1"/>
    <col min="1793" max="1798" width="0" style="62" hidden="1" customWidth="1"/>
    <col min="1799" max="1799" width="13.33203125" style="62" customWidth="1"/>
    <col min="1800" max="1800" width="12.44140625" style="62" customWidth="1"/>
    <col min="1801" max="1801" width="12.109375" style="62" bestFit="1" customWidth="1"/>
    <col min="1802" max="1802" width="8.44140625" style="62" customWidth="1"/>
    <col min="1803" max="2033" width="11.44140625" style="62"/>
    <col min="2034" max="2047" width="0" style="62" hidden="1" customWidth="1"/>
    <col min="2048" max="2048" width="22.109375" style="62" customWidth="1"/>
    <col min="2049" max="2054" width="0" style="62" hidden="1" customWidth="1"/>
    <col min="2055" max="2055" width="13.33203125" style="62" customWidth="1"/>
    <col min="2056" max="2056" width="12.44140625" style="62" customWidth="1"/>
    <col min="2057" max="2057" width="12.109375" style="62" bestFit="1" customWidth="1"/>
    <col min="2058" max="2058" width="8.44140625" style="62" customWidth="1"/>
    <col min="2059" max="2289" width="11.44140625" style="62"/>
    <col min="2290" max="2303" width="0" style="62" hidden="1" customWidth="1"/>
    <col min="2304" max="2304" width="22.109375" style="62" customWidth="1"/>
    <col min="2305" max="2310" width="0" style="62" hidden="1" customWidth="1"/>
    <col min="2311" max="2311" width="13.33203125" style="62" customWidth="1"/>
    <col min="2312" max="2312" width="12.44140625" style="62" customWidth="1"/>
    <col min="2313" max="2313" width="12.109375" style="62" bestFit="1" customWidth="1"/>
    <col min="2314" max="2314" width="8.44140625" style="62" customWidth="1"/>
    <col min="2315" max="2545" width="11.44140625" style="62"/>
    <col min="2546" max="2559" width="0" style="62" hidden="1" customWidth="1"/>
    <col min="2560" max="2560" width="22.109375" style="62" customWidth="1"/>
    <col min="2561" max="2566" width="0" style="62" hidden="1" customWidth="1"/>
    <col min="2567" max="2567" width="13.33203125" style="62" customWidth="1"/>
    <col min="2568" max="2568" width="12.44140625" style="62" customWidth="1"/>
    <col min="2569" max="2569" width="12.109375" style="62" bestFit="1" customWidth="1"/>
    <col min="2570" max="2570" width="8.44140625" style="62" customWidth="1"/>
    <col min="2571" max="2801" width="11.44140625" style="62"/>
    <col min="2802" max="2815" width="0" style="62" hidden="1" customWidth="1"/>
    <col min="2816" max="2816" width="22.109375" style="62" customWidth="1"/>
    <col min="2817" max="2822" width="0" style="62" hidden="1" customWidth="1"/>
    <col min="2823" max="2823" width="13.33203125" style="62" customWidth="1"/>
    <col min="2824" max="2824" width="12.44140625" style="62" customWidth="1"/>
    <col min="2825" max="2825" width="12.109375" style="62" bestFit="1" customWidth="1"/>
    <col min="2826" max="2826" width="8.44140625" style="62" customWidth="1"/>
    <col min="2827" max="3057" width="11.44140625" style="62"/>
    <col min="3058" max="3071" width="0" style="62" hidden="1" customWidth="1"/>
    <col min="3072" max="3072" width="22.109375" style="62" customWidth="1"/>
    <col min="3073" max="3078" width="0" style="62" hidden="1" customWidth="1"/>
    <col min="3079" max="3079" width="13.33203125" style="62" customWidth="1"/>
    <col min="3080" max="3080" width="12.44140625" style="62" customWidth="1"/>
    <col min="3081" max="3081" width="12.109375" style="62" bestFit="1" customWidth="1"/>
    <col min="3082" max="3082" width="8.44140625" style="62" customWidth="1"/>
    <col min="3083" max="3313" width="11.44140625" style="62"/>
    <col min="3314" max="3327" width="0" style="62" hidden="1" customWidth="1"/>
    <col min="3328" max="3328" width="22.109375" style="62" customWidth="1"/>
    <col min="3329" max="3334" width="0" style="62" hidden="1" customWidth="1"/>
    <col min="3335" max="3335" width="13.33203125" style="62" customWidth="1"/>
    <col min="3336" max="3336" width="12.44140625" style="62" customWidth="1"/>
    <col min="3337" max="3337" width="12.109375" style="62" bestFit="1" customWidth="1"/>
    <col min="3338" max="3338" width="8.44140625" style="62" customWidth="1"/>
    <col min="3339" max="3569" width="11.44140625" style="62"/>
    <col min="3570" max="3583" width="0" style="62" hidden="1" customWidth="1"/>
    <col min="3584" max="3584" width="22.109375" style="62" customWidth="1"/>
    <col min="3585" max="3590" width="0" style="62" hidden="1" customWidth="1"/>
    <col min="3591" max="3591" width="13.33203125" style="62" customWidth="1"/>
    <col min="3592" max="3592" width="12.44140625" style="62" customWidth="1"/>
    <col min="3593" max="3593" width="12.109375" style="62" bestFit="1" customWidth="1"/>
    <col min="3594" max="3594" width="8.44140625" style="62" customWidth="1"/>
    <col min="3595" max="3825" width="11.44140625" style="62"/>
    <col min="3826" max="3839" width="0" style="62" hidden="1" customWidth="1"/>
    <col min="3840" max="3840" width="22.109375" style="62" customWidth="1"/>
    <col min="3841" max="3846" width="0" style="62" hidden="1" customWidth="1"/>
    <col min="3847" max="3847" width="13.33203125" style="62" customWidth="1"/>
    <col min="3848" max="3848" width="12.44140625" style="62" customWidth="1"/>
    <col min="3849" max="3849" width="12.109375" style="62" bestFit="1" customWidth="1"/>
    <col min="3850" max="3850" width="8.44140625" style="62" customWidth="1"/>
    <col min="3851" max="4081" width="11.44140625" style="62"/>
    <col min="4082" max="4095" width="0" style="62" hidden="1" customWidth="1"/>
    <col min="4096" max="4096" width="22.109375" style="62" customWidth="1"/>
    <col min="4097" max="4102" width="0" style="62" hidden="1" customWidth="1"/>
    <col min="4103" max="4103" width="13.33203125" style="62" customWidth="1"/>
    <col min="4104" max="4104" width="12.44140625" style="62" customWidth="1"/>
    <col min="4105" max="4105" width="12.109375" style="62" bestFit="1" customWidth="1"/>
    <col min="4106" max="4106" width="8.44140625" style="62" customWidth="1"/>
    <col min="4107" max="4337" width="11.44140625" style="62"/>
    <col min="4338" max="4351" width="0" style="62" hidden="1" customWidth="1"/>
    <col min="4352" max="4352" width="22.109375" style="62" customWidth="1"/>
    <col min="4353" max="4358" width="0" style="62" hidden="1" customWidth="1"/>
    <col min="4359" max="4359" width="13.33203125" style="62" customWidth="1"/>
    <col min="4360" max="4360" width="12.44140625" style="62" customWidth="1"/>
    <col min="4361" max="4361" width="12.109375" style="62" bestFit="1" customWidth="1"/>
    <col min="4362" max="4362" width="8.44140625" style="62" customWidth="1"/>
    <col min="4363" max="4593" width="11.44140625" style="62"/>
    <col min="4594" max="4607" width="0" style="62" hidden="1" customWidth="1"/>
    <col min="4608" max="4608" width="22.109375" style="62" customWidth="1"/>
    <col min="4609" max="4614" width="0" style="62" hidden="1" customWidth="1"/>
    <col min="4615" max="4615" width="13.33203125" style="62" customWidth="1"/>
    <col min="4616" max="4616" width="12.44140625" style="62" customWidth="1"/>
    <col min="4617" max="4617" width="12.109375" style="62" bestFit="1" customWidth="1"/>
    <col min="4618" max="4618" width="8.44140625" style="62" customWidth="1"/>
    <col min="4619" max="4849" width="11.44140625" style="62"/>
    <col min="4850" max="4863" width="0" style="62" hidden="1" customWidth="1"/>
    <col min="4864" max="4864" width="22.109375" style="62" customWidth="1"/>
    <col min="4865" max="4870" width="0" style="62" hidden="1" customWidth="1"/>
    <col min="4871" max="4871" width="13.33203125" style="62" customWidth="1"/>
    <col min="4872" max="4872" width="12.44140625" style="62" customWidth="1"/>
    <col min="4873" max="4873" width="12.109375" style="62" bestFit="1" customWidth="1"/>
    <col min="4874" max="4874" width="8.44140625" style="62" customWidth="1"/>
    <col min="4875" max="5105" width="11.44140625" style="62"/>
    <col min="5106" max="5119" width="0" style="62" hidden="1" customWidth="1"/>
    <col min="5120" max="5120" width="22.109375" style="62" customWidth="1"/>
    <col min="5121" max="5126" width="0" style="62" hidden="1" customWidth="1"/>
    <col min="5127" max="5127" width="13.33203125" style="62" customWidth="1"/>
    <col min="5128" max="5128" width="12.44140625" style="62" customWidth="1"/>
    <col min="5129" max="5129" width="12.109375" style="62" bestFit="1" customWidth="1"/>
    <col min="5130" max="5130" width="8.44140625" style="62" customWidth="1"/>
    <col min="5131" max="5361" width="11.44140625" style="62"/>
    <col min="5362" max="5375" width="0" style="62" hidden="1" customWidth="1"/>
    <col min="5376" max="5376" width="22.109375" style="62" customWidth="1"/>
    <col min="5377" max="5382" width="0" style="62" hidden="1" customWidth="1"/>
    <col min="5383" max="5383" width="13.33203125" style="62" customWidth="1"/>
    <col min="5384" max="5384" width="12.44140625" style="62" customWidth="1"/>
    <col min="5385" max="5385" width="12.109375" style="62" bestFit="1" customWidth="1"/>
    <col min="5386" max="5386" width="8.44140625" style="62" customWidth="1"/>
    <col min="5387" max="5617" width="11.44140625" style="62"/>
    <col min="5618" max="5631" width="0" style="62" hidden="1" customWidth="1"/>
    <col min="5632" max="5632" width="22.109375" style="62" customWidth="1"/>
    <col min="5633" max="5638" width="0" style="62" hidden="1" customWidth="1"/>
    <col min="5639" max="5639" width="13.33203125" style="62" customWidth="1"/>
    <col min="5640" max="5640" width="12.44140625" style="62" customWidth="1"/>
    <col min="5641" max="5641" width="12.109375" style="62" bestFit="1" customWidth="1"/>
    <col min="5642" max="5642" width="8.44140625" style="62" customWidth="1"/>
    <col min="5643" max="5873" width="11.44140625" style="62"/>
    <col min="5874" max="5887" width="0" style="62" hidden="1" customWidth="1"/>
    <col min="5888" max="5888" width="22.109375" style="62" customWidth="1"/>
    <col min="5889" max="5894" width="0" style="62" hidden="1" customWidth="1"/>
    <col min="5895" max="5895" width="13.33203125" style="62" customWidth="1"/>
    <col min="5896" max="5896" width="12.44140625" style="62" customWidth="1"/>
    <col min="5897" max="5897" width="12.109375" style="62" bestFit="1" customWidth="1"/>
    <col min="5898" max="5898" width="8.44140625" style="62" customWidth="1"/>
    <col min="5899" max="6129" width="11.44140625" style="62"/>
    <col min="6130" max="6143" width="0" style="62" hidden="1" customWidth="1"/>
    <col min="6144" max="6144" width="22.109375" style="62" customWidth="1"/>
    <col min="6145" max="6150" width="0" style="62" hidden="1" customWidth="1"/>
    <col min="6151" max="6151" width="13.33203125" style="62" customWidth="1"/>
    <col min="6152" max="6152" width="12.44140625" style="62" customWidth="1"/>
    <col min="6153" max="6153" width="12.109375" style="62" bestFit="1" customWidth="1"/>
    <col min="6154" max="6154" width="8.44140625" style="62" customWidth="1"/>
    <col min="6155" max="6385" width="11.44140625" style="62"/>
    <col min="6386" max="6399" width="0" style="62" hidden="1" customWidth="1"/>
    <col min="6400" max="6400" width="22.109375" style="62" customWidth="1"/>
    <col min="6401" max="6406" width="0" style="62" hidden="1" customWidth="1"/>
    <col min="6407" max="6407" width="13.33203125" style="62" customWidth="1"/>
    <col min="6408" max="6408" width="12.44140625" style="62" customWidth="1"/>
    <col min="6409" max="6409" width="12.109375" style="62" bestFit="1" customWidth="1"/>
    <col min="6410" max="6410" width="8.44140625" style="62" customWidth="1"/>
    <col min="6411" max="6641" width="11.44140625" style="62"/>
    <col min="6642" max="6655" width="0" style="62" hidden="1" customWidth="1"/>
    <col min="6656" max="6656" width="22.109375" style="62" customWidth="1"/>
    <col min="6657" max="6662" width="0" style="62" hidden="1" customWidth="1"/>
    <col min="6663" max="6663" width="13.33203125" style="62" customWidth="1"/>
    <col min="6664" max="6664" width="12.44140625" style="62" customWidth="1"/>
    <col min="6665" max="6665" width="12.109375" style="62" bestFit="1" customWidth="1"/>
    <col min="6666" max="6666" width="8.44140625" style="62" customWidth="1"/>
    <col min="6667" max="6897" width="11.44140625" style="62"/>
    <col min="6898" max="6911" width="0" style="62" hidden="1" customWidth="1"/>
    <col min="6912" max="6912" width="22.109375" style="62" customWidth="1"/>
    <col min="6913" max="6918" width="0" style="62" hidden="1" customWidth="1"/>
    <col min="6919" max="6919" width="13.33203125" style="62" customWidth="1"/>
    <col min="6920" max="6920" width="12.44140625" style="62" customWidth="1"/>
    <col min="6921" max="6921" width="12.109375" style="62" bestFit="1" customWidth="1"/>
    <col min="6922" max="6922" width="8.44140625" style="62" customWidth="1"/>
    <col min="6923" max="7153" width="11.44140625" style="62"/>
    <col min="7154" max="7167" width="0" style="62" hidden="1" customWidth="1"/>
    <col min="7168" max="7168" width="22.109375" style="62" customWidth="1"/>
    <col min="7169" max="7174" width="0" style="62" hidden="1" customWidth="1"/>
    <col min="7175" max="7175" width="13.33203125" style="62" customWidth="1"/>
    <col min="7176" max="7176" width="12.44140625" style="62" customWidth="1"/>
    <col min="7177" max="7177" width="12.109375" style="62" bestFit="1" customWidth="1"/>
    <col min="7178" max="7178" width="8.44140625" style="62" customWidth="1"/>
    <col min="7179" max="7409" width="11.44140625" style="62"/>
    <col min="7410" max="7423" width="0" style="62" hidden="1" customWidth="1"/>
    <col min="7424" max="7424" width="22.109375" style="62" customWidth="1"/>
    <col min="7425" max="7430" width="0" style="62" hidden="1" customWidth="1"/>
    <col min="7431" max="7431" width="13.33203125" style="62" customWidth="1"/>
    <col min="7432" max="7432" width="12.44140625" style="62" customWidth="1"/>
    <col min="7433" max="7433" width="12.109375" style="62" bestFit="1" customWidth="1"/>
    <col min="7434" max="7434" width="8.44140625" style="62" customWidth="1"/>
    <col min="7435" max="7665" width="11.44140625" style="62"/>
    <col min="7666" max="7679" width="0" style="62" hidden="1" customWidth="1"/>
    <col min="7680" max="7680" width="22.109375" style="62" customWidth="1"/>
    <col min="7681" max="7686" width="0" style="62" hidden="1" customWidth="1"/>
    <col min="7687" max="7687" width="13.33203125" style="62" customWidth="1"/>
    <col min="7688" max="7688" width="12.44140625" style="62" customWidth="1"/>
    <col min="7689" max="7689" width="12.109375" style="62" bestFit="1" customWidth="1"/>
    <col min="7690" max="7690" width="8.44140625" style="62" customWidth="1"/>
    <col min="7691" max="7921" width="11.44140625" style="62"/>
    <col min="7922" max="7935" width="0" style="62" hidden="1" customWidth="1"/>
    <col min="7936" max="7936" width="22.109375" style="62" customWidth="1"/>
    <col min="7937" max="7942" width="0" style="62" hidden="1" customWidth="1"/>
    <col min="7943" max="7943" width="13.33203125" style="62" customWidth="1"/>
    <col min="7944" max="7944" width="12.44140625" style="62" customWidth="1"/>
    <col min="7945" max="7945" width="12.109375" style="62" bestFit="1" customWidth="1"/>
    <col min="7946" max="7946" width="8.44140625" style="62" customWidth="1"/>
    <col min="7947" max="8177" width="11.44140625" style="62"/>
    <col min="8178" max="8191" width="0" style="62" hidden="1" customWidth="1"/>
    <col min="8192" max="8192" width="22.109375" style="62" customWidth="1"/>
    <col min="8193" max="8198" width="0" style="62" hidden="1" customWidth="1"/>
    <col min="8199" max="8199" width="13.33203125" style="62" customWidth="1"/>
    <col min="8200" max="8200" width="12.44140625" style="62" customWidth="1"/>
    <col min="8201" max="8201" width="12.109375" style="62" bestFit="1" customWidth="1"/>
    <col min="8202" max="8202" width="8.44140625" style="62" customWidth="1"/>
    <col min="8203" max="8433" width="11.44140625" style="62"/>
    <col min="8434" max="8447" width="0" style="62" hidden="1" customWidth="1"/>
    <col min="8448" max="8448" width="22.109375" style="62" customWidth="1"/>
    <col min="8449" max="8454" width="0" style="62" hidden="1" customWidth="1"/>
    <col min="8455" max="8455" width="13.33203125" style="62" customWidth="1"/>
    <col min="8456" max="8456" width="12.44140625" style="62" customWidth="1"/>
    <col min="8457" max="8457" width="12.109375" style="62" bestFit="1" customWidth="1"/>
    <col min="8458" max="8458" width="8.44140625" style="62" customWidth="1"/>
    <col min="8459" max="8689" width="11.44140625" style="62"/>
    <col min="8690" max="8703" width="0" style="62" hidden="1" customWidth="1"/>
    <col min="8704" max="8704" width="22.109375" style="62" customWidth="1"/>
    <col min="8705" max="8710" width="0" style="62" hidden="1" customWidth="1"/>
    <col min="8711" max="8711" width="13.33203125" style="62" customWidth="1"/>
    <col min="8712" max="8712" width="12.44140625" style="62" customWidth="1"/>
    <col min="8713" max="8713" width="12.109375" style="62" bestFit="1" customWidth="1"/>
    <col min="8714" max="8714" width="8.44140625" style="62" customWidth="1"/>
    <col min="8715" max="8945" width="11.44140625" style="62"/>
    <col min="8946" max="8959" width="0" style="62" hidden="1" customWidth="1"/>
    <col min="8960" max="8960" width="22.109375" style="62" customWidth="1"/>
    <col min="8961" max="8966" width="0" style="62" hidden="1" customWidth="1"/>
    <col min="8967" max="8967" width="13.33203125" style="62" customWidth="1"/>
    <col min="8968" max="8968" width="12.44140625" style="62" customWidth="1"/>
    <col min="8969" max="8969" width="12.109375" style="62" bestFit="1" customWidth="1"/>
    <col min="8970" max="8970" width="8.44140625" style="62" customWidth="1"/>
    <col min="8971" max="9201" width="11.44140625" style="62"/>
    <col min="9202" max="9215" width="0" style="62" hidden="1" customWidth="1"/>
    <col min="9216" max="9216" width="22.109375" style="62" customWidth="1"/>
    <col min="9217" max="9222" width="0" style="62" hidden="1" customWidth="1"/>
    <col min="9223" max="9223" width="13.33203125" style="62" customWidth="1"/>
    <col min="9224" max="9224" width="12.44140625" style="62" customWidth="1"/>
    <col min="9225" max="9225" width="12.109375" style="62" bestFit="1" customWidth="1"/>
    <col min="9226" max="9226" width="8.44140625" style="62" customWidth="1"/>
    <col min="9227" max="9457" width="11.44140625" style="62"/>
    <col min="9458" max="9471" width="0" style="62" hidden="1" customWidth="1"/>
    <col min="9472" max="9472" width="22.109375" style="62" customWidth="1"/>
    <col min="9473" max="9478" width="0" style="62" hidden="1" customWidth="1"/>
    <col min="9479" max="9479" width="13.33203125" style="62" customWidth="1"/>
    <col min="9480" max="9480" width="12.44140625" style="62" customWidth="1"/>
    <col min="9481" max="9481" width="12.109375" style="62" bestFit="1" customWidth="1"/>
    <col min="9482" max="9482" width="8.44140625" style="62" customWidth="1"/>
    <col min="9483" max="9713" width="11.44140625" style="62"/>
    <col min="9714" max="9727" width="0" style="62" hidden="1" customWidth="1"/>
    <col min="9728" max="9728" width="22.109375" style="62" customWidth="1"/>
    <col min="9729" max="9734" width="0" style="62" hidden="1" customWidth="1"/>
    <col min="9735" max="9735" width="13.33203125" style="62" customWidth="1"/>
    <col min="9736" max="9736" width="12.44140625" style="62" customWidth="1"/>
    <col min="9737" max="9737" width="12.109375" style="62" bestFit="1" customWidth="1"/>
    <col min="9738" max="9738" width="8.44140625" style="62" customWidth="1"/>
    <col min="9739" max="9969" width="11.44140625" style="62"/>
    <col min="9970" max="9983" width="0" style="62" hidden="1" customWidth="1"/>
    <col min="9984" max="9984" width="22.109375" style="62" customWidth="1"/>
    <col min="9985" max="9990" width="0" style="62" hidden="1" customWidth="1"/>
    <col min="9991" max="9991" width="13.33203125" style="62" customWidth="1"/>
    <col min="9992" max="9992" width="12.44140625" style="62" customWidth="1"/>
    <col min="9993" max="9993" width="12.109375" style="62" bestFit="1" customWidth="1"/>
    <col min="9994" max="9994" width="8.44140625" style="62" customWidth="1"/>
    <col min="9995" max="10225" width="11.44140625" style="62"/>
    <col min="10226" max="10239" width="0" style="62" hidden="1" customWidth="1"/>
    <col min="10240" max="10240" width="22.109375" style="62" customWidth="1"/>
    <col min="10241" max="10246" width="0" style="62" hidden="1" customWidth="1"/>
    <col min="10247" max="10247" width="13.33203125" style="62" customWidth="1"/>
    <col min="10248" max="10248" width="12.44140625" style="62" customWidth="1"/>
    <col min="10249" max="10249" width="12.109375" style="62" bestFit="1" customWidth="1"/>
    <col min="10250" max="10250" width="8.44140625" style="62" customWidth="1"/>
    <col min="10251" max="10481" width="11.44140625" style="62"/>
    <col min="10482" max="10495" width="0" style="62" hidden="1" customWidth="1"/>
    <col min="10496" max="10496" width="22.109375" style="62" customWidth="1"/>
    <col min="10497" max="10502" width="0" style="62" hidden="1" customWidth="1"/>
    <col min="10503" max="10503" width="13.33203125" style="62" customWidth="1"/>
    <col min="10504" max="10504" width="12.44140625" style="62" customWidth="1"/>
    <col min="10505" max="10505" width="12.109375" style="62" bestFit="1" customWidth="1"/>
    <col min="10506" max="10506" width="8.44140625" style="62" customWidth="1"/>
    <col min="10507" max="10737" width="11.44140625" style="62"/>
    <col min="10738" max="10751" width="0" style="62" hidden="1" customWidth="1"/>
    <col min="10752" max="10752" width="22.109375" style="62" customWidth="1"/>
    <col min="10753" max="10758" width="0" style="62" hidden="1" customWidth="1"/>
    <col min="10759" max="10759" width="13.33203125" style="62" customWidth="1"/>
    <col min="10760" max="10760" width="12.44140625" style="62" customWidth="1"/>
    <col min="10761" max="10761" width="12.109375" style="62" bestFit="1" customWidth="1"/>
    <col min="10762" max="10762" width="8.44140625" style="62" customWidth="1"/>
    <col min="10763" max="10993" width="11.44140625" style="62"/>
    <col min="10994" max="11007" width="0" style="62" hidden="1" customWidth="1"/>
    <col min="11008" max="11008" width="22.109375" style="62" customWidth="1"/>
    <col min="11009" max="11014" width="0" style="62" hidden="1" customWidth="1"/>
    <col min="11015" max="11015" width="13.33203125" style="62" customWidth="1"/>
    <col min="11016" max="11016" width="12.44140625" style="62" customWidth="1"/>
    <col min="11017" max="11017" width="12.109375" style="62" bestFit="1" customWidth="1"/>
    <col min="11018" max="11018" width="8.44140625" style="62" customWidth="1"/>
    <col min="11019" max="11249" width="11.44140625" style="62"/>
    <col min="11250" max="11263" width="0" style="62" hidden="1" customWidth="1"/>
    <col min="11264" max="11264" width="22.109375" style="62" customWidth="1"/>
    <col min="11265" max="11270" width="0" style="62" hidden="1" customWidth="1"/>
    <col min="11271" max="11271" width="13.33203125" style="62" customWidth="1"/>
    <col min="11272" max="11272" width="12.44140625" style="62" customWidth="1"/>
    <col min="11273" max="11273" width="12.109375" style="62" bestFit="1" customWidth="1"/>
    <col min="11274" max="11274" width="8.44140625" style="62" customWidth="1"/>
    <col min="11275" max="11505" width="11.44140625" style="62"/>
    <col min="11506" max="11519" width="0" style="62" hidden="1" customWidth="1"/>
    <col min="11520" max="11520" width="22.109375" style="62" customWidth="1"/>
    <col min="11521" max="11526" width="0" style="62" hidden="1" customWidth="1"/>
    <col min="11527" max="11527" width="13.33203125" style="62" customWidth="1"/>
    <col min="11528" max="11528" width="12.44140625" style="62" customWidth="1"/>
    <col min="11529" max="11529" width="12.109375" style="62" bestFit="1" customWidth="1"/>
    <col min="11530" max="11530" width="8.44140625" style="62" customWidth="1"/>
    <col min="11531" max="11761" width="11.44140625" style="62"/>
    <col min="11762" max="11775" width="0" style="62" hidden="1" customWidth="1"/>
    <col min="11776" max="11776" width="22.109375" style="62" customWidth="1"/>
    <col min="11777" max="11782" width="0" style="62" hidden="1" customWidth="1"/>
    <col min="11783" max="11783" width="13.33203125" style="62" customWidth="1"/>
    <col min="11784" max="11784" width="12.44140625" style="62" customWidth="1"/>
    <col min="11785" max="11785" width="12.109375" style="62" bestFit="1" customWidth="1"/>
    <col min="11786" max="11786" width="8.44140625" style="62" customWidth="1"/>
    <col min="11787" max="12017" width="11.44140625" style="62"/>
    <col min="12018" max="12031" width="0" style="62" hidden="1" customWidth="1"/>
    <col min="12032" max="12032" width="22.109375" style="62" customWidth="1"/>
    <col min="12033" max="12038" width="0" style="62" hidden="1" customWidth="1"/>
    <col min="12039" max="12039" width="13.33203125" style="62" customWidth="1"/>
    <col min="12040" max="12040" width="12.44140625" style="62" customWidth="1"/>
    <col min="12041" max="12041" width="12.109375" style="62" bestFit="1" customWidth="1"/>
    <col min="12042" max="12042" width="8.44140625" style="62" customWidth="1"/>
    <col min="12043" max="12273" width="11.44140625" style="62"/>
    <col min="12274" max="12287" width="0" style="62" hidden="1" customWidth="1"/>
    <col min="12288" max="12288" width="22.109375" style="62" customWidth="1"/>
    <col min="12289" max="12294" width="0" style="62" hidden="1" customWidth="1"/>
    <col min="12295" max="12295" width="13.33203125" style="62" customWidth="1"/>
    <col min="12296" max="12296" width="12.44140625" style="62" customWidth="1"/>
    <col min="12297" max="12297" width="12.109375" style="62" bestFit="1" customWidth="1"/>
    <col min="12298" max="12298" width="8.44140625" style="62" customWidth="1"/>
    <col min="12299" max="12529" width="11.44140625" style="62"/>
    <col min="12530" max="12543" width="0" style="62" hidden="1" customWidth="1"/>
    <col min="12544" max="12544" width="22.109375" style="62" customWidth="1"/>
    <col min="12545" max="12550" width="0" style="62" hidden="1" customWidth="1"/>
    <col min="12551" max="12551" width="13.33203125" style="62" customWidth="1"/>
    <col min="12552" max="12552" width="12.44140625" style="62" customWidth="1"/>
    <col min="12553" max="12553" width="12.109375" style="62" bestFit="1" customWidth="1"/>
    <col min="12554" max="12554" width="8.44140625" style="62" customWidth="1"/>
    <col min="12555" max="12785" width="11.44140625" style="62"/>
    <col min="12786" max="12799" width="0" style="62" hidden="1" customWidth="1"/>
    <col min="12800" max="12800" width="22.109375" style="62" customWidth="1"/>
    <col min="12801" max="12806" width="0" style="62" hidden="1" customWidth="1"/>
    <col min="12807" max="12807" width="13.33203125" style="62" customWidth="1"/>
    <col min="12808" max="12808" width="12.44140625" style="62" customWidth="1"/>
    <col min="12809" max="12809" width="12.109375" style="62" bestFit="1" customWidth="1"/>
    <col min="12810" max="12810" width="8.44140625" style="62" customWidth="1"/>
    <col min="12811" max="13041" width="11.44140625" style="62"/>
    <col min="13042" max="13055" width="0" style="62" hidden="1" customWidth="1"/>
    <col min="13056" max="13056" width="22.109375" style="62" customWidth="1"/>
    <col min="13057" max="13062" width="0" style="62" hidden="1" customWidth="1"/>
    <col min="13063" max="13063" width="13.33203125" style="62" customWidth="1"/>
    <col min="13064" max="13064" width="12.44140625" style="62" customWidth="1"/>
    <col min="13065" max="13065" width="12.109375" style="62" bestFit="1" customWidth="1"/>
    <col min="13066" max="13066" width="8.44140625" style="62" customWidth="1"/>
    <col min="13067" max="13297" width="11.44140625" style="62"/>
    <col min="13298" max="13311" width="0" style="62" hidden="1" customWidth="1"/>
    <col min="13312" max="13312" width="22.109375" style="62" customWidth="1"/>
    <col min="13313" max="13318" width="0" style="62" hidden="1" customWidth="1"/>
    <col min="13319" max="13319" width="13.33203125" style="62" customWidth="1"/>
    <col min="13320" max="13320" width="12.44140625" style="62" customWidth="1"/>
    <col min="13321" max="13321" width="12.109375" style="62" bestFit="1" customWidth="1"/>
    <col min="13322" max="13322" width="8.44140625" style="62" customWidth="1"/>
    <col min="13323" max="13553" width="11.44140625" style="62"/>
    <col min="13554" max="13567" width="0" style="62" hidden="1" customWidth="1"/>
    <col min="13568" max="13568" width="22.109375" style="62" customWidth="1"/>
    <col min="13569" max="13574" width="0" style="62" hidden="1" customWidth="1"/>
    <col min="13575" max="13575" width="13.33203125" style="62" customWidth="1"/>
    <col min="13576" max="13576" width="12.44140625" style="62" customWidth="1"/>
    <col min="13577" max="13577" width="12.109375" style="62" bestFit="1" customWidth="1"/>
    <col min="13578" max="13578" width="8.44140625" style="62" customWidth="1"/>
    <col min="13579" max="13809" width="11.44140625" style="62"/>
    <col min="13810" max="13823" width="0" style="62" hidden="1" customWidth="1"/>
    <col min="13824" max="13824" width="22.109375" style="62" customWidth="1"/>
    <col min="13825" max="13830" width="0" style="62" hidden="1" customWidth="1"/>
    <col min="13831" max="13831" width="13.33203125" style="62" customWidth="1"/>
    <col min="13832" max="13832" width="12.44140625" style="62" customWidth="1"/>
    <col min="13833" max="13833" width="12.109375" style="62" bestFit="1" customWidth="1"/>
    <col min="13834" max="13834" width="8.44140625" style="62" customWidth="1"/>
    <col min="13835" max="14065" width="11.44140625" style="62"/>
    <col min="14066" max="14079" width="0" style="62" hidden="1" customWidth="1"/>
    <col min="14080" max="14080" width="22.109375" style="62" customWidth="1"/>
    <col min="14081" max="14086" width="0" style="62" hidden="1" customWidth="1"/>
    <col min="14087" max="14087" width="13.33203125" style="62" customWidth="1"/>
    <col min="14088" max="14088" width="12.44140625" style="62" customWidth="1"/>
    <col min="14089" max="14089" width="12.109375" style="62" bestFit="1" customWidth="1"/>
    <col min="14090" max="14090" width="8.44140625" style="62" customWidth="1"/>
    <col min="14091" max="14321" width="11.44140625" style="62"/>
    <col min="14322" max="14335" width="0" style="62" hidden="1" customWidth="1"/>
    <col min="14336" max="14336" width="22.109375" style="62" customWidth="1"/>
    <col min="14337" max="14342" width="0" style="62" hidden="1" customWidth="1"/>
    <col min="14343" max="14343" width="13.33203125" style="62" customWidth="1"/>
    <col min="14344" max="14344" width="12.44140625" style="62" customWidth="1"/>
    <col min="14345" max="14345" width="12.109375" style="62" bestFit="1" customWidth="1"/>
    <col min="14346" max="14346" width="8.44140625" style="62" customWidth="1"/>
    <col min="14347" max="14577" width="11.44140625" style="62"/>
    <col min="14578" max="14591" width="0" style="62" hidden="1" customWidth="1"/>
    <col min="14592" max="14592" width="22.109375" style="62" customWidth="1"/>
    <col min="14593" max="14598" width="0" style="62" hidden="1" customWidth="1"/>
    <col min="14599" max="14599" width="13.33203125" style="62" customWidth="1"/>
    <col min="14600" max="14600" width="12.44140625" style="62" customWidth="1"/>
    <col min="14601" max="14601" width="12.109375" style="62" bestFit="1" customWidth="1"/>
    <col min="14602" max="14602" width="8.44140625" style="62" customWidth="1"/>
    <col min="14603" max="14833" width="11.44140625" style="62"/>
    <col min="14834" max="14847" width="0" style="62" hidden="1" customWidth="1"/>
    <col min="14848" max="14848" width="22.109375" style="62" customWidth="1"/>
    <col min="14849" max="14854" width="0" style="62" hidden="1" customWidth="1"/>
    <col min="14855" max="14855" width="13.33203125" style="62" customWidth="1"/>
    <col min="14856" max="14856" width="12.44140625" style="62" customWidth="1"/>
    <col min="14857" max="14857" width="12.109375" style="62" bestFit="1" customWidth="1"/>
    <col min="14858" max="14858" width="8.44140625" style="62" customWidth="1"/>
    <col min="14859" max="15089" width="11.44140625" style="62"/>
    <col min="15090" max="15103" width="0" style="62" hidden="1" customWidth="1"/>
    <col min="15104" max="15104" width="22.109375" style="62" customWidth="1"/>
    <col min="15105" max="15110" width="0" style="62" hidden="1" customWidth="1"/>
    <col min="15111" max="15111" width="13.33203125" style="62" customWidth="1"/>
    <col min="15112" max="15112" width="12.44140625" style="62" customWidth="1"/>
    <col min="15113" max="15113" width="12.109375" style="62" bestFit="1" customWidth="1"/>
    <col min="15114" max="15114" width="8.44140625" style="62" customWidth="1"/>
    <col min="15115" max="15345" width="11.44140625" style="62"/>
    <col min="15346" max="15359" width="0" style="62" hidden="1" customWidth="1"/>
    <col min="15360" max="15360" width="22.109375" style="62" customWidth="1"/>
    <col min="15361" max="15366" width="0" style="62" hidden="1" customWidth="1"/>
    <col min="15367" max="15367" width="13.33203125" style="62" customWidth="1"/>
    <col min="15368" max="15368" width="12.44140625" style="62" customWidth="1"/>
    <col min="15369" max="15369" width="12.109375" style="62" bestFit="1" customWidth="1"/>
    <col min="15370" max="15370" width="8.44140625" style="62" customWidth="1"/>
    <col min="15371" max="15601" width="11.44140625" style="62"/>
    <col min="15602" max="15615" width="0" style="62" hidden="1" customWidth="1"/>
    <col min="15616" max="15616" width="22.109375" style="62" customWidth="1"/>
    <col min="15617" max="15622" width="0" style="62" hidden="1" customWidth="1"/>
    <col min="15623" max="15623" width="13.33203125" style="62" customWidth="1"/>
    <col min="15624" max="15624" width="12.44140625" style="62" customWidth="1"/>
    <col min="15625" max="15625" width="12.109375" style="62" bestFit="1" customWidth="1"/>
    <col min="15626" max="15626" width="8.44140625" style="62" customWidth="1"/>
    <col min="15627" max="15857" width="11.44140625" style="62"/>
    <col min="15858" max="15871" width="0" style="62" hidden="1" customWidth="1"/>
    <col min="15872" max="15872" width="22.109375" style="62" customWidth="1"/>
    <col min="15873" max="15878" width="0" style="62" hidden="1" customWidth="1"/>
    <col min="15879" max="15879" width="13.33203125" style="62" customWidth="1"/>
    <col min="15880" max="15880" width="12.44140625" style="62" customWidth="1"/>
    <col min="15881" max="15881" width="12.109375" style="62" bestFit="1" customWidth="1"/>
    <col min="15882" max="15882" width="8.44140625" style="62" customWidth="1"/>
    <col min="15883" max="16113" width="11.44140625" style="62"/>
    <col min="16114" max="16127" width="0" style="62" hidden="1" customWidth="1"/>
    <col min="16128" max="16128" width="22.109375" style="62" customWidth="1"/>
    <col min="16129" max="16134" width="0" style="62" hidden="1" customWidth="1"/>
    <col min="16135" max="16135" width="13.33203125" style="62" customWidth="1"/>
    <col min="16136" max="16136" width="12.44140625" style="62" customWidth="1"/>
    <col min="16137" max="16137" width="12.109375" style="62" bestFit="1" customWidth="1"/>
    <col min="16138" max="16138" width="8.44140625" style="62" customWidth="1"/>
    <col min="16139" max="16384" width="11.44140625" style="62"/>
  </cols>
  <sheetData>
    <row r="1" spans="1:18" x14ac:dyDescent="0.25">
      <c r="A1" s="600" t="s">
        <v>368</v>
      </c>
      <c r="B1" s="602" t="s">
        <v>369</v>
      </c>
      <c r="C1" s="597">
        <v>2008</v>
      </c>
      <c r="D1" s="597">
        <v>2009</v>
      </c>
      <c r="E1" s="597">
        <v>2010</v>
      </c>
      <c r="F1" s="597">
        <v>2011</v>
      </c>
      <c r="G1" s="597">
        <v>2012</v>
      </c>
      <c r="H1" s="597">
        <v>2013</v>
      </c>
      <c r="I1" s="597">
        <v>2014</v>
      </c>
      <c r="J1" s="597">
        <v>2015</v>
      </c>
      <c r="K1" s="597">
        <v>2016</v>
      </c>
      <c r="L1" s="597">
        <v>2017</v>
      </c>
      <c r="M1" s="605">
        <v>2018</v>
      </c>
      <c r="N1" s="605" t="s">
        <v>370</v>
      </c>
      <c r="O1" s="606" t="s">
        <v>371</v>
      </c>
      <c r="P1" s="604" t="s">
        <v>123</v>
      </c>
    </row>
    <row r="2" spans="1:18" ht="14.4" customHeight="1" x14ac:dyDescent="0.25">
      <c r="A2" s="601"/>
      <c r="B2" s="603"/>
      <c r="C2" s="598"/>
      <c r="D2" s="598"/>
      <c r="E2" s="598"/>
      <c r="F2" s="598"/>
      <c r="G2" s="598"/>
      <c r="H2" s="598"/>
      <c r="I2" s="598"/>
      <c r="J2" s="598"/>
      <c r="K2" s="598"/>
      <c r="L2" s="598"/>
      <c r="M2" s="598"/>
      <c r="N2" s="598"/>
      <c r="O2" s="607"/>
      <c r="P2" s="604"/>
    </row>
    <row r="3" spans="1:18" ht="14.4" customHeight="1" x14ac:dyDescent="0.25">
      <c r="A3" s="204"/>
      <c r="B3" s="203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5" t="s">
        <v>522</v>
      </c>
      <c r="P3" s="201"/>
    </row>
    <row r="4" spans="1:18" x14ac:dyDescent="0.25">
      <c r="A4" s="164" t="s">
        <v>372</v>
      </c>
      <c r="B4" s="164" t="s">
        <v>118</v>
      </c>
      <c r="C4" s="165" t="e">
        <f>+C5+C23+C26</f>
        <v>#REF!</v>
      </c>
      <c r="D4" s="165" t="e">
        <f>+D5+D23+D26</f>
        <v>#REF!</v>
      </c>
      <c r="E4" s="165" t="e">
        <f>+E5+E23+E26</f>
        <v>#REF!</v>
      </c>
      <c r="F4" s="165" t="e">
        <f>+F5+F23+F26</f>
        <v>#REF!</v>
      </c>
      <c r="G4" s="165" t="e">
        <f t="shared" ref="G4:L4" si="0">+G5+G23+G26</f>
        <v>#REF!</v>
      </c>
      <c r="H4" s="165" t="e">
        <f t="shared" si="0"/>
        <v>#REF!</v>
      </c>
      <c r="I4" s="165" t="e">
        <f t="shared" si="0"/>
        <v>#REF!</v>
      </c>
      <c r="J4" s="165" t="e">
        <f t="shared" si="0"/>
        <v>#REF!</v>
      </c>
      <c r="K4" s="165" t="e">
        <f t="shared" si="0"/>
        <v>#REF!</v>
      </c>
      <c r="L4" s="165" t="e">
        <f t="shared" si="0"/>
        <v>#REF!</v>
      </c>
      <c r="M4" s="165" t="e">
        <f>+M5+M23+M26</f>
        <v>#REF!</v>
      </c>
      <c r="N4" s="166" t="s">
        <v>373</v>
      </c>
      <c r="O4" s="167" t="s">
        <v>118</v>
      </c>
      <c r="P4" s="168">
        <f>+P5</f>
        <v>5665017432.8000002</v>
      </c>
    </row>
    <row r="5" spans="1:18" x14ac:dyDescent="0.25">
      <c r="A5" s="164" t="s">
        <v>374</v>
      </c>
      <c r="B5" s="164" t="s">
        <v>375</v>
      </c>
      <c r="C5" s="165">
        <f>+C6+C9+C12+C20</f>
        <v>2083990805</v>
      </c>
      <c r="D5" s="165">
        <f>+D6+D9+D12+D20</f>
        <v>2081763815</v>
      </c>
      <c r="E5" s="165">
        <f>+E6+E9+E12+E20</f>
        <v>2301586288</v>
      </c>
      <c r="F5" s="165">
        <f>+F6+F9+F12+F20</f>
        <v>2431017741</v>
      </c>
      <c r="G5" s="165">
        <f t="shared" ref="G5:L5" si="1">+G6+G9+G12+G20</f>
        <v>2563378232</v>
      </c>
      <c r="H5" s="165">
        <f t="shared" si="1"/>
        <v>2666966187</v>
      </c>
      <c r="I5" s="165">
        <f t="shared" si="1"/>
        <v>2755217184</v>
      </c>
      <c r="J5" s="165">
        <f t="shared" si="1"/>
        <v>2899019765</v>
      </c>
      <c r="K5" s="165">
        <f t="shared" si="1"/>
        <v>3193915664</v>
      </c>
      <c r="L5" s="165">
        <f t="shared" si="1"/>
        <v>3906699168</v>
      </c>
      <c r="M5" s="165">
        <f>+M6+M9+M12+M20</f>
        <v>4061777350</v>
      </c>
      <c r="N5" s="166">
        <v>101</v>
      </c>
      <c r="O5" s="169" t="s">
        <v>376</v>
      </c>
      <c r="P5" s="170">
        <f>+P6+P15+P23</f>
        <v>5665017432.8000002</v>
      </c>
    </row>
    <row r="6" spans="1:18" x14ac:dyDescent="0.25">
      <c r="A6" s="164" t="s">
        <v>377</v>
      </c>
      <c r="B6" s="164" t="s">
        <v>378</v>
      </c>
      <c r="C6" s="165">
        <f>+C7+C8</f>
        <v>1552702588</v>
      </c>
      <c r="D6" s="165">
        <f>+D7+D8</f>
        <v>1591529815</v>
      </c>
      <c r="E6" s="165">
        <f>+E7+E8</f>
        <v>1755085944</v>
      </c>
      <c r="F6" s="165">
        <f>+F7+F8</f>
        <v>1832383346</v>
      </c>
      <c r="G6" s="165">
        <f t="shared" ref="G6:L6" si="2">+G7+G8</f>
        <v>1930079374</v>
      </c>
      <c r="H6" s="165">
        <f t="shared" si="2"/>
        <v>2006599363</v>
      </c>
      <c r="I6" s="165">
        <f t="shared" si="2"/>
        <v>2047616330</v>
      </c>
      <c r="J6" s="165">
        <f t="shared" si="2"/>
        <v>2152502456</v>
      </c>
      <c r="K6" s="165">
        <f t="shared" si="2"/>
        <v>2359586214.6999998</v>
      </c>
      <c r="L6" s="165">
        <f t="shared" si="2"/>
        <v>2893119986</v>
      </c>
      <c r="M6" s="165">
        <f>+M7+M8</f>
        <v>2995237316</v>
      </c>
      <c r="N6" s="171">
        <v>10101001</v>
      </c>
      <c r="O6" s="167" t="s">
        <v>379</v>
      </c>
      <c r="P6" s="168">
        <f>SUM(P7:P14)</f>
        <v>3722890438.8000002</v>
      </c>
      <c r="R6" s="91"/>
    </row>
    <row r="7" spans="1:18" ht="13.8" x14ac:dyDescent="0.3">
      <c r="A7" s="173" t="s">
        <v>380</v>
      </c>
      <c r="B7" s="174" t="s">
        <v>381</v>
      </c>
      <c r="C7" s="66">
        <f>779780676+691056579</f>
        <v>1470837255</v>
      </c>
      <c r="D7" s="66">
        <f>762636726+828893089</f>
        <v>1591529815</v>
      </c>
      <c r="E7" s="66">
        <f>826973725+928112219</f>
        <v>1755085944</v>
      </c>
      <c r="F7" s="66">
        <f>891246648+830909012</f>
        <v>1722155660</v>
      </c>
      <c r="G7" s="66">
        <v>1790230261</v>
      </c>
      <c r="H7" s="66">
        <v>1879775679</v>
      </c>
      <c r="I7" s="66">
        <v>1915761959</v>
      </c>
      <c r="J7" s="66">
        <v>2023841205</v>
      </c>
      <c r="K7" s="66">
        <v>2209229431</v>
      </c>
      <c r="L7" s="66">
        <v>2715303232</v>
      </c>
      <c r="M7" s="66">
        <v>2801878854</v>
      </c>
      <c r="N7" s="175">
        <v>1010100101</v>
      </c>
      <c r="O7" s="176" t="s">
        <v>382</v>
      </c>
      <c r="P7" s="199">
        <f>+'GASTOS DE FTO 2024 - 2027 '!U6*0.4</f>
        <v>3017750439.2000003</v>
      </c>
      <c r="R7" s="91"/>
    </row>
    <row r="8" spans="1:18" ht="13.8" x14ac:dyDescent="0.3">
      <c r="A8" s="173" t="s">
        <v>383</v>
      </c>
      <c r="B8" s="174" t="s">
        <v>384</v>
      </c>
      <c r="C8" s="66">
        <v>81865333</v>
      </c>
      <c r="D8" s="66"/>
      <c r="E8" s="66"/>
      <c r="F8" s="66">
        <v>110227686</v>
      </c>
      <c r="G8" s="66">
        <v>139849113</v>
      </c>
      <c r="H8" s="66">
        <v>126823684</v>
      </c>
      <c r="I8" s="66">
        <v>131854371</v>
      </c>
      <c r="J8" s="66">
        <v>128661251</v>
      </c>
      <c r="K8" s="66">
        <v>150356783.69999999</v>
      </c>
      <c r="L8" s="66">
        <v>177816754</v>
      </c>
      <c r="M8" s="66">
        <v>193358462</v>
      </c>
      <c r="N8" s="175">
        <v>1010100104</v>
      </c>
      <c r="O8" s="177" t="s">
        <v>385</v>
      </c>
      <c r="P8" s="200">
        <f>+'GASTOS DE FTO 2024 - 2027 '!U7*0.4</f>
        <v>3980232</v>
      </c>
    </row>
    <row r="9" spans="1:18" ht="13.8" x14ac:dyDescent="0.3">
      <c r="A9" s="173" t="s">
        <v>386</v>
      </c>
      <c r="B9" s="174" t="s">
        <v>387</v>
      </c>
      <c r="C9" s="66">
        <f t="shared" ref="C9:M9" si="3">+C10+C11</f>
        <v>186342567</v>
      </c>
      <c r="D9" s="66">
        <f t="shared" si="3"/>
        <v>189049670</v>
      </c>
      <c r="E9" s="66">
        <f t="shared" si="3"/>
        <v>205360933</v>
      </c>
      <c r="F9" s="66">
        <f t="shared" si="3"/>
        <v>212507626</v>
      </c>
      <c r="G9" s="66">
        <f t="shared" si="3"/>
        <v>211912784</v>
      </c>
      <c r="H9" s="66">
        <f t="shared" si="3"/>
        <v>227432292</v>
      </c>
      <c r="I9" s="66">
        <f t="shared" si="3"/>
        <v>247334181</v>
      </c>
      <c r="J9" s="66">
        <f t="shared" si="3"/>
        <v>262363726</v>
      </c>
      <c r="K9" s="66">
        <f t="shared" si="3"/>
        <v>289804928</v>
      </c>
      <c r="L9" s="66">
        <f t="shared" si="3"/>
        <v>370653206</v>
      </c>
      <c r="M9" s="66">
        <f t="shared" si="3"/>
        <v>381864540</v>
      </c>
      <c r="N9" s="175">
        <v>1010100105</v>
      </c>
      <c r="O9" s="176" t="s">
        <v>388</v>
      </c>
      <c r="P9" s="199">
        <f>+'GASTOS DE FTO 2024 - 2027 '!U8*0.4</f>
        <v>5971584</v>
      </c>
    </row>
    <row r="10" spans="1:18" ht="13.8" x14ac:dyDescent="0.3">
      <c r="A10" s="173" t="s">
        <v>389</v>
      </c>
      <c r="B10" s="174" t="s">
        <v>390</v>
      </c>
      <c r="C10" s="66">
        <f>56314002+130028565</f>
        <v>186342567</v>
      </c>
      <c r="D10" s="66">
        <f>63021105+126028565</f>
        <v>189049670</v>
      </c>
      <c r="E10" s="66">
        <v>205360933</v>
      </c>
      <c r="F10" s="66">
        <f>146000000+39186878</f>
        <v>185186878</v>
      </c>
      <c r="G10" s="66">
        <v>168690869</v>
      </c>
      <c r="H10" s="66">
        <v>178323114</v>
      </c>
      <c r="I10" s="66">
        <v>185621348</v>
      </c>
      <c r="J10" s="66">
        <v>197752654</v>
      </c>
      <c r="K10" s="66">
        <v>228418915</v>
      </c>
      <c r="L10" s="66">
        <v>299774893</v>
      </c>
      <c r="M10" s="66">
        <v>307039303</v>
      </c>
      <c r="N10" s="175">
        <v>1010100106</v>
      </c>
      <c r="O10" s="177" t="s">
        <v>391</v>
      </c>
      <c r="P10" s="200">
        <f>+'GASTOS DE FTO 2024 - 2027 '!U9*0.4</f>
        <v>136698780.40000001</v>
      </c>
    </row>
    <row r="11" spans="1:18" ht="13.8" x14ac:dyDescent="0.3">
      <c r="A11" s="173" t="s">
        <v>392</v>
      </c>
      <c r="B11" s="174" t="s">
        <v>393</v>
      </c>
      <c r="C11" s="66"/>
      <c r="D11" s="66"/>
      <c r="E11" s="66"/>
      <c r="F11" s="66">
        <v>27320748</v>
      </c>
      <c r="G11" s="66">
        <v>43221915</v>
      </c>
      <c r="H11" s="66">
        <v>49109178</v>
      </c>
      <c r="I11" s="66">
        <v>61712833</v>
      </c>
      <c r="J11" s="66">
        <v>64611072</v>
      </c>
      <c r="K11" s="66">
        <v>61386013</v>
      </c>
      <c r="L11" s="66">
        <v>70878313</v>
      </c>
      <c r="M11" s="66">
        <v>74825237</v>
      </c>
      <c r="N11" s="175">
        <v>1010100107</v>
      </c>
      <c r="O11" s="176" t="s">
        <v>394</v>
      </c>
      <c r="P11" s="199">
        <f>+'GASTOS DE FTO 2024 - 2027 '!U10*0.4</f>
        <v>94239501.200000003</v>
      </c>
    </row>
    <row r="12" spans="1:18" ht="13.8" x14ac:dyDescent="0.3">
      <c r="A12" s="173" t="s">
        <v>395</v>
      </c>
      <c r="B12" s="174" t="s">
        <v>396</v>
      </c>
      <c r="C12" s="66">
        <f t="shared" ref="C12:M12" si="4">SUM(C13:C19)</f>
        <v>344945650</v>
      </c>
      <c r="D12" s="66">
        <f t="shared" si="4"/>
        <v>301184330</v>
      </c>
      <c r="E12" s="66">
        <f t="shared" si="4"/>
        <v>341139411</v>
      </c>
      <c r="F12" s="66">
        <f t="shared" si="4"/>
        <v>386126769</v>
      </c>
      <c r="G12" s="66">
        <f t="shared" si="4"/>
        <v>420286074</v>
      </c>
      <c r="H12" s="66">
        <f t="shared" si="4"/>
        <v>431790532</v>
      </c>
      <c r="I12" s="66">
        <f t="shared" si="4"/>
        <v>449257381</v>
      </c>
      <c r="J12" s="66">
        <f t="shared" si="4"/>
        <v>464149234</v>
      </c>
      <c r="K12" s="66">
        <f t="shared" si="4"/>
        <v>516185274.30000001</v>
      </c>
      <c r="L12" s="66">
        <f t="shared" si="4"/>
        <v>606669934</v>
      </c>
      <c r="M12" s="66">
        <f t="shared" si="4"/>
        <v>647365723</v>
      </c>
      <c r="N12" s="175">
        <v>1010100108</v>
      </c>
      <c r="O12" s="177" t="s">
        <v>397</v>
      </c>
      <c r="P12" s="200">
        <f>+'GASTOS DE FTO 2024 - 2027 '!U11*0.4</f>
        <v>25200000</v>
      </c>
    </row>
    <row r="13" spans="1:18" ht="13.8" x14ac:dyDescent="0.3">
      <c r="A13" s="173" t="s">
        <v>398</v>
      </c>
      <c r="B13" s="174" t="s">
        <v>399</v>
      </c>
      <c r="C13" s="66">
        <v>46537844</v>
      </c>
      <c r="D13" s="66">
        <f>1742275+30840824</f>
        <v>32583099</v>
      </c>
      <c r="E13" s="66">
        <f>16594431+29544340</f>
        <v>46138771</v>
      </c>
      <c r="F13" s="66">
        <v>51100217</v>
      </c>
      <c r="G13" s="66">
        <v>51145559</v>
      </c>
      <c r="H13" s="66">
        <v>56950561</v>
      </c>
      <c r="I13" s="66">
        <v>59282683</v>
      </c>
      <c r="J13" s="66">
        <v>63039948</v>
      </c>
      <c r="K13" s="66">
        <v>67041671</v>
      </c>
      <c r="L13" s="66">
        <v>81022613</v>
      </c>
      <c r="M13" s="66">
        <v>90231782</v>
      </c>
      <c r="N13" s="175">
        <v>1010100109</v>
      </c>
      <c r="O13" s="176" t="s">
        <v>400</v>
      </c>
      <c r="P13" s="199">
        <f>+'GASTOS DE FTO 2024 - 2027 '!U12*0.4</f>
        <v>296655339.19999999</v>
      </c>
    </row>
    <row r="14" spans="1:18" ht="13.8" x14ac:dyDescent="0.3">
      <c r="A14" s="173" t="s">
        <v>401</v>
      </c>
      <c r="B14" s="174" t="s">
        <v>402</v>
      </c>
      <c r="C14" s="66">
        <v>4875736</v>
      </c>
      <c r="D14" s="66">
        <v>5319340</v>
      </c>
      <c r="E14" s="66">
        <f>2756045+2820156</f>
        <v>5576201</v>
      </c>
      <c r="F14" s="66">
        <v>9755834</v>
      </c>
      <c r="G14" s="66">
        <v>11804405</v>
      </c>
      <c r="H14" s="66">
        <v>10548453</v>
      </c>
      <c r="I14" s="66">
        <v>10819894</v>
      </c>
      <c r="J14" s="66">
        <v>10332856</v>
      </c>
      <c r="K14" s="66">
        <v>12467879</v>
      </c>
      <c r="L14" s="66">
        <v>14312056</v>
      </c>
      <c r="M14" s="66">
        <v>15526740</v>
      </c>
      <c r="N14" s="175">
        <v>1010100110</v>
      </c>
      <c r="O14" s="177" t="s">
        <v>403</v>
      </c>
      <c r="P14" s="200">
        <f>+'GASTOS DE FTO 2024 - 2027 '!U13*0.4</f>
        <v>142394562.80000001</v>
      </c>
    </row>
    <row r="15" spans="1:18" x14ac:dyDescent="0.25">
      <c r="A15" s="173" t="s">
        <v>404</v>
      </c>
      <c r="B15" s="174" t="s">
        <v>385</v>
      </c>
      <c r="C15" s="66">
        <f>3589075+3579528</f>
        <v>7168603</v>
      </c>
      <c r="D15" s="66">
        <f>4511416+3579528</f>
        <v>8090944</v>
      </c>
      <c r="E15" s="66">
        <f>3175246+5208573</f>
        <v>8383819</v>
      </c>
      <c r="F15" s="66">
        <v>8726527</v>
      </c>
      <c r="G15" s="66">
        <v>9003113</v>
      </c>
      <c r="H15" s="66">
        <v>9432902</v>
      </c>
      <c r="I15" s="66">
        <v>9827020</v>
      </c>
      <c r="J15" s="66">
        <v>9718677</v>
      </c>
      <c r="K15" s="66">
        <v>11119107</v>
      </c>
      <c r="L15" s="66">
        <v>7798827</v>
      </c>
      <c r="M15" s="66">
        <v>8408150</v>
      </c>
      <c r="N15" s="167">
        <v>10102</v>
      </c>
      <c r="O15" s="178" t="s">
        <v>405</v>
      </c>
      <c r="P15" s="170">
        <f>SUM(P16:P22)</f>
        <v>1380580186</v>
      </c>
    </row>
    <row r="16" spans="1:18" ht="13.8" x14ac:dyDescent="0.3">
      <c r="A16" s="173" t="s">
        <v>406</v>
      </c>
      <c r="B16" s="174" t="s">
        <v>407</v>
      </c>
      <c r="C16" s="66">
        <f>2604570+2512263</f>
        <v>5116833</v>
      </c>
      <c r="D16" s="66">
        <f>3568626+2512263</f>
        <v>6080889</v>
      </c>
      <c r="E16" s="66">
        <f>2386645+3848505</f>
        <v>6235150</v>
      </c>
      <c r="F16" s="66">
        <v>6739480</v>
      </c>
      <c r="G16" s="66">
        <v>8341660</v>
      </c>
      <c r="H16" s="66">
        <v>9820650</v>
      </c>
      <c r="I16" s="66">
        <v>10394400</v>
      </c>
      <c r="J16" s="66">
        <v>11613066</v>
      </c>
      <c r="K16" s="66">
        <v>11007500</v>
      </c>
      <c r="L16" s="66">
        <v>9214682</v>
      </c>
      <c r="M16" s="66">
        <v>9565120</v>
      </c>
      <c r="N16" s="175">
        <v>10102001</v>
      </c>
      <c r="O16" s="177" t="s">
        <v>408</v>
      </c>
      <c r="P16" s="200">
        <f>+'GASTOS DE FTO 2024 - 2027 '!U15*0.4</f>
        <v>395522270.40000004</v>
      </c>
    </row>
    <row r="17" spans="1:21" ht="13.8" x14ac:dyDescent="0.3">
      <c r="A17" s="173" t="s">
        <v>409</v>
      </c>
      <c r="B17" s="174" t="s">
        <v>410</v>
      </c>
      <c r="C17" s="66">
        <f>27443670+45765859</f>
        <v>73209529</v>
      </c>
      <c r="D17" s="66">
        <f>8512515+45765859</f>
        <v>54278374</v>
      </c>
      <c r="E17" s="66">
        <f>36970411+31102131</f>
        <v>68072542</v>
      </c>
      <c r="F17" s="66">
        <f>52000000+21068114</f>
        <v>73068114</v>
      </c>
      <c r="G17" s="66">
        <v>80068038</v>
      </c>
      <c r="H17" s="66">
        <v>80535459</v>
      </c>
      <c r="I17" s="66">
        <v>85643985</v>
      </c>
      <c r="J17" s="66">
        <v>89437004</v>
      </c>
      <c r="K17" s="66">
        <v>100016207.3</v>
      </c>
      <c r="L17" s="66">
        <v>120372479</v>
      </c>
      <c r="M17" s="66">
        <v>125874922</v>
      </c>
      <c r="N17" s="175">
        <v>10102002</v>
      </c>
      <c r="O17" s="176" t="s">
        <v>411</v>
      </c>
      <c r="P17" s="199">
        <f>+'GASTOS DE FTO 2024 - 2027 '!U16*0.4</f>
        <v>280161691.19999999</v>
      </c>
    </row>
    <row r="18" spans="1:21" ht="13.8" x14ac:dyDescent="0.3">
      <c r="A18" s="173" t="s">
        <v>412</v>
      </c>
      <c r="B18" s="174" t="s">
        <v>403</v>
      </c>
      <c r="C18" s="66">
        <v>64735494</v>
      </c>
      <c r="D18" s="66">
        <f>39193707+20674889</f>
        <v>59868596</v>
      </c>
      <c r="E18" s="66">
        <f>48757307+4986419</f>
        <v>53743726</v>
      </c>
      <c r="F18" s="66">
        <v>73308670</v>
      </c>
      <c r="G18" s="66">
        <v>93419848</v>
      </c>
      <c r="H18" s="66">
        <v>84654287</v>
      </c>
      <c r="I18" s="66">
        <v>88763962</v>
      </c>
      <c r="J18" s="66">
        <v>84128429</v>
      </c>
      <c r="K18" s="66">
        <v>101534004</v>
      </c>
      <c r="L18" s="66">
        <v>115315619</v>
      </c>
      <c r="M18" s="66">
        <v>125491147</v>
      </c>
      <c r="N18" s="175">
        <v>10102003</v>
      </c>
      <c r="O18" s="177" t="s">
        <v>413</v>
      </c>
      <c r="P18" s="200">
        <f>+'GASTOS DE FTO 2024 - 2027 '!U17*0.4</f>
        <v>323476617.60000002</v>
      </c>
    </row>
    <row r="19" spans="1:21" ht="13.8" x14ac:dyDescent="0.3">
      <c r="A19" s="173" t="s">
        <v>414</v>
      </c>
      <c r="B19" s="174" t="s">
        <v>415</v>
      </c>
      <c r="C19" s="66">
        <f>108803332+34498279</f>
        <v>143301611</v>
      </c>
      <c r="D19" s="66">
        <f>89963088+45000000</f>
        <v>134963088</v>
      </c>
      <c r="E19" s="66">
        <f>41390733+111598469</f>
        <v>152989202</v>
      </c>
      <c r="F19" s="66">
        <f>100000000+63427927</f>
        <v>163427927</v>
      </c>
      <c r="G19" s="66">
        <v>166503451</v>
      </c>
      <c r="H19" s="66">
        <v>179848220</v>
      </c>
      <c r="I19" s="66">
        <v>184525437</v>
      </c>
      <c r="J19" s="66">
        <v>195879254</v>
      </c>
      <c r="K19" s="66">
        <v>212998906</v>
      </c>
      <c r="L19" s="66">
        <v>258633658</v>
      </c>
      <c r="M19" s="66">
        <v>272267862</v>
      </c>
      <c r="N19" s="175">
        <v>10102004</v>
      </c>
      <c r="O19" s="176" t="s">
        <v>416</v>
      </c>
      <c r="P19" s="199">
        <f>+'GASTOS DE FTO 2024 - 2027 '!U18*0.4</f>
        <v>143004490</v>
      </c>
    </row>
    <row r="20" spans="1:21" ht="13.8" x14ac:dyDescent="0.3">
      <c r="A20" s="173" t="s">
        <v>417</v>
      </c>
      <c r="B20" s="174" t="s">
        <v>418</v>
      </c>
      <c r="C20" s="66">
        <f>+C22</f>
        <v>0</v>
      </c>
      <c r="D20" s="66">
        <f>+D22</f>
        <v>0</v>
      </c>
      <c r="E20" s="66">
        <f>+E22</f>
        <v>0</v>
      </c>
      <c r="F20" s="66">
        <f>+F22</f>
        <v>0</v>
      </c>
      <c r="G20" s="66">
        <f>+G22</f>
        <v>1100000</v>
      </c>
      <c r="H20" s="66">
        <f t="shared" ref="H20:M20" si="5">+H21+H22</f>
        <v>1144000</v>
      </c>
      <c r="I20" s="66">
        <f t="shared" si="5"/>
        <v>11009292</v>
      </c>
      <c r="J20" s="66">
        <f t="shared" si="5"/>
        <v>20004349</v>
      </c>
      <c r="K20" s="66">
        <f t="shared" si="5"/>
        <v>28339247</v>
      </c>
      <c r="L20" s="66">
        <f t="shared" si="5"/>
        <v>36256042</v>
      </c>
      <c r="M20" s="66">
        <f t="shared" si="5"/>
        <v>37309771</v>
      </c>
      <c r="N20" s="175">
        <v>10102005</v>
      </c>
      <c r="O20" s="177" t="s">
        <v>419</v>
      </c>
      <c r="P20" s="200">
        <f>+'GASTOS DE FTO 2024 - 2027 '!U19*0.4</f>
        <v>59659504</v>
      </c>
    </row>
    <row r="21" spans="1:21" ht="13.8" x14ac:dyDescent="0.3">
      <c r="A21" s="173" t="s">
        <v>420</v>
      </c>
      <c r="B21" s="174" t="s">
        <v>421</v>
      </c>
      <c r="C21" s="66"/>
      <c r="D21" s="66"/>
      <c r="E21" s="66"/>
      <c r="F21" s="66"/>
      <c r="G21" s="66">
        <v>0</v>
      </c>
      <c r="H21" s="66"/>
      <c r="I21" s="66">
        <v>11009292</v>
      </c>
      <c r="J21" s="66">
        <v>20004349</v>
      </c>
      <c r="K21" s="66">
        <v>28339247</v>
      </c>
      <c r="L21" s="66">
        <v>36256042</v>
      </c>
      <c r="M21" s="66">
        <v>37309771</v>
      </c>
      <c r="N21" s="175">
        <v>10102006</v>
      </c>
      <c r="O21" s="176" t="s">
        <v>422</v>
      </c>
      <c r="P21" s="199">
        <f>+'GASTOS DE FTO 2024 - 2027 '!U20*0.4</f>
        <v>107253367.60000001</v>
      </c>
    </row>
    <row r="22" spans="1:21" ht="13.8" x14ac:dyDescent="0.3">
      <c r="A22" s="173" t="s">
        <v>420</v>
      </c>
      <c r="B22" s="174" t="s">
        <v>423</v>
      </c>
      <c r="C22" s="66"/>
      <c r="D22" s="66"/>
      <c r="E22" s="66"/>
      <c r="F22" s="66">
        <v>0</v>
      </c>
      <c r="G22" s="66">
        <v>1100000</v>
      </c>
      <c r="H22" s="66">
        <v>1144000</v>
      </c>
      <c r="I22" s="66"/>
      <c r="J22" s="66">
        <v>0</v>
      </c>
      <c r="K22" s="66">
        <v>0</v>
      </c>
      <c r="L22" s="66">
        <v>0</v>
      </c>
      <c r="M22" s="66">
        <v>0</v>
      </c>
      <c r="N22" s="175">
        <v>10102007</v>
      </c>
      <c r="O22" s="177" t="s">
        <v>424</v>
      </c>
      <c r="P22" s="200">
        <f>+'GASTOS DE FTO 2024 - 2027 '!U21*0.4</f>
        <v>71502245.200000003</v>
      </c>
    </row>
    <row r="23" spans="1:21" ht="9.75" customHeight="1" x14ac:dyDescent="0.25">
      <c r="A23" s="173" t="s">
        <v>425</v>
      </c>
      <c r="B23" s="174" t="s">
        <v>426</v>
      </c>
      <c r="C23" s="66">
        <f t="shared" ref="C23:M23" si="6">+C24+C25</f>
        <v>241275959</v>
      </c>
      <c r="D23" s="66">
        <f t="shared" si="6"/>
        <v>337178916</v>
      </c>
      <c r="E23" s="66">
        <f t="shared" si="6"/>
        <v>665646676</v>
      </c>
      <c r="F23" s="66">
        <f t="shared" si="6"/>
        <v>361533269</v>
      </c>
      <c r="G23" s="66">
        <f t="shared" si="6"/>
        <v>537046129.5</v>
      </c>
      <c r="H23" s="66">
        <f t="shared" si="6"/>
        <v>712577335</v>
      </c>
      <c r="I23" s="66">
        <f t="shared" si="6"/>
        <v>957733513</v>
      </c>
      <c r="J23" s="66">
        <f t="shared" si="6"/>
        <v>1482446799</v>
      </c>
      <c r="K23" s="66">
        <f t="shared" si="6"/>
        <v>2029289124</v>
      </c>
      <c r="L23" s="66">
        <f t="shared" si="6"/>
        <v>940117247</v>
      </c>
      <c r="M23" s="66">
        <f t="shared" si="6"/>
        <v>1479386667</v>
      </c>
      <c r="N23" s="167">
        <v>10103</v>
      </c>
      <c r="O23" s="178" t="s">
        <v>427</v>
      </c>
      <c r="P23" s="170">
        <f>SUM(P24:P28)</f>
        <v>561546808</v>
      </c>
    </row>
    <row r="24" spans="1:21" ht="13.8" x14ac:dyDescent="0.3">
      <c r="A24" s="173" t="s">
        <v>428</v>
      </c>
      <c r="B24" s="174" t="s">
        <v>429</v>
      </c>
      <c r="C24" s="66">
        <v>124369975</v>
      </c>
      <c r="D24" s="66">
        <v>202778916</v>
      </c>
      <c r="E24" s="66">
        <v>376346676</v>
      </c>
      <c r="F24" s="66">
        <v>251995019</v>
      </c>
      <c r="G24" s="66">
        <v>272169439</v>
      </c>
      <c r="H24" s="66">
        <v>410600746</v>
      </c>
      <c r="I24" s="66">
        <v>590585049</v>
      </c>
      <c r="J24" s="66">
        <v>906167395</v>
      </c>
      <c r="K24" s="66">
        <v>1213118799</v>
      </c>
      <c r="L24" s="66">
        <v>638417247</v>
      </c>
      <c r="M24" s="66">
        <v>979576673</v>
      </c>
      <c r="N24" s="175">
        <v>1010300101</v>
      </c>
      <c r="O24" s="177" t="s">
        <v>430</v>
      </c>
      <c r="P24" s="200">
        <f>+'GASTOS DE FTO 2024 - 2027 '!U23*0.4</f>
        <v>158828970.40000001</v>
      </c>
    </row>
    <row r="25" spans="1:21" ht="13.8" hidden="1" x14ac:dyDescent="0.3">
      <c r="A25" s="173" t="s">
        <v>431</v>
      </c>
      <c r="B25" s="174" t="s">
        <v>432</v>
      </c>
      <c r="C25" s="66">
        <v>116905984</v>
      </c>
      <c r="D25" s="66">
        <v>134400000</v>
      </c>
      <c r="E25" s="66">
        <v>289300000</v>
      </c>
      <c r="F25" s="66">
        <v>109538250</v>
      </c>
      <c r="G25" s="66">
        <v>264876690.5</v>
      </c>
      <c r="H25" s="66">
        <v>301976589</v>
      </c>
      <c r="I25" s="66">
        <v>367148464</v>
      </c>
      <c r="J25" s="66">
        <v>576279404</v>
      </c>
      <c r="K25" s="66">
        <v>816170325</v>
      </c>
      <c r="L25" s="66">
        <v>301700000</v>
      </c>
      <c r="M25" s="66">
        <v>499809994</v>
      </c>
      <c r="N25" s="175">
        <v>1010300102</v>
      </c>
      <c r="O25" s="177" t="s">
        <v>433</v>
      </c>
      <c r="P25" s="174"/>
    </row>
    <row r="26" spans="1:21" ht="13.8" x14ac:dyDescent="0.3">
      <c r="A26" s="173" t="s">
        <v>434</v>
      </c>
      <c r="B26" s="174" t="s">
        <v>405</v>
      </c>
      <c r="C26" s="66" t="e">
        <f>+C27+#REF!+#REF!+#REF!</f>
        <v>#REF!</v>
      </c>
      <c r="D26" s="66" t="e">
        <f>+D27+#REF!+#REF!+#REF!</f>
        <v>#REF!</v>
      </c>
      <c r="E26" s="66" t="e">
        <f>+E27+#REF!+#REF!+#REF!</f>
        <v>#REF!</v>
      </c>
      <c r="F26" s="66" t="e">
        <f>+F27+#REF!+#REF!+#REF!</f>
        <v>#REF!</v>
      </c>
      <c r="G26" s="66" t="e">
        <f>+G27+#REF!+#REF!+#REF!</f>
        <v>#REF!</v>
      </c>
      <c r="H26" s="66" t="e">
        <f>+H27+#REF!+#REF!+#REF!</f>
        <v>#REF!</v>
      </c>
      <c r="I26" s="66" t="e">
        <f>+I27+#REF!+#REF!+#REF!</f>
        <v>#REF!</v>
      </c>
      <c r="J26" s="66" t="e">
        <f>+J27+#REF!+#REF!+#REF!</f>
        <v>#REF!</v>
      </c>
      <c r="K26" s="66" t="e">
        <f>+K27+#REF!+#REF!+#REF!</f>
        <v>#REF!</v>
      </c>
      <c r="L26" s="66" t="e">
        <f>+L27+#REF!+#REF!+#REF!</f>
        <v>#REF!</v>
      </c>
      <c r="M26" s="66" t="e">
        <f>+M27+#REF!</f>
        <v>#REF!</v>
      </c>
      <c r="N26" s="175">
        <v>1010300103</v>
      </c>
      <c r="O26" s="176" t="s">
        <v>435</v>
      </c>
      <c r="P26" s="199">
        <f>+'GASTOS DE FTO 2024 - 2027 '!U25*0.4</f>
        <v>17647663.199999999</v>
      </c>
    </row>
    <row r="27" spans="1:21" ht="13.8" x14ac:dyDescent="0.3">
      <c r="A27" s="173" t="s">
        <v>436</v>
      </c>
      <c r="B27" s="174" t="s">
        <v>437</v>
      </c>
      <c r="C27" s="66">
        <f t="shared" ref="C27:M27" si="7">SUM(C28:C30)</f>
        <v>372811154</v>
      </c>
      <c r="D27" s="66">
        <f t="shared" si="7"/>
        <v>394898325</v>
      </c>
      <c r="E27" s="66">
        <f t="shared" si="7"/>
        <v>429486790</v>
      </c>
      <c r="F27" s="66">
        <f t="shared" si="7"/>
        <v>454037957</v>
      </c>
      <c r="G27" s="66">
        <f t="shared" si="7"/>
        <v>458756535</v>
      </c>
      <c r="H27" s="66">
        <f t="shared" si="7"/>
        <v>489132767</v>
      </c>
      <c r="I27" s="66">
        <f t="shared" si="7"/>
        <v>503840833</v>
      </c>
      <c r="J27" s="66">
        <f t="shared" si="7"/>
        <v>534290463</v>
      </c>
      <c r="K27" s="66">
        <f t="shared" si="7"/>
        <v>586151703</v>
      </c>
      <c r="L27" s="66">
        <f t="shared" si="7"/>
        <v>693356095</v>
      </c>
      <c r="M27" s="66">
        <f t="shared" si="7"/>
        <v>745013487.95000005</v>
      </c>
      <c r="N27" s="175">
        <v>10103002</v>
      </c>
      <c r="O27" s="177" t="s">
        <v>438</v>
      </c>
      <c r="P27" s="200">
        <f>+'GASTOS DE FTO 2024 - 2027 '!U26*0.4</f>
        <v>347175552</v>
      </c>
    </row>
    <row r="28" spans="1:21" ht="13.8" x14ac:dyDescent="0.3">
      <c r="A28" s="173" t="s">
        <v>439</v>
      </c>
      <c r="B28" s="174" t="s">
        <v>440</v>
      </c>
      <c r="C28" s="66">
        <v>70935666</v>
      </c>
      <c r="D28" s="66">
        <f>9442484+70936000</f>
        <v>80378484</v>
      </c>
      <c r="E28" s="66">
        <f>47707986+31441478</f>
        <v>79149464</v>
      </c>
      <c r="F28" s="66">
        <v>82932100</v>
      </c>
      <c r="G28" s="66">
        <v>86319885</v>
      </c>
      <c r="H28" s="66">
        <v>91606759</v>
      </c>
      <c r="I28" s="66">
        <v>95164100</v>
      </c>
      <c r="J28" s="66">
        <v>100448900</v>
      </c>
      <c r="K28" s="66">
        <v>110093700</v>
      </c>
      <c r="L28" s="66">
        <v>134205440</v>
      </c>
      <c r="M28" s="66">
        <v>138336299.94999999</v>
      </c>
      <c r="N28" s="175">
        <v>10103016</v>
      </c>
      <c r="O28" s="176" t="s">
        <v>393</v>
      </c>
      <c r="P28" s="199">
        <f>+'GASTOS DE FTO 2024 - 2027 '!U27*0.4</f>
        <v>37894622.399999999</v>
      </c>
    </row>
    <row r="29" spans="1:21" x14ac:dyDescent="0.25">
      <c r="A29" s="173" t="s">
        <v>441</v>
      </c>
      <c r="B29" s="174" t="s">
        <v>442</v>
      </c>
      <c r="C29" s="66">
        <f>75256138+11495590+91360195</f>
        <v>178111923</v>
      </c>
      <c r="D29" s="66">
        <f>87270565+95256138</f>
        <v>182526703</v>
      </c>
      <c r="E29" s="66">
        <f>79332933+125357210</f>
        <v>204690143</v>
      </c>
      <c r="F29" s="66">
        <f>90000000+126181388</f>
        <v>216181388</v>
      </c>
      <c r="G29" s="66">
        <v>217994891</v>
      </c>
      <c r="H29" s="66">
        <v>232706072</v>
      </c>
      <c r="I29" s="66">
        <v>239154988</v>
      </c>
      <c r="J29" s="66">
        <v>253960806</v>
      </c>
      <c r="K29" s="66">
        <v>278665610</v>
      </c>
      <c r="L29" s="66">
        <v>327368407</v>
      </c>
      <c r="M29" s="66">
        <v>354363764</v>
      </c>
      <c r="N29" s="167">
        <v>2</v>
      </c>
      <c r="O29" s="179" t="s">
        <v>523</v>
      </c>
      <c r="P29" s="172">
        <f>+P30</f>
        <v>6698463944.836566</v>
      </c>
    </row>
    <row r="30" spans="1:21" x14ac:dyDescent="0.25">
      <c r="A30" s="173" t="s">
        <v>444</v>
      </c>
      <c r="B30" s="174" t="s">
        <v>445</v>
      </c>
      <c r="C30" s="66">
        <f>10825297+112938268</f>
        <v>123763565</v>
      </c>
      <c r="D30" s="66">
        <f>83932101+48061037</f>
        <v>131993138</v>
      </c>
      <c r="E30" s="66">
        <f>70813668+74833515</f>
        <v>145647183</v>
      </c>
      <c r="F30" s="66">
        <f>76500000+78424469</f>
        <v>154924469</v>
      </c>
      <c r="G30" s="66">
        <v>154441759</v>
      </c>
      <c r="H30" s="66">
        <v>164819936</v>
      </c>
      <c r="I30" s="66">
        <v>169521745</v>
      </c>
      <c r="J30" s="66">
        <v>179880757</v>
      </c>
      <c r="K30" s="66">
        <v>197392393</v>
      </c>
      <c r="L30" s="66">
        <v>231782248</v>
      </c>
      <c r="M30" s="66">
        <v>252313424</v>
      </c>
      <c r="N30" s="167">
        <v>201</v>
      </c>
      <c r="O30" s="178" t="s">
        <v>524</v>
      </c>
      <c r="P30" s="170">
        <f>+'INGRESOS 2024'!O70-'GOIS '!P4</f>
        <v>6698463944.836566</v>
      </c>
    </row>
    <row r="31" spans="1:21" x14ac:dyDescent="0.25">
      <c r="A31" s="599" t="s">
        <v>516</v>
      </c>
      <c r="B31" s="599"/>
      <c r="C31" s="180" t="e">
        <f>+#REF!+#REF!+C4</f>
        <v>#REF!</v>
      </c>
      <c r="D31" s="180" t="e">
        <f>+#REF!+#REF!+D4</f>
        <v>#REF!</v>
      </c>
      <c r="E31" s="180" t="e">
        <f>+#REF!+#REF!+E4</f>
        <v>#REF!</v>
      </c>
      <c r="F31" s="180" t="e">
        <f>+#REF!+#REF!+F4</f>
        <v>#REF!</v>
      </c>
      <c r="G31" s="180" t="e">
        <f>+#REF!+#REF!+G4</f>
        <v>#REF!</v>
      </c>
      <c r="H31" s="180" t="e">
        <f>+#REF!+#REF!+H4</f>
        <v>#REF!</v>
      </c>
      <c r="I31" s="180" t="e">
        <f>+#REF!+#REF!+I4</f>
        <v>#REF!</v>
      </c>
      <c r="J31" s="180" t="e">
        <f>+#REF!+#REF!+J4</f>
        <v>#REF!</v>
      </c>
      <c r="K31" s="180" t="e">
        <f>+#REF!+#REF!+K4</f>
        <v>#REF!</v>
      </c>
      <c r="L31" s="180" t="e">
        <f>+#REF!+#REF!+L4</f>
        <v>#REF!</v>
      </c>
      <c r="M31" s="180" t="e">
        <f>+#REF!+#REF!+M4</f>
        <v>#REF!</v>
      </c>
      <c r="N31" s="181"/>
      <c r="O31" s="182" t="s">
        <v>526</v>
      </c>
      <c r="P31" s="183">
        <f>+P29+P4</f>
        <v>12363481377.636566</v>
      </c>
    </row>
    <row r="32" spans="1:21" x14ac:dyDescent="0.25">
      <c r="U32" s="374"/>
    </row>
    <row r="33" spans="2:21" x14ac:dyDescent="0.25">
      <c r="B33" s="184"/>
    </row>
    <row r="34" spans="2:21" x14ac:dyDescent="0.25">
      <c r="M34" s="185"/>
      <c r="N34" s="186"/>
      <c r="O34" s="185"/>
      <c r="U34" s="91"/>
    </row>
    <row r="35" spans="2:21" x14ac:dyDescent="0.25">
      <c r="B35" s="184"/>
      <c r="C35" s="187"/>
      <c r="D35" s="187"/>
      <c r="E35" s="187"/>
      <c r="F35" s="187"/>
      <c r="G35" s="187"/>
      <c r="H35" s="187"/>
      <c r="I35" s="187"/>
      <c r="J35" s="187"/>
      <c r="K35" s="187"/>
      <c r="L35" s="187"/>
      <c r="M35" s="188"/>
      <c r="N35" s="189"/>
      <c r="O35" s="188"/>
    </row>
    <row r="36" spans="2:21" x14ac:dyDescent="0.25">
      <c r="C36" s="190"/>
      <c r="D36" s="190"/>
      <c r="E36" s="190"/>
      <c r="F36" s="190"/>
      <c r="G36" s="190"/>
      <c r="H36" s="190"/>
      <c r="I36" s="190"/>
      <c r="J36" s="190"/>
      <c r="K36" s="190"/>
      <c r="L36" s="190"/>
      <c r="M36" s="190"/>
      <c r="N36" s="191"/>
      <c r="O36" s="190"/>
    </row>
    <row r="37" spans="2:21" x14ac:dyDescent="0.25">
      <c r="D37" s="192"/>
    </row>
    <row r="38" spans="2:21" x14ac:dyDescent="0.25">
      <c r="C38" s="187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93"/>
      <c r="O38" s="187"/>
    </row>
    <row r="40" spans="2:21" x14ac:dyDescent="0.25"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194"/>
      <c r="O40" s="91"/>
    </row>
    <row r="41" spans="2:21" x14ac:dyDescent="0.25"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194"/>
      <c r="O41" s="91"/>
    </row>
    <row r="42" spans="2:21" x14ac:dyDescent="0.25">
      <c r="C42" s="190"/>
      <c r="D42" s="190"/>
      <c r="E42" s="190"/>
      <c r="F42" s="190"/>
      <c r="G42" s="190"/>
      <c r="H42" s="190"/>
      <c r="I42" s="190"/>
      <c r="J42" s="190"/>
      <c r="K42" s="190"/>
      <c r="L42" s="190"/>
      <c r="M42" s="190"/>
      <c r="N42" s="191"/>
      <c r="O42" s="190"/>
    </row>
    <row r="44" spans="2:21" x14ac:dyDescent="0.25">
      <c r="C44" s="192"/>
      <c r="D44" s="192"/>
      <c r="E44" s="192"/>
      <c r="F44" s="192"/>
      <c r="G44" s="192"/>
      <c r="H44" s="192"/>
      <c r="I44" s="192"/>
      <c r="J44" s="192"/>
      <c r="K44" s="192"/>
      <c r="L44" s="192"/>
      <c r="M44" s="192"/>
      <c r="N44" s="195"/>
      <c r="O44" s="192"/>
    </row>
    <row r="45" spans="2:21" x14ac:dyDescent="0.25">
      <c r="C45" s="190"/>
      <c r="D45" s="190"/>
      <c r="E45" s="190"/>
      <c r="F45" s="190"/>
      <c r="G45" s="190"/>
      <c r="H45" s="190"/>
      <c r="I45" s="190"/>
      <c r="J45" s="190"/>
      <c r="K45" s="190"/>
      <c r="L45" s="190"/>
      <c r="M45" s="190"/>
      <c r="N45" s="191"/>
      <c r="O45" s="190"/>
    </row>
    <row r="47" spans="2:21" x14ac:dyDescent="0.25">
      <c r="C47" s="196"/>
      <c r="D47" s="196"/>
      <c r="E47" s="196"/>
      <c r="F47" s="196"/>
      <c r="G47" s="196"/>
      <c r="H47" s="196"/>
      <c r="I47" s="196"/>
      <c r="J47" s="196"/>
      <c r="K47" s="196"/>
    </row>
    <row r="48" spans="2:21" x14ac:dyDescent="0.25">
      <c r="C48" s="187"/>
      <c r="D48" s="187"/>
      <c r="E48" s="187"/>
      <c r="F48" s="187"/>
      <c r="G48" s="187"/>
      <c r="H48" s="187"/>
      <c r="I48" s="187"/>
      <c r="J48" s="187"/>
      <c r="K48" s="187"/>
      <c r="L48" s="187"/>
      <c r="M48" s="187"/>
      <c r="N48" s="193"/>
      <c r="O48" s="187"/>
    </row>
    <row r="49" spans="3:11" x14ac:dyDescent="0.25">
      <c r="C49" s="187"/>
      <c r="D49" s="187"/>
      <c r="E49" s="187"/>
      <c r="F49" s="187"/>
      <c r="G49" s="187"/>
      <c r="H49" s="187"/>
      <c r="I49" s="187"/>
      <c r="J49" s="187"/>
      <c r="K49" s="187"/>
    </row>
    <row r="59" spans="3:11" x14ac:dyDescent="0.25">
      <c r="C59" s="192"/>
      <c r="D59" s="192"/>
      <c r="E59" s="192"/>
      <c r="F59" s="192"/>
      <c r="G59" s="192"/>
      <c r="H59" s="192"/>
      <c r="I59" s="192"/>
      <c r="J59" s="192"/>
      <c r="K59" s="192"/>
    </row>
    <row r="60" spans="3:11" x14ac:dyDescent="0.25">
      <c r="C60" s="197"/>
      <c r="D60" s="197"/>
      <c r="E60" s="197"/>
      <c r="F60" s="197"/>
      <c r="G60" s="197"/>
      <c r="H60" s="197"/>
      <c r="I60" s="197"/>
      <c r="J60" s="197"/>
      <c r="K60" s="197"/>
    </row>
  </sheetData>
  <mergeCells count="17">
    <mergeCell ref="P1:P2"/>
    <mergeCell ref="M1:M2"/>
    <mergeCell ref="N1:N2"/>
    <mergeCell ref="O1:O2"/>
    <mergeCell ref="G1:G2"/>
    <mergeCell ref="H1:H2"/>
    <mergeCell ref="I1:I2"/>
    <mergeCell ref="J1:J2"/>
    <mergeCell ref="K1:K2"/>
    <mergeCell ref="L1:L2"/>
    <mergeCell ref="C1:C2"/>
    <mergeCell ref="D1:D2"/>
    <mergeCell ref="E1:E2"/>
    <mergeCell ref="F1:F2"/>
    <mergeCell ref="A31:B31"/>
    <mergeCell ref="A1:A2"/>
    <mergeCell ref="B1:B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013B6-421D-4126-848D-BFB210CD33E5}">
  <dimension ref="A1:F19"/>
  <sheetViews>
    <sheetView workbookViewId="0">
      <selection activeCell="A17" sqref="A17"/>
    </sheetView>
  </sheetViews>
  <sheetFormatPr baseColWidth="10" defaultColWidth="11.44140625" defaultRowHeight="18.75" customHeight="1" x14ac:dyDescent="0.25"/>
  <cols>
    <col min="1" max="1" width="36.44140625" style="511" bestFit="1" customWidth="1"/>
    <col min="2" max="6" width="19.6640625" style="511" bestFit="1" customWidth="1"/>
    <col min="7" max="16384" width="11.44140625" style="511"/>
  </cols>
  <sheetData>
    <row r="1" spans="1:6" ht="13.8" x14ac:dyDescent="0.25">
      <c r="A1" s="518" t="s">
        <v>620</v>
      </c>
      <c r="B1" s="518" t="s">
        <v>605</v>
      </c>
      <c r="C1" s="518" t="s">
        <v>617</v>
      </c>
      <c r="D1" s="518" t="s">
        <v>618</v>
      </c>
      <c r="E1" s="518" t="s">
        <v>619</v>
      </c>
      <c r="F1" s="518" t="s">
        <v>174</v>
      </c>
    </row>
    <row r="2" spans="1:6" ht="18.75" customHeight="1" x14ac:dyDescent="0.25">
      <c r="A2" s="521" t="s">
        <v>126</v>
      </c>
      <c r="B2" s="524">
        <f>+'GASTOS DE FTO 2024 - 2027 '!U57-'GASTOS DE FTO 2024 - 2027 '!U44-B6</f>
        <v>14175282355.902</v>
      </c>
      <c r="C2" s="524">
        <f>+'GASTOS DE FTO 2024 - 2027 '!V57-'GASTOS DE FTO 2024 - 2027 '!V44-C6</f>
        <v>14530620903.969692</v>
      </c>
      <c r="D2" s="524">
        <f>+'GASTOS DE FTO 2024 - 2027 '!W57-'GASTOS DE FTO 2024 - 2027 '!W44-D6</f>
        <v>15251243666.662758</v>
      </c>
      <c r="E2" s="524">
        <f>+'GASTOS DE FTO 2024 - 2027 '!X57-'GASTOS DE FTO 2024 - 2027 '!X44-E6</f>
        <v>16007836601.84037</v>
      </c>
      <c r="F2" s="524">
        <f>SUM(B2:E2)</f>
        <v>59964983528.374825</v>
      </c>
    </row>
    <row r="3" spans="1:6" ht="18.75" customHeight="1" x14ac:dyDescent="0.25">
      <c r="A3" s="522" t="s">
        <v>609</v>
      </c>
      <c r="B3" s="525">
        <f>+'GASTOS DE FTO 2024 - 2027 '!U44</f>
        <v>5614497520</v>
      </c>
      <c r="C3" s="525">
        <f>+'GASTOS DE FTO 2024 - 2027 '!V44</f>
        <v>5738794876.5540819</v>
      </c>
      <c r="D3" s="525">
        <f>+'GASTOS DE FTO 2024 - 2027 '!W44</f>
        <v>6026481200.1034069</v>
      </c>
      <c r="E3" s="525">
        <f>+'GASTOS DE FTO 2024 - 2027 '!X44</f>
        <v>6328685371.4246302</v>
      </c>
      <c r="F3" s="525">
        <f t="shared" ref="F3:F10" si="0">SUM(B3:E3)</f>
        <v>23708458968.082115</v>
      </c>
    </row>
    <row r="4" spans="1:6" ht="18.75" customHeight="1" x14ac:dyDescent="0.25">
      <c r="A4" s="521" t="s">
        <v>542</v>
      </c>
      <c r="B4" s="524">
        <f>+'DESTINACIONES 2024 '!K61</f>
        <v>13037543654.271999</v>
      </c>
      <c r="C4" s="524">
        <f>+'DESTINACIONES 2025'!K61</f>
        <v>14229650000</v>
      </c>
      <c r="D4" s="524">
        <f>+'DESTINACIONES 2026'!K61</f>
        <v>15612420000</v>
      </c>
      <c r="E4" s="524">
        <f>+'DESTINACIONES 2027'!K61</f>
        <v>17131457250</v>
      </c>
      <c r="F4" s="524">
        <f t="shared" si="0"/>
        <v>60011070904.272003</v>
      </c>
    </row>
    <row r="5" spans="1:6" ht="18.75" customHeight="1" x14ac:dyDescent="0.25">
      <c r="A5" s="522" t="s">
        <v>522</v>
      </c>
      <c r="B5" s="525">
        <f>+'DESTINACIONES 2024 '!E61</f>
        <v>12047212793.608629</v>
      </c>
      <c r="C5" s="525">
        <f>+'DESTINACIONES 2025'!E61</f>
        <v>12433149408.533649</v>
      </c>
      <c r="D5" s="525">
        <f>+'DESTINACIONES 2026'!E61</f>
        <v>13620601378.960539</v>
      </c>
      <c r="E5" s="525">
        <f>+'DESTINACIONES 2027'!E61</f>
        <v>14924005397.908792</v>
      </c>
      <c r="F5" s="525">
        <f t="shared" si="0"/>
        <v>53024968979.011612</v>
      </c>
    </row>
    <row r="6" spans="1:6" ht="18.75" customHeight="1" x14ac:dyDescent="0.25">
      <c r="A6" s="523" t="s">
        <v>613</v>
      </c>
      <c r="B6" s="524">
        <f>+'GASTOS DE FTO 2024 - 2027 '!U60</f>
        <v>3589004936.0979996</v>
      </c>
      <c r="C6" s="524">
        <f>+'GASTOS DE FTO 2024 - 2027 '!V60</f>
        <v>4299523625.5503082</v>
      </c>
      <c r="D6" s="524">
        <f>+'GASTOS DE FTO 2024 - 2027 '!W60</f>
        <v>4520408089.3332367</v>
      </c>
      <c r="E6" s="524">
        <f>+'GASTOS DE FTO 2024 - 2027 '!X60</f>
        <v>4554681224.3954735</v>
      </c>
      <c r="F6" s="524">
        <f t="shared" si="0"/>
        <v>16963617875.377018</v>
      </c>
    </row>
    <row r="7" spans="1:6" ht="18.75" customHeight="1" x14ac:dyDescent="0.25">
      <c r="A7" s="523" t="s">
        <v>610</v>
      </c>
      <c r="B7" s="524">
        <f>+B5-B6</f>
        <v>8458207857.5106297</v>
      </c>
      <c r="C7" s="524">
        <f t="shared" ref="C7:E7" si="1">+C5-C6</f>
        <v>8133625782.9833412</v>
      </c>
      <c r="D7" s="524">
        <f t="shared" si="1"/>
        <v>9100193289.6273022</v>
      </c>
      <c r="E7" s="524">
        <f t="shared" si="1"/>
        <v>10369324173.513319</v>
      </c>
      <c r="F7" s="524">
        <f t="shared" si="0"/>
        <v>36061351103.63459</v>
      </c>
    </row>
    <row r="8" spans="1:6" ht="18.75" customHeight="1" x14ac:dyDescent="0.25">
      <c r="A8" s="522" t="s">
        <v>611</v>
      </c>
      <c r="B8" s="525">
        <f>+'DESTINACIONES 2024 '!G61+'DESTINACIONES 2024 '!I61+'DESTINACIONES 2024 '!O61+'DESTINACIONES 2024 '!P61+'DESTINACIONES 2024 '!Q61</f>
        <v>95498452946.18367</v>
      </c>
      <c r="C8" s="525">
        <f>+'DESTINACIONES 2025'!G61+'DESTINACIONES 2025'!I61+'DESTINACIONES 2025'!O61+'DESTINACIONES 2025'!P61+'DESTINACIONES 2025'!Q61</f>
        <v>109016980319.70399</v>
      </c>
      <c r="D8" s="525">
        <f>+'DESTINACIONES 2026'!G61+'DESTINACIONES 2026'!I61+'DESTINACIONES 2026'!O61+'DESTINACIONES 2026'!P61+'DESTINACIONES 2026'!Q61</f>
        <v>118893644835.69107</v>
      </c>
      <c r="E8" s="525">
        <f>+'DESTINACIONES 2027'!G61+'DESTINACIONES 2027'!I61+'DESTINACIONES 2027'!O61+'DESTINACIONES 2027'!P61+'DESTINACIONES 2027'!Q61</f>
        <v>129706724127.47769</v>
      </c>
      <c r="F8" s="525">
        <f t="shared" si="0"/>
        <v>453115802229.0564</v>
      </c>
    </row>
    <row r="9" spans="1:6" ht="18.75" customHeight="1" x14ac:dyDescent="0.25">
      <c r="A9" s="521" t="s">
        <v>549</v>
      </c>
      <c r="B9" s="524">
        <f>+'DESTINACIONES 2024 '!N61</f>
        <v>11381976946</v>
      </c>
      <c r="C9" s="524">
        <f>+'DESTINACIONES 2025'!N61</f>
        <v>0</v>
      </c>
      <c r="D9" s="524">
        <f>+'DESTINACIONES 2026'!N61</f>
        <v>0</v>
      </c>
      <c r="E9" s="524">
        <f>+'DESTINACIONES 2027'!N61</f>
        <v>0</v>
      </c>
      <c r="F9" s="524">
        <f t="shared" si="0"/>
        <v>11381976946</v>
      </c>
    </row>
    <row r="10" spans="1:6" ht="18.75" customHeight="1" x14ac:dyDescent="0.25">
      <c r="A10" s="519" t="s">
        <v>612</v>
      </c>
      <c r="B10" s="520">
        <f>+B2+B3+B5+B8+B9+B4</f>
        <v>151754966215.96631</v>
      </c>
      <c r="C10" s="520">
        <f t="shared" ref="C10:E10" si="2">+C2+C3+C5+C8+C9+C4</f>
        <v>155949195508.76141</v>
      </c>
      <c r="D10" s="520">
        <f t="shared" si="2"/>
        <v>169404391081.41779</v>
      </c>
      <c r="E10" s="520">
        <f t="shared" si="2"/>
        <v>184098708748.65149</v>
      </c>
      <c r="F10" s="520">
        <f t="shared" si="0"/>
        <v>661207261554.797</v>
      </c>
    </row>
    <row r="11" spans="1:6" ht="18.75" customHeight="1" x14ac:dyDescent="0.25">
      <c r="C11" s="512"/>
    </row>
    <row r="12" spans="1:6" ht="18.75" customHeight="1" x14ac:dyDescent="0.25">
      <c r="A12" s="513"/>
      <c r="B12" s="514"/>
    </row>
    <row r="14" spans="1:6" ht="18.75" customHeight="1" x14ac:dyDescent="0.25">
      <c r="A14" s="515"/>
    </row>
    <row r="15" spans="1:6" ht="18.75" customHeight="1" x14ac:dyDescent="0.25">
      <c r="A15" s="515"/>
    </row>
    <row r="16" spans="1:6" ht="18.75" customHeight="1" x14ac:dyDescent="0.25">
      <c r="A16" s="516"/>
    </row>
    <row r="18" spans="2:2" ht="17.399999999999999" x14ac:dyDescent="0.3">
      <c r="B18" s="517"/>
    </row>
    <row r="19" spans="2:2" ht="13.8" x14ac:dyDescent="0.25"/>
  </sheetData>
  <pageMargins left="0.7" right="0.7" top="0.75" bottom="0.75" header="0.3" footer="0.3"/>
  <pageSetup paperSize="12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2D2D5-8B09-4324-A97F-5D3FE9FB24CF}">
  <sheetPr>
    <pageSetUpPr fitToPage="1"/>
  </sheetPr>
  <dimension ref="A1:EW87"/>
  <sheetViews>
    <sheetView topLeftCell="C1" zoomScaleNormal="100" workbookViewId="0">
      <selection activeCell="T1" sqref="T1:T3"/>
    </sheetView>
  </sheetViews>
  <sheetFormatPr baseColWidth="10" defaultRowHeight="13.2" x14ac:dyDescent="0.25"/>
  <cols>
    <col min="1" max="2" width="16.44140625" style="62" hidden="1" customWidth="1"/>
    <col min="3" max="3" width="37.5546875" style="79" customWidth="1"/>
    <col min="4" max="4" width="17.44140625" style="62" hidden="1" customWidth="1"/>
    <col min="5" max="5" width="19.5546875" style="62" hidden="1" customWidth="1"/>
    <col min="6" max="6" width="8.88671875" style="62" hidden="1" customWidth="1"/>
    <col min="7" max="7" width="17.33203125" style="62" hidden="1" customWidth="1"/>
    <col min="8" max="8" width="9.33203125" style="62" hidden="1" customWidth="1"/>
    <col min="9" max="9" width="18.33203125" style="62" customWidth="1"/>
    <col min="10" max="10" width="8.88671875" style="62" hidden="1" customWidth="1"/>
    <col min="11" max="11" width="19" style="62" hidden="1" customWidth="1"/>
    <col min="12" max="12" width="7.33203125" style="62" hidden="1" customWidth="1"/>
    <col min="13" max="13" width="20.109375" style="62" hidden="1" customWidth="1"/>
    <col min="14" max="14" width="6.33203125" style="62" hidden="1" customWidth="1"/>
    <col min="15" max="15" width="17.5546875" style="62" hidden="1" customWidth="1"/>
    <col min="16" max="16" width="6.33203125" style="62" hidden="1" customWidth="1"/>
    <col min="17" max="17" width="18" style="62" hidden="1" customWidth="1"/>
    <col min="18" max="18" width="7.33203125" style="62" hidden="1" customWidth="1"/>
    <col min="19" max="19" width="16.88671875" style="62" customWidth="1"/>
    <col min="20" max="20" width="18.5546875" style="62" customWidth="1"/>
    <col min="21" max="21" width="12.44140625" style="62" customWidth="1"/>
    <col min="22" max="72" width="11.5546875" style="62" customWidth="1"/>
    <col min="73" max="251" width="11.44140625" style="62"/>
    <col min="252" max="252" width="0" style="62" hidden="1" customWidth="1"/>
    <col min="253" max="253" width="31.5546875" style="62" customWidth="1"/>
    <col min="254" max="254" width="14.6640625" style="62" customWidth="1"/>
    <col min="255" max="507" width="11.44140625" style="62"/>
    <col min="508" max="508" width="0" style="62" hidden="1" customWidth="1"/>
    <col min="509" max="509" width="31.5546875" style="62" customWidth="1"/>
    <col min="510" max="510" width="14.6640625" style="62" customWidth="1"/>
    <col min="511" max="763" width="11.44140625" style="62"/>
    <col min="764" max="764" width="0" style="62" hidden="1" customWidth="1"/>
    <col min="765" max="765" width="31.5546875" style="62" customWidth="1"/>
    <col min="766" max="766" width="14.6640625" style="62" customWidth="1"/>
    <col min="767" max="1019" width="11.44140625" style="62"/>
    <col min="1020" max="1020" width="0" style="62" hidden="1" customWidth="1"/>
    <col min="1021" max="1021" width="31.5546875" style="62" customWidth="1"/>
    <col min="1022" max="1022" width="14.6640625" style="62" customWidth="1"/>
    <col min="1023" max="1275" width="11.44140625" style="62"/>
    <col min="1276" max="1276" width="0" style="62" hidden="1" customWidth="1"/>
    <col min="1277" max="1277" width="31.5546875" style="62" customWidth="1"/>
    <col min="1278" max="1278" width="14.6640625" style="62" customWidth="1"/>
    <col min="1279" max="1531" width="11.44140625" style="62"/>
    <col min="1532" max="1532" width="0" style="62" hidden="1" customWidth="1"/>
    <col min="1533" max="1533" width="31.5546875" style="62" customWidth="1"/>
    <col min="1534" max="1534" width="14.6640625" style="62" customWidth="1"/>
    <col min="1535" max="1787" width="11.44140625" style="62"/>
    <col min="1788" max="1788" width="0" style="62" hidden="1" customWidth="1"/>
    <col min="1789" max="1789" width="31.5546875" style="62" customWidth="1"/>
    <col min="1790" max="1790" width="14.6640625" style="62" customWidth="1"/>
    <col min="1791" max="2043" width="11.44140625" style="62"/>
    <col min="2044" max="2044" width="0" style="62" hidden="1" customWidth="1"/>
    <col min="2045" max="2045" width="31.5546875" style="62" customWidth="1"/>
    <col min="2046" max="2046" width="14.6640625" style="62" customWidth="1"/>
    <col min="2047" max="2299" width="11.44140625" style="62"/>
    <col min="2300" max="2300" width="0" style="62" hidden="1" customWidth="1"/>
    <col min="2301" max="2301" width="31.5546875" style="62" customWidth="1"/>
    <col min="2302" max="2302" width="14.6640625" style="62" customWidth="1"/>
    <col min="2303" max="2555" width="11.44140625" style="62"/>
    <col min="2556" max="2556" width="0" style="62" hidden="1" customWidth="1"/>
    <col min="2557" max="2557" width="31.5546875" style="62" customWidth="1"/>
    <col min="2558" max="2558" width="14.6640625" style="62" customWidth="1"/>
    <col min="2559" max="2811" width="11.44140625" style="62"/>
    <col min="2812" max="2812" width="0" style="62" hidden="1" customWidth="1"/>
    <col min="2813" max="2813" width="31.5546875" style="62" customWidth="1"/>
    <col min="2814" max="2814" width="14.6640625" style="62" customWidth="1"/>
    <col min="2815" max="3067" width="11.44140625" style="62"/>
    <col min="3068" max="3068" width="0" style="62" hidden="1" customWidth="1"/>
    <col min="3069" max="3069" width="31.5546875" style="62" customWidth="1"/>
    <col min="3070" max="3070" width="14.6640625" style="62" customWidth="1"/>
    <col min="3071" max="3323" width="11.44140625" style="62"/>
    <col min="3324" max="3324" width="0" style="62" hidden="1" customWidth="1"/>
    <col min="3325" max="3325" width="31.5546875" style="62" customWidth="1"/>
    <col min="3326" max="3326" width="14.6640625" style="62" customWidth="1"/>
    <col min="3327" max="3579" width="11.44140625" style="62"/>
    <col min="3580" max="3580" width="0" style="62" hidden="1" customWidth="1"/>
    <col min="3581" max="3581" width="31.5546875" style="62" customWidth="1"/>
    <col min="3582" max="3582" width="14.6640625" style="62" customWidth="1"/>
    <col min="3583" max="3835" width="11.44140625" style="62"/>
    <col min="3836" max="3836" width="0" style="62" hidden="1" customWidth="1"/>
    <col min="3837" max="3837" width="31.5546875" style="62" customWidth="1"/>
    <col min="3838" max="3838" width="14.6640625" style="62" customWidth="1"/>
    <col min="3839" max="4091" width="11.44140625" style="62"/>
    <col min="4092" max="4092" width="0" style="62" hidden="1" customWidth="1"/>
    <col min="4093" max="4093" width="31.5546875" style="62" customWidth="1"/>
    <col min="4094" max="4094" width="14.6640625" style="62" customWidth="1"/>
    <col min="4095" max="4347" width="11.44140625" style="62"/>
    <col min="4348" max="4348" width="0" style="62" hidden="1" customWidth="1"/>
    <col min="4349" max="4349" width="31.5546875" style="62" customWidth="1"/>
    <col min="4350" max="4350" width="14.6640625" style="62" customWidth="1"/>
    <col min="4351" max="4603" width="11.44140625" style="62"/>
    <col min="4604" max="4604" width="0" style="62" hidden="1" customWidth="1"/>
    <col min="4605" max="4605" width="31.5546875" style="62" customWidth="1"/>
    <col min="4606" max="4606" width="14.6640625" style="62" customWidth="1"/>
    <col min="4607" max="4859" width="11.44140625" style="62"/>
    <col min="4860" max="4860" width="0" style="62" hidden="1" customWidth="1"/>
    <col min="4861" max="4861" width="31.5546875" style="62" customWidth="1"/>
    <col min="4862" max="4862" width="14.6640625" style="62" customWidth="1"/>
    <col min="4863" max="5115" width="11.44140625" style="62"/>
    <col min="5116" max="5116" width="0" style="62" hidden="1" customWidth="1"/>
    <col min="5117" max="5117" width="31.5546875" style="62" customWidth="1"/>
    <col min="5118" max="5118" width="14.6640625" style="62" customWidth="1"/>
    <col min="5119" max="5371" width="11.44140625" style="62"/>
    <col min="5372" max="5372" width="0" style="62" hidden="1" customWidth="1"/>
    <col min="5373" max="5373" width="31.5546875" style="62" customWidth="1"/>
    <col min="5374" max="5374" width="14.6640625" style="62" customWidth="1"/>
    <col min="5375" max="5627" width="11.44140625" style="62"/>
    <col min="5628" max="5628" width="0" style="62" hidden="1" customWidth="1"/>
    <col min="5629" max="5629" width="31.5546875" style="62" customWidth="1"/>
    <col min="5630" max="5630" width="14.6640625" style="62" customWidth="1"/>
    <col min="5631" max="5883" width="11.44140625" style="62"/>
    <col min="5884" max="5884" width="0" style="62" hidden="1" customWidth="1"/>
    <col min="5885" max="5885" width="31.5546875" style="62" customWidth="1"/>
    <col min="5886" max="5886" width="14.6640625" style="62" customWidth="1"/>
    <col min="5887" max="6139" width="11.44140625" style="62"/>
    <col min="6140" max="6140" width="0" style="62" hidden="1" customWidth="1"/>
    <col min="6141" max="6141" width="31.5546875" style="62" customWidth="1"/>
    <col min="6142" max="6142" width="14.6640625" style="62" customWidth="1"/>
    <col min="6143" max="6395" width="11.44140625" style="62"/>
    <col min="6396" max="6396" width="0" style="62" hidden="1" customWidth="1"/>
    <col min="6397" max="6397" width="31.5546875" style="62" customWidth="1"/>
    <col min="6398" max="6398" width="14.6640625" style="62" customWidth="1"/>
    <col min="6399" max="6651" width="11.44140625" style="62"/>
    <col min="6652" max="6652" width="0" style="62" hidden="1" customWidth="1"/>
    <col min="6653" max="6653" width="31.5546875" style="62" customWidth="1"/>
    <col min="6654" max="6654" width="14.6640625" style="62" customWidth="1"/>
    <col min="6655" max="6907" width="11.44140625" style="62"/>
    <col min="6908" max="6908" width="0" style="62" hidden="1" customWidth="1"/>
    <col min="6909" max="6909" width="31.5546875" style="62" customWidth="1"/>
    <col min="6910" max="6910" width="14.6640625" style="62" customWidth="1"/>
    <col min="6911" max="7163" width="11.44140625" style="62"/>
    <col min="7164" max="7164" width="0" style="62" hidden="1" customWidth="1"/>
    <col min="7165" max="7165" width="31.5546875" style="62" customWidth="1"/>
    <col min="7166" max="7166" width="14.6640625" style="62" customWidth="1"/>
    <col min="7167" max="7419" width="11.44140625" style="62"/>
    <col min="7420" max="7420" width="0" style="62" hidden="1" customWidth="1"/>
    <col min="7421" max="7421" width="31.5546875" style="62" customWidth="1"/>
    <col min="7422" max="7422" width="14.6640625" style="62" customWidth="1"/>
    <col min="7423" max="7675" width="11.44140625" style="62"/>
    <col min="7676" max="7676" width="0" style="62" hidden="1" customWidth="1"/>
    <col min="7677" max="7677" width="31.5546875" style="62" customWidth="1"/>
    <col min="7678" max="7678" width="14.6640625" style="62" customWidth="1"/>
    <col min="7679" max="7931" width="11.44140625" style="62"/>
    <col min="7932" max="7932" width="0" style="62" hidden="1" customWidth="1"/>
    <col min="7933" max="7933" width="31.5546875" style="62" customWidth="1"/>
    <col min="7934" max="7934" width="14.6640625" style="62" customWidth="1"/>
    <col min="7935" max="8187" width="11.44140625" style="62"/>
    <col min="8188" max="8188" width="0" style="62" hidden="1" customWidth="1"/>
    <col min="8189" max="8189" width="31.5546875" style="62" customWidth="1"/>
    <col min="8190" max="8190" width="14.6640625" style="62" customWidth="1"/>
    <col min="8191" max="8443" width="11.44140625" style="62"/>
    <col min="8444" max="8444" width="0" style="62" hidden="1" customWidth="1"/>
    <col min="8445" max="8445" width="31.5546875" style="62" customWidth="1"/>
    <col min="8446" max="8446" width="14.6640625" style="62" customWidth="1"/>
    <col min="8447" max="8699" width="11.44140625" style="62"/>
    <col min="8700" max="8700" width="0" style="62" hidden="1" customWidth="1"/>
    <col min="8701" max="8701" width="31.5546875" style="62" customWidth="1"/>
    <col min="8702" max="8702" width="14.6640625" style="62" customWidth="1"/>
    <col min="8703" max="8955" width="11.44140625" style="62"/>
    <col min="8956" max="8956" width="0" style="62" hidden="1" customWidth="1"/>
    <col min="8957" max="8957" width="31.5546875" style="62" customWidth="1"/>
    <col min="8958" max="8958" width="14.6640625" style="62" customWidth="1"/>
    <col min="8959" max="9211" width="11.44140625" style="62"/>
    <col min="9212" max="9212" width="0" style="62" hidden="1" customWidth="1"/>
    <col min="9213" max="9213" width="31.5546875" style="62" customWidth="1"/>
    <col min="9214" max="9214" width="14.6640625" style="62" customWidth="1"/>
    <col min="9215" max="9467" width="11.44140625" style="62"/>
    <col min="9468" max="9468" width="0" style="62" hidden="1" customWidth="1"/>
    <col min="9469" max="9469" width="31.5546875" style="62" customWidth="1"/>
    <col min="9470" max="9470" width="14.6640625" style="62" customWidth="1"/>
    <col min="9471" max="9723" width="11.44140625" style="62"/>
    <col min="9724" max="9724" width="0" style="62" hidden="1" customWidth="1"/>
    <col min="9725" max="9725" width="31.5546875" style="62" customWidth="1"/>
    <col min="9726" max="9726" width="14.6640625" style="62" customWidth="1"/>
    <col min="9727" max="9979" width="11.44140625" style="62"/>
    <col min="9980" max="9980" width="0" style="62" hidden="1" customWidth="1"/>
    <col min="9981" max="9981" width="31.5546875" style="62" customWidth="1"/>
    <col min="9982" max="9982" width="14.6640625" style="62" customWidth="1"/>
    <col min="9983" max="10235" width="11.44140625" style="62"/>
    <col min="10236" max="10236" width="0" style="62" hidden="1" customWidth="1"/>
    <col min="10237" max="10237" width="31.5546875" style="62" customWidth="1"/>
    <col min="10238" max="10238" width="14.6640625" style="62" customWidth="1"/>
    <col min="10239" max="10491" width="11.44140625" style="62"/>
    <col min="10492" max="10492" width="0" style="62" hidden="1" customWidth="1"/>
    <col min="10493" max="10493" width="31.5546875" style="62" customWidth="1"/>
    <col min="10494" max="10494" width="14.6640625" style="62" customWidth="1"/>
    <col min="10495" max="10747" width="11.44140625" style="62"/>
    <col min="10748" max="10748" width="0" style="62" hidden="1" customWidth="1"/>
    <col min="10749" max="10749" width="31.5546875" style="62" customWidth="1"/>
    <col min="10750" max="10750" width="14.6640625" style="62" customWidth="1"/>
    <col min="10751" max="11003" width="11.44140625" style="62"/>
    <col min="11004" max="11004" width="0" style="62" hidden="1" customWidth="1"/>
    <col min="11005" max="11005" width="31.5546875" style="62" customWidth="1"/>
    <col min="11006" max="11006" width="14.6640625" style="62" customWidth="1"/>
    <col min="11007" max="11259" width="11.44140625" style="62"/>
    <col min="11260" max="11260" width="0" style="62" hidden="1" customWidth="1"/>
    <col min="11261" max="11261" width="31.5546875" style="62" customWidth="1"/>
    <col min="11262" max="11262" width="14.6640625" style="62" customWidth="1"/>
    <col min="11263" max="11515" width="11.44140625" style="62"/>
    <col min="11516" max="11516" width="0" style="62" hidden="1" customWidth="1"/>
    <col min="11517" max="11517" width="31.5546875" style="62" customWidth="1"/>
    <col min="11518" max="11518" width="14.6640625" style="62" customWidth="1"/>
    <col min="11519" max="11771" width="11.44140625" style="62"/>
    <col min="11772" max="11772" width="0" style="62" hidden="1" customWidth="1"/>
    <col min="11773" max="11773" width="31.5546875" style="62" customWidth="1"/>
    <col min="11774" max="11774" width="14.6640625" style="62" customWidth="1"/>
    <col min="11775" max="12027" width="11.44140625" style="62"/>
    <col min="12028" max="12028" width="0" style="62" hidden="1" customWidth="1"/>
    <col min="12029" max="12029" width="31.5546875" style="62" customWidth="1"/>
    <col min="12030" max="12030" width="14.6640625" style="62" customWidth="1"/>
    <col min="12031" max="12283" width="11.44140625" style="62"/>
    <col min="12284" max="12284" width="0" style="62" hidden="1" customWidth="1"/>
    <col min="12285" max="12285" width="31.5546875" style="62" customWidth="1"/>
    <col min="12286" max="12286" width="14.6640625" style="62" customWidth="1"/>
    <col min="12287" max="12539" width="11.44140625" style="62"/>
    <col min="12540" max="12540" width="0" style="62" hidden="1" customWidth="1"/>
    <col min="12541" max="12541" width="31.5546875" style="62" customWidth="1"/>
    <col min="12542" max="12542" width="14.6640625" style="62" customWidth="1"/>
    <col min="12543" max="12795" width="11.44140625" style="62"/>
    <col min="12796" max="12796" width="0" style="62" hidden="1" customWidth="1"/>
    <col min="12797" max="12797" width="31.5546875" style="62" customWidth="1"/>
    <col min="12798" max="12798" width="14.6640625" style="62" customWidth="1"/>
    <col min="12799" max="13051" width="11.44140625" style="62"/>
    <col min="13052" max="13052" width="0" style="62" hidden="1" customWidth="1"/>
    <col min="13053" max="13053" width="31.5546875" style="62" customWidth="1"/>
    <col min="13054" max="13054" width="14.6640625" style="62" customWidth="1"/>
    <col min="13055" max="13307" width="11.44140625" style="62"/>
    <col min="13308" max="13308" width="0" style="62" hidden="1" customWidth="1"/>
    <col min="13309" max="13309" width="31.5546875" style="62" customWidth="1"/>
    <col min="13310" max="13310" width="14.6640625" style="62" customWidth="1"/>
    <col min="13311" max="13563" width="11.44140625" style="62"/>
    <col min="13564" max="13564" width="0" style="62" hidden="1" customWidth="1"/>
    <col min="13565" max="13565" width="31.5546875" style="62" customWidth="1"/>
    <col min="13566" max="13566" width="14.6640625" style="62" customWidth="1"/>
    <col min="13567" max="13819" width="11.44140625" style="62"/>
    <col min="13820" max="13820" width="0" style="62" hidden="1" customWidth="1"/>
    <col min="13821" max="13821" width="31.5546875" style="62" customWidth="1"/>
    <col min="13822" max="13822" width="14.6640625" style="62" customWidth="1"/>
    <col min="13823" max="14075" width="11.44140625" style="62"/>
    <col min="14076" max="14076" width="0" style="62" hidden="1" customWidth="1"/>
    <col min="14077" max="14077" width="31.5546875" style="62" customWidth="1"/>
    <col min="14078" max="14078" width="14.6640625" style="62" customWidth="1"/>
    <col min="14079" max="14331" width="11.44140625" style="62"/>
    <col min="14332" max="14332" width="0" style="62" hidden="1" customWidth="1"/>
    <col min="14333" max="14333" width="31.5546875" style="62" customWidth="1"/>
    <col min="14334" max="14334" width="14.6640625" style="62" customWidth="1"/>
    <col min="14335" max="14587" width="11.44140625" style="62"/>
    <col min="14588" max="14588" width="0" style="62" hidden="1" customWidth="1"/>
    <col min="14589" max="14589" width="31.5546875" style="62" customWidth="1"/>
    <col min="14590" max="14590" width="14.6640625" style="62" customWidth="1"/>
    <col min="14591" max="14843" width="11.44140625" style="62"/>
    <col min="14844" max="14844" width="0" style="62" hidden="1" customWidth="1"/>
    <col min="14845" max="14845" width="31.5546875" style="62" customWidth="1"/>
    <col min="14846" max="14846" width="14.6640625" style="62" customWidth="1"/>
    <col min="14847" max="15099" width="11.44140625" style="62"/>
    <col min="15100" max="15100" width="0" style="62" hidden="1" customWidth="1"/>
    <col min="15101" max="15101" width="31.5546875" style="62" customWidth="1"/>
    <col min="15102" max="15102" width="14.6640625" style="62" customWidth="1"/>
    <col min="15103" max="15355" width="11.44140625" style="62"/>
    <col min="15356" max="15356" width="0" style="62" hidden="1" customWidth="1"/>
    <col min="15357" max="15357" width="31.5546875" style="62" customWidth="1"/>
    <col min="15358" max="15358" width="14.6640625" style="62" customWidth="1"/>
    <col min="15359" max="15611" width="11.44140625" style="62"/>
    <col min="15612" max="15612" width="0" style="62" hidden="1" customWidth="1"/>
    <col min="15613" max="15613" width="31.5546875" style="62" customWidth="1"/>
    <col min="15614" max="15614" width="14.6640625" style="62" customWidth="1"/>
    <col min="15615" max="15867" width="11.44140625" style="62"/>
    <col min="15868" max="15868" width="0" style="62" hidden="1" customWidth="1"/>
    <col min="15869" max="15869" width="31.5546875" style="62" customWidth="1"/>
    <col min="15870" max="15870" width="14.6640625" style="62" customWidth="1"/>
    <col min="15871" max="16123" width="11.44140625" style="62"/>
    <col min="16124" max="16124" width="0" style="62" hidden="1" customWidth="1"/>
    <col min="16125" max="16125" width="31.5546875" style="62" customWidth="1"/>
    <col min="16126" max="16126" width="14.6640625" style="62" customWidth="1"/>
    <col min="16127" max="16384" width="11.44140625" style="62"/>
  </cols>
  <sheetData>
    <row r="1" spans="1:153" s="94" customFormat="1" ht="22.5" customHeight="1" x14ac:dyDescent="0.2">
      <c r="A1" s="527" t="s">
        <v>0</v>
      </c>
      <c r="B1" s="527" t="s">
        <v>543</v>
      </c>
      <c r="C1" s="535" t="s">
        <v>1</v>
      </c>
      <c r="D1" s="526" t="s">
        <v>584</v>
      </c>
      <c r="E1" s="526" t="s">
        <v>547</v>
      </c>
      <c r="F1" s="536" t="s">
        <v>122</v>
      </c>
      <c r="G1" s="526" t="s">
        <v>568</v>
      </c>
      <c r="H1" s="534" t="s">
        <v>122</v>
      </c>
      <c r="I1" s="526" t="s">
        <v>548</v>
      </c>
      <c r="J1" s="530" t="s">
        <v>124</v>
      </c>
      <c r="K1" s="537" t="s">
        <v>125</v>
      </c>
      <c r="L1" s="538"/>
      <c r="M1" s="538"/>
      <c r="N1" s="538"/>
      <c r="O1" s="538"/>
      <c r="P1" s="538"/>
      <c r="Q1" s="538"/>
      <c r="R1" s="539"/>
      <c r="S1" s="301"/>
      <c r="T1" s="526" t="s">
        <v>591</v>
      </c>
      <c r="U1" s="526" t="s">
        <v>588</v>
      </c>
      <c r="V1" s="334"/>
      <c r="W1" s="334"/>
      <c r="X1" s="334"/>
      <c r="Y1" s="334"/>
      <c r="Z1" s="334"/>
      <c r="AA1" s="334"/>
      <c r="AB1" s="334"/>
      <c r="AC1" s="334"/>
      <c r="AD1" s="334"/>
      <c r="AE1" s="334"/>
      <c r="AF1" s="334"/>
      <c r="AG1" s="334"/>
      <c r="AH1" s="334"/>
      <c r="AI1" s="334"/>
      <c r="AJ1" s="334"/>
      <c r="AK1" s="334"/>
      <c r="AL1" s="334"/>
      <c r="AM1" s="334"/>
      <c r="AN1" s="334"/>
      <c r="AO1" s="334"/>
      <c r="AP1" s="334"/>
      <c r="AQ1" s="334"/>
      <c r="AR1" s="334"/>
      <c r="AS1" s="334"/>
      <c r="AT1" s="334"/>
      <c r="AU1" s="334"/>
      <c r="AV1" s="334"/>
      <c r="AW1" s="334"/>
      <c r="AX1" s="334"/>
      <c r="AY1" s="334"/>
      <c r="AZ1" s="334"/>
      <c r="BA1" s="334"/>
      <c r="BB1" s="334"/>
      <c r="BC1" s="334"/>
      <c r="BD1" s="334"/>
      <c r="BE1" s="334"/>
      <c r="BF1" s="334"/>
      <c r="BG1" s="334"/>
      <c r="BH1" s="334"/>
      <c r="BI1" s="334"/>
      <c r="BJ1" s="334"/>
      <c r="BK1" s="334"/>
      <c r="BL1" s="334"/>
      <c r="BM1" s="334"/>
      <c r="BN1" s="334"/>
      <c r="BO1" s="334"/>
      <c r="BP1" s="334"/>
      <c r="BQ1" s="334"/>
      <c r="BR1" s="334"/>
      <c r="BS1" s="334"/>
      <c r="BT1" s="334"/>
      <c r="BU1" s="334"/>
      <c r="BV1" s="334"/>
      <c r="BW1" s="334"/>
      <c r="BX1" s="334"/>
      <c r="BY1" s="334"/>
      <c r="BZ1" s="334"/>
      <c r="CA1" s="334"/>
      <c r="CB1" s="334"/>
      <c r="CC1" s="334"/>
      <c r="CD1" s="334"/>
      <c r="CE1" s="334"/>
      <c r="CF1" s="334"/>
      <c r="CG1" s="334"/>
      <c r="CH1" s="334"/>
      <c r="CI1" s="334"/>
      <c r="CJ1" s="334"/>
      <c r="CK1" s="334"/>
      <c r="CL1" s="334"/>
      <c r="CM1" s="334"/>
      <c r="CN1" s="334"/>
      <c r="CO1" s="334"/>
      <c r="CP1" s="334"/>
      <c r="CQ1" s="334"/>
      <c r="CR1" s="334"/>
      <c r="CS1" s="334"/>
      <c r="CT1" s="334"/>
      <c r="CU1" s="334"/>
      <c r="CV1" s="334"/>
      <c r="CW1" s="334"/>
      <c r="CX1" s="334"/>
      <c r="CY1" s="334"/>
      <c r="CZ1" s="334"/>
      <c r="DA1" s="334"/>
      <c r="DB1" s="334"/>
      <c r="DC1" s="334"/>
      <c r="DD1" s="334"/>
      <c r="DE1" s="334"/>
      <c r="DF1" s="334"/>
      <c r="DG1" s="334"/>
      <c r="DH1" s="334"/>
      <c r="DI1" s="334"/>
      <c r="DJ1" s="334"/>
      <c r="DK1" s="334"/>
      <c r="DL1" s="334"/>
      <c r="DM1" s="334"/>
      <c r="DN1" s="334"/>
      <c r="DO1" s="334"/>
      <c r="DP1" s="334"/>
      <c r="DQ1" s="334"/>
      <c r="DR1" s="334"/>
      <c r="DS1" s="334"/>
      <c r="DT1" s="334"/>
      <c r="DU1" s="334"/>
      <c r="DV1" s="334"/>
      <c r="DW1" s="334"/>
      <c r="DX1" s="334"/>
      <c r="DY1" s="334"/>
      <c r="DZ1" s="334"/>
      <c r="EA1" s="334"/>
      <c r="EB1" s="334"/>
      <c r="EC1" s="334"/>
      <c r="ED1" s="334"/>
      <c r="EE1" s="334"/>
      <c r="EF1" s="334"/>
      <c r="EG1" s="334"/>
      <c r="EH1" s="334"/>
      <c r="EI1" s="334"/>
      <c r="EJ1" s="334"/>
      <c r="EK1" s="334"/>
      <c r="EL1" s="334"/>
      <c r="EM1" s="334"/>
      <c r="EN1" s="334"/>
      <c r="EO1" s="334"/>
      <c r="EP1" s="334"/>
      <c r="EQ1" s="334"/>
      <c r="ER1" s="334"/>
      <c r="ES1" s="334"/>
      <c r="ET1" s="334"/>
      <c r="EU1" s="334"/>
      <c r="EV1" s="334"/>
      <c r="EW1" s="334"/>
    </row>
    <row r="2" spans="1:153" s="94" customFormat="1" ht="22.5" customHeight="1" x14ac:dyDescent="0.2">
      <c r="A2" s="528"/>
      <c r="B2" s="528"/>
      <c r="C2" s="535"/>
      <c r="D2" s="526"/>
      <c r="E2" s="526"/>
      <c r="F2" s="536"/>
      <c r="G2" s="526"/>
      <c r="H2" s="534"/>
      <c r="I2" s="526"/>
      <c r="J2" s="531"/>
      <c r="K2" s="533" t="s">
        <v>126</v>
      </c>
      <c r="L2" s="533"/>
      <c r="M2" s="533" t="s">
        <v>127</v>
      </c>
      <c r="N2" s="533"/>
      <c r="O2" s="533" t="s">
        <v>128</v>
      </c>
      <c r="P2" s="533"/>
      <c r="Q2" s="533"/>
      <c r="R2" s="533"/>
      <c r="S2" s="95"/>
      <c r="T2" s="526"/>
      <c r="U2" s="526"/>
      <c r="V2" s="334"/>
      <c r="W2" s="334"/>
      <c r="X2" s="334"/>
      <c r="Y2" s="334"/>
      <c r="Z2" s="334"/>
      <c r="AA2" s="334"/>
      <c r="AB2" s="334"/>
      <c r="AC2" s="334"/>
      <c r="AD2" s="334"/>
      <c r="AE2" s="334"/>
      <c r="AF2" s="334"/>
      <c r="AG2" s="334"/>
      <c r="AH2" s="334"/>
      <c r="AI2" s="334"/>
      <c r="AJ2" s="334"/>
      <c r="AK2" s="334"/>
      <c r="AL2" s="334"/>
      <c r="AM2" s="334"/>
      <c r="AN2" s="334"/>
      <c r="AO2" s="334"/>
      <c r="AP2" s="334"/>
      <c r="AQ2" s="334"/>
      <c r="AR2" s="334"/>
      <c r="AS2" s="334"/>
      <c r="AT2" s="334"/>
      <c r="AU2" s="334"/>
      <c r="AV2" s="334"/>
      <c r="AW2" s="334"/>
      <c r="AX2" s="334"/>
      <c r="AY2" s="334"/>
      <c r="AZ2" s="334"/>
      <c r="BA2" s="334"/>
      <c r="BB2" s="334"/>
      <c r="BC2" s="334"/>
      <c r="BD2" s="334"/>
      <c r="BE2" s="334"/>
      <c r="BF2" s="334"/>
      <c r="BG2" s="334"/>
      <c r="BH2" s="334"/>
      <c r="BI2" s="334"/>
      <c r="BJ2" s="334"/>
      <c r="BK2" s="334"/>
      <c r="BL2" s="334"/>
      <c r="BM2" s="334"/>
      <c r="BN2" s="334"/>
      <c r="BO2" s="334"/>
      <c r="BP2" s="334"/>
      <c r="BQ2" s="334"/>
      <c r="BR2" s="334"/>
      <c r="BS2" s="334"/>
      <c r="BT2" s="334"/>
      <c r="BU2" s="334"/>
      <c r="BV2" s="334"/>
      <c r="BW2" s="334"/>
      <c r="BX2" s="334"/>
      <c r="BY2" s="334"/>
      <c r="BZ2" s="334"/>
      <c r="CA2" s="334"/>
      <c r="CB2" s="334"/>
      <c r="CC2" s="334"/>
      <c r="CD2" s="334"/>
      <c r="CE2" s="334"/>
      <c r="CF2" s="334"/>
      <c r="CG2" s="334"/>
      <c r="CH2" s="334"/>
      <c r="CI2" s="334"/>
      <c r="CJ2" s="334"/>
      <c r="CK2" s="334"/>
      <c r="CL2" s="334"/>
      <c r="CM2" s="334"/>
      <c r="CN2" s="334"/>
      <c r="CO2" s="334"/>
      <c r="CP2" s="334"/>
      <c r="CQ2" s="334"/>
      <c r="CR2" s="334"/>
      <c r="CS2" s="334"/>
      <c r="CT2" s="334"/>
      <c r="CU2" s="334"/>
      <c r="CV2" s="334"/>
      <c r="CW2" s="334"/>
      <c r="CX2" s="334"/>
      <c r="CY2" s="334"/>
      <c r="CZ2" s="334"/>
      <c r="DA2" s="334"/>
      <c r="DB2" s="334"/>
      <c r="DC2" s="334"/>
      <c r="DD2" s="334"/>
      <c r="DE2" s="334"/>
      <c r="DF2" s="334"/>
      <c r="DG2" s="334"/>
      <c r="DH2" s="334"/>
      <c r="DI2" s="334"/>
      <c r="DJ2" s="334"/>
      <c r="DK2" s="334"/>
      <c r="DL2" s="334"/>
      <c r="DM2" s="334"/>
      <c r="DN2" s="334"/>
      <c r="DO2" s="334"/>
      <c r="DP2" s="334"/>
      <c r="DQ2" s="334"/>
      <c r="DR2" s="334"/>
      <c r="DS2" s="334"/>
      <c r="DT2" s="334"/>
      <c r="DU2" s="334"/>
      <c r="DV2" s="334"/>
      <c r="DW2" s="334"/>
      <c r="DX2" s="334"/>
      <c r="DY2" s="334"/>
      <c r="DZ2" s="334"/>
      <c r="EA2" s="334"/>
      <c r="EB2" s="334"/>
      <c r="EC2" s="334"/>
      <c r="ED2" s="334"/>
      <c r="EE2" s="334"/>
      <c r="EF2" s="334"/>
      <c r="EG2" s="334"/>
      <c r="EH2" s="334"/>
      <c r="EI2" s="334"/>
      <c r="EJ2" s="334"/>
      <c r="EK2" s="334"/>
      <c r="EL2" s="334"/>
      <c r="EM2" s="334"/>
      <c r="EN2" s="334"/>
      <c r="EO2" s="334"/>
      <c r="EP2" s="334"/>
      <c r="EQ2" s="334"/>
      <c r="ER2" s="334"/>
      <c r="ES2" s="334"/>
      <c r="ET2" s="334"/>
      <c r="EU2" s="334"/>
      <c r="EV2" s="334"/>
      <c r="EW2" s="334"/>
    </row>
    <row r="3" spans="1:153" s="94" customFormat="1" ht="18.75" customHeight="1" x14ac:dyDescent="0.2">
      <c r="A3" s="529"/>
      <c r="B3" s="529"/>
      <c r="C3" s="535"/>
      <c r="D3" s="526"/>
      <c r="E3" s="526"/>
      <c r="F3" s="536"/>
      <c r="G3" s="526"/>
      <c r="H3" s="534"/>
      <c r="I3" s="526"/>
      <c r="J3" s="532"/>
      <c r="K3" s="527" t="s">
        <v>129</v>
      </c>
      <c r="L3" s="540" t="s">
        <v>122</v>
      </c>
      <c r="M3" s="527" t="s">
        <v>129</v>
      </c>
      <c r="N3" s="540" t="s">
        <v>122</v>
      </c>
      <c r="O3" s="533" t="s">
        <v>130</v>
      </c>
      <c r="P3" s="533"/>
      <c r="Q3" s="533" t="s">
        <v>131</v>
      </c>
      <c r="R3" s="533"/>
      <c r="S3" s="95"/>
      <c r="T3" s="526"/>
      <c r="U3" s="526"/>
      <c r="V3" s="334"/>
      <c r="W3" s="334"/>
      <c r="X3" s="334"/>
      <c r="Y3" s="334"/>
      <c r="Z3" s="334"/>
      <c r="AA3" s="334"/>
      <c r="AB3" s="334"/>
      <c r="AC3" s="334"/>
      <c r="AD3" s="334"/>
      <c r="AE3" s="334"/>
      <c r="AF3" s="334"/>
      <c r="AG3" s="334"/>
      <c r="AH3" s="334"/>
      <c r="AI3" s="334"/>
      <c r="AJ3" s="334"/>
      <c r="AK3" s="334"/>
      <c r="AL3" s="334"/>
      <c r="AM3" s="334"/>
      <c r="AN3" s="334"/>
      <c r="AO3" s="334"/>
      <c r="AP3" s="334"/>
      <c r="AQ3" s="334"/>
      <c r="AR3" s="334"/>
      <c r="AS3" s="334"/>
      <c r="AT3" s="334"/>
      <c r="AU3" s="334"/>
      <c r="AV3" s="334"/>
      <c r="AW3" s="334"/>
      <c r="AX3" s="334"/>
      <c r="AY3" s="334"/>
      <c r="AZ3" s="334"/>
      <c r="BA3" s="334"/>
      <c r="BB3" s="334"/>
      <c r="BC3" s="334"/>
      <c r="BD3" s="334"/>
      <c r="BE3" s="334"/>
      <c r="BF3" s="334"/>
      <c r="BG3" s="334"/>
      <c r="BH3" s="334"/>
      <c r="BI3" s="334"/>
      <c r="BJ3" s="334"/>
      <c r="BK3" s="334"/>
      <c r="BL3" s="334"/>
      <c r="BM3" s="334"/>
      <c r="BN3" s="334"/>
      <c r="BO3" s="334"/>
      <c r="BP3" s="334"/>
      <c r="BQ3" s="334"/>
      <c r="BR3" s="334"/>
      <c r="BS3" s="334"/>
      <c r="BT3" s="334"/>
      <c r="BU3" s="334"/>
      <c r="BV3" s="334"/>
      <c r="BW3" s="334"/>
      <c r="BX3" s="334"/>
      <c r="BY3" s="334"/>
      <c r="BZ3" s="334"/>
      <c r="CA3" s="334"/>
      <c r="CB3" s="334"/>
      <c r="CC3" s="334"/>
      <c r="CD3" s="334"/>
      <c r="CE3" s="334"/>
      <c r="CF3" s="334"/>
      <c r="CG3" s="334"/>
      <c r="CH3" s="334"/>
      <c r="CI3" s="334"/>
      <c r="CJ3" s="334"/>
      <c r="CK3" s="334"/>
      <c r="CL3" s="334"/>
      <c r="CM3" s="334"/>
      <c r="CN3" s="334"/>
      <c r="CO3" s="334"/>
      <c r="CP3" s="334"/>
      <c r="CQ3" s="334"/>
      <c r="CR3" s="334"/>
      <c r="CS3" s="334"/>
      <c r="CT3" s="334"/>
      <c r="CU3" s="334"/>
      <c r="CV3" s="334"/>
      <c r="CW3" s="334"/>
      <c r="CX3" s="334"/>
      <c r="CY3" s="334"/>
      <c r="CZ3" s="334"/>
      <c r="DA3" s="334"/>
      <c r="DB3" s="334"/>
      <c r="DC3" s="334"/>
      <c r="DD3" s="334"/>
      <c r="DE3" s="334"/>
      <c r="DF3" s="334"/>
      <c r="DG3" s="334"/>
      <c r="DH3" s="334"/>
      <c r="DI3" s="334"/>
      <c r="DJ3" s="334"/>
      <c r="DK3" s="334"/>
      <c r="DL3" s="334"/>
      <c r="DM3" s="334"/>
      <c r="DN3" s="334"/>
      <c r="DO3" s="334"/>
      <c r="DP3" s="334"/>
      <c r="DQ3" s="334"/>
      <c r="DR3" s="334"/>
      <c r="DS3" s="334"/>
      <c r="DT3" s="334"/>
      <c r="DU3" s="334"/>
      <c r="DV3" s="334"/>
      <c r="DW3" s="334"/>
      <c r="DX3" s="334"/>
      <c r="DY3" s="334"/>
      <c r="DZ3" s="334"/>
      <c r="EA3" s="334"/>
      <c r="EB3" s="334"/>
      <c r="EC3" s="334"/>
      <c r="ED3" s="334"/>
      <c r="EE3" s="334"/>
      <c r="EF3" s="334"/>
      <c r="EG3" s="334"/>
      <c r="EH3" s="334"/>
      <c r="EI3" s="334"/>
      <c r="EJ3" s="334"/>
      <c r="EK3" s="334"/>
      <c r="EL3" s="334"/>
      <c r="EM3" s="334"/>
      <c r="EN3" s="334"/>
      <c r="EO3" s="334"/>
      <c r="EP3" s="334"/>
      <c r="EQ3" s="334"/>
      <c r="ER3" s="334"/>
      <c r="ES3" s="334"/>
      <c r="ET3" s="334"/>
      <c r="EU3" s="334"/>
      <c r="EV3" s="334"/>
      <c r="EW3" s="334"/>
    </row>
    <row r="4" spans="1:153" s="94" customFormat="1" ht="18.75" hidden="1" customHeight="1" x14ac:dyDescent="0.2">
      <c r="A4" s="93"/>
      <c r="B4" s="221"/>
      <c r="C4" s="251"/>
      <c r="D4" s="252"/>
      <c r="E4" s="252"/>
      <c r="F4" s="253"/>
      <c r="G4" s="252"/>
      <c r="H4" s="254"/>
      <c r="I4" s="252"/>
      <c r="J4" s="96"/>
      <c r="K4" s="529"/>
      <c r="L4" s="541"/>
      <c r="M4" s="529"/>
      <c r="N4" s="541"/>
      <c r="O4" s="95" t="s">
        <v>129</v>
      </c>
      <c r="P4" s="99" t="s">
        <v>122</v>
      </c>
      <c r="Q4" s="95" t="s">
        <v>129</v>
      </c>
      <c r="R4" s="99" t="s">
        <v>122</v>
      </c>
      <c r="S4" s="99"/>
      <c r="T4" s="252"/>
      <c r="U4" s="93"/>
      <c r="V4" s="334"/>
      <c r="W4" s="334"/>
      <c r="X4" s="334"/>
      <c r="Y4" s="334"/>
      <c r="Z4" s="334"/>
      <c r="AA4" s="334"/>
      <c r="AB4" s="334"/>
      <c r="AC4" s="334"/>
      <c r="AD4" s="334"/>
      <c r="AE4" s="334"/>
      <c r="AF4" s="334"/>
      <c r="AG4" s="334"/>
      <c r="AH4" s="334"/>
      <c r="AI4" s="334"/>
      <c r="AJ4" s="334"/>
      <c r="AK4" s="334"/>
      <c r="AL4" s="334"/>
      <c r="AM4" s="334"/>
      <c r="AN4" s="334"/>
      <c r="AO4" s="334"/>
      <c r="AP4" s="334"/>
      <c r="AQ4" s="334"/>
      <c r="AR4" s="334"/>
      <c r="AS4" s="334"/>
      <c r="AT4" s="334"/>
      <c r="AU4" s="334"/>
      <c r="AV4" s="334"/>
      <c r="AW4" s="334"/>
      <c r="AX4" s="334"/>
      <c r="AY4" s="334"/>
      <c r="AZ4" s="334"/>
      <c r="BA4" s="334"/>
      <c r="BB4" s="334"/>
      <c r="BC4" s="334"/>
      <c r="BD4" s="334"/>
      <c r="BE4" s="334"/>
      <c r="BF4" s="334"/>
      <c r="BG4" s="334"/>
      <c r="BH4" s="334"/>
      <c r="BI4" s="334"/>
      <c r="BJ4" s="334"/>
      <c r="BK4" s="334"/>
      <c r="BL4" s="334"/>
      <c r="BM4" s="334"/>
      <c r="BN4" s="334"/>
      <c r="BO4" s="334"/>
      <c r="BP4" s="334"/>
      <c r="BQ4" s="334"/>
      <c r="BR4" s="334"/>
      <c r="BS4" s="334"/>
      <c r="BT4" s="334"/>
      <c r="BU4" s="334"/>
      <c r="BV4" s="334"/>
      <c r="BW4" s="334"/>
      <c r="BX4" s="334"/>
      <c r="BY4" s="334"/>
      <c r="BZ4" s="334"/>
      <c r="CA4" s="334"/>
      <c r="CB4" s="334"/>
      <c r="CC4" s="334"/>
      <c r="CD4" s="334"/>
      <c r="CE4" s="334"/>
      <c r="CF4" s="334"/>
      <c r="CG4" s="334"/>
      <c r="CH4" s="334"/>
      <c r="CI4" s="334"/>
      <c r="CJ4" s="334"/>
      <c r="CK4" s="334"/>
      <c r="CL4" s="334"/>
      <c r="CM4" s="334"/>
      <c r="CN4" s="334"/>
      <c r="CO4" s="334"/>
      <c r="CP4" s="334"/>
      <c r="CQ4" s="334"/>
      <c r="CR4" s="334"/>
      <c r="CS4" s="334"/>
      <c r="CT4" s="334"/>
      <c r="CU4" s="334"/>
      <c r="CV4" s="334"/>
      <c r="CW4" s="334"/>
      <c r="CX4" s="334"/>
      <c r="CY4" s="334"/>
      <c r="CZ4" s="334"/>
      <c r="DA4" s="334"/>
      <c r="DB4" s="334"/>
      <c r="DC4" s="334"/>
      <c r="DD4" s="334"/>
      <c r="DE4" s="334"/>
      <c r="DF4" s="334"/>
      <c r="DG4" s="334"/>
      <c r="DH4" s="334"/>
      <c r="DI4" s="334"/>
      <c r="DJ4" s="334"/>
      <c r="DK4" s="334"/>
      <c r="DL4" s="334"/>
      <c r="DM4" s="334"/>
      <c r="DN4" s="334"/>
      <c r="DO4" s="334"/>
      <c r="DP4" s="334"/>
      <c r="DQ4" s="334"/>
      <c r="DR4" s="334"/>
      <c r="DS4" s="334"/>
      <c r="DT4" s="334"/>
      <c r="DU4" s="334"/>
      <c r="DV4" s="334"/>
      <c r="DW4" s="334"/>
      <c r="DX4" s="334"/>
      <c r="DY4" s="334"/>
      <c r="DZ4" s="334"/>
      <c r="EA4" s="334"/>
      <c r="EB4" s="334"/>
      <c r="EC4" s="334"/>
      <c r="ED4" s="334"/>
      <c r="EE4" s="334"/>
      <c r="EF4" s="334"/>
      <c r="EG4" s="334"/>
      <c r="EH4" s="334"/>
      <c r="EI4" s="334"/>
      <c r="EJ4" s="334"/>
      <c r="EK4" s="334"/>
      <c r="EL4" s="334"/>
      <c r="EM4" s="334"/>
      <c r="EN4" s="334"/>
      <c r="EO4" s="334"/>
      <c r="EP4" s="334"/>
      <c r="EQ4" s="334"/>
      <c r="ER4" s="334"/>
      <c r="ES4" s="334"/>
      <c r="ET4" s="334"/>
      <c r="EU4" s="334"/>
      <c r="EV4" s="334"/>
      <c r="EW4" s="334"/>
    </row>
    <row r="5" spans="1:153" x14ac:dyDescent="0.25">
      <c r="A5" s="60" t="s">
        <v>2</v>
      </c>
      <c r="B5" s="223"/>
      <c r="C5" s="61" t="s">
        <v>3</v>
      </c>
      <c r="D5" s="310">
        <f>+D6+D58</f>
        <v>148929289342</v>
      </c>
      <c r="E5" s="310">
        <f t="shared" ref="E5:G5" si="0">+E6+E58</f>
        <v>134173484797.73001</v>
      </c>
      <c r="F5" s="311">
        <f>+E5/D5</f>
        <v>0.90092073487045998</v>
      </c>
      <c r="G5" s="310">
        <f t="shared" si="0"/>
        <v>142576598773.89966</v>
      </c>
      <c r="H5" s="312">
        <f>+G5/D5</f>
        <v>0.95734424977002286</v>
      </c>
      <c r="I5" s="313">
        <f t="shared" ref="I5:K5" si="1">+I6+I58</f>
        <v>141260013005.34863</v>
      </c>
      <c r="J5" s="89">
        <f>+(I5-G5)/G5</f>
        <v>-9.2342346491157985E-3</v>
      </c>
      <c r="K5" s="86">
        <f t="shared" si="1"/>
        <v>11494506268.421753</v>
      </c>
      <c r="L5" s="97"/>
      <c r="M5" s="86">
        <f t="shared" ref="M5" si="2">+M6+M58</f>
        <v>5614497519.9055462</v>
      </c>
      <c r="N5" s="97"/>
      <c r="O5" s="86">
        <f t="shared" ref="O5" si="3">+O6+O58</f>
        <v>12363481377.636566</v>
      </c>
      <c r="P5" s="97"/>
      <c r="Q5" s="86">
        <f t="shared" ref="Q5" si="4">+Q6+Q58</f>
        <v>111787527839.38477</v>
      </c>
      <c r="R5" s="97"/>
      <c r="S5" s="97"/>
      <c r="T5" s="310">
        <f t="shared" ref="T5" si="5">+T6+T58</f>
        <v>118463943487.25549</v>
      </c>
      <c r="U5" s="339">
        <f>+I5/G5*100-100</f>
        <v>-0.92342346491157912</v>
      </c>
    </row>
    <row r="6" spans="1:153" s="64" customFormat="1" x14ac:dyDescent="0.25">
      <c r="A6" s="63" t="s">
        <v>4</v>
      </c>
      <c r="B6" s="224"/>
      <c r="C6" s="63" t="s">
        <v>5</v>
      </c>
      <c r="D6" s="314">
        <f>D7+D12</f>
        <v>131210369257</v>
      </c>
      <c r="E6" s="314">
        <f t="shared" ref="E6:G6" si="6">E7+E12</f>
        <v>113166935770.85001</v>
      </c>
      <c r="F6" s="311">
        <f t="shared" ref="F6:F70" si="7">+E6/D6</f>
        <v>0.86248469851640641</v>
      </c>
      <c r="G6" s="314">
        <f t="shared" si="6"/>
        <v>119689977122.44366</v>
      </c>
      <c r="H6" s="312">
        <f t="shared" ref="H6:H68" si="8">+G6/D6</f>
        <v>0.91219907237673037</v>
      </c>
      <c r="I6" s="315">
        <f t="shared" ref="I6:K6" si="9">I7+I12</f>
        <v>140755637685.51984</v>
      </c>
      <c r="J6" s="89">
        <f t="shared" ref="J6:J68" si="10">+(I6-G6)/G6</f>
        <v>0.17600187642717868</v>
      </c>
      <c r="K6" s="84">
        <f t="shared" si="9"/>
        <v>11494506268.421753</v>
      </c>
      <c r="L6" s="97"/>
      <c r="M6" s="84">
        <f t="shared" ref="M6" si="11">M7+M12</f>
        <v>5614497519.9055462</v>
      </c>
      <c r="N6" s="97"/>
      <c r="O6" s="84">
        <f t="shared" ref="O6" si="12">O7+O12</f>
        <v>12313043845.653687</v>
      </c>
      <c r="P6" s="97"/>
      <c r="Q6" s="84">
        <f t="shared" ref="Q6" si="13">Q7+Q12</f>
        <v>111333590051.53885</v>
      </c>
      <c r="R6" s="97"/>
      <c r="S6" s="97"/>
      <c r="T6" s="314">
        <f t="shared" ref="T6" si="14">T7+T12</f>
        <v>117919218141.84039</v>
      </c>
      <c r="U6" s="340">
        <f t="shared" ref="U6:U69" si="15">+I6/G6*100-100</f>
        <v>17.60018764271787</v>
      </c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</row>
    <row r="7" spans="1:153" x14ac:dyDescent="0.25">
      <c r="A7" s="65" t="s">
        <v>6</v>
      </c>
      <c r="B7" s="225"/>
      <c r="C7" s="66" t="s">
        <v>7</v>
      </c>
      <c r="D7" s="316">
        <f>+D8</f>
        <v>15911638600</v>
      </c>
      <c r="E7" s="316">
        <f t="shared" ref="E7:T8" si="16">+E8</f>
        <v>11965599195.58</v>
      </c>
      <c r="F7" s="311">
        <f t="shared" si="7"/>
        <v>0.75200295182546439</v>
      </c>
      <c r="G7" s="316">
        <f t="shared" si="16"/>
        <v>14007338999.320999</v>
      </c>
      <c r="H7" s="312">
        <f t="shared" si="8"/>
        <v>0.88032033352749728</v>
      </c>
      <c r="I7" s="317">
        <f t="shared" si="16"/>
        <v>16422288760.272699</v>
      </c>
      <c r="J7" s="89">
        <f t="shared" si="10"/>
        <v>0.17240603379905092</v>
      </c>
      <c r="K7" s="85">
        <f t="shared" si="16"/>
        <v>0</v>
      </c>
      <c r="L7" s="97"/>
      <c r="M7" s="85">
        <f t="shared" si="16"/>
        <v>0</v>
      </c>
      <c r="N7" s="97"/>
      <c r="O7" s="85">
        <f t="shared" si="16"/>
        <v>1642228876.0272701</v>
      </c>
      <c r="P7" s="97"/>
      <c r="Q7" s="85">
        <f t="shared" si="16"/>
        <v>14780059884.24543</v>
      </c>
      <c r="R7" s="97"/>
      <c r="S7" s="97"/>
      <c r="T7" s="316">
        <f t="shared" si="16"/>
        <v>17353419002.57114</v>
      </c>
      <c r="U7" s="339">
        <f t="shared" si="15"/>
        <v>17.240603379905096</v>
      </c>
    </row>
    <row r="8" spans="1:153" s="64" customFormat="1" x14ac:dyDescent="0.25">
      <c r="A8" s="67" t="s">
        <v>8</v>
      </c>
      <c r="B8" s="222"/>
      <c r="C8" s="63" t="s">
        <v>9</v>
      </c>
      <c r="D8" s="314">
        <f>+D9</f>
        <v>15911638600</v>
      </c>
      <c r="E8" s="314">
        <f t="shared" si="16"/>
        <v>11965599195.58</v>
      </c>
      <c r="F8" s="311">
        <f t="shared" si="7"/>
        <v>0.75200295182546439</v>
      </c>
      <c r="G8" s="314">
        <f t="shared" si="16"/>
        <v>14007338999.320999</v>
      </c>
      <c r="H8" s="312">
        <f t="shared" si="8"/>
        <v>0.88032033352749728</v>
      </c>
      <c r="I8" s="315">
        <f t="shared" si="16"/>
        <v>16422288760.272699</v>
      </c>
      <c r="J8" s="89">
        <f t="shared" si="10"/>
        <v>0.17240603379905092</v>
      </c>
      <c r="K8" s="84">
        <f t="shared" si="16"/>
        <v>0</v>
      </c>
      <c r="L8" s="97"/>
      <c r="M8" s="84">
        <f t="shared" si="16"/>
        <v>0</v>
      </c>
      <c r="N8" s="97"/>
      <c r="O8" s="84">
        <f t="shared" si="16"/>
        <v>1642228876.0272701</v>
      </c>
      <c r="P8" s="97"/>
      <c r="Q8" s="84">
        <f t="shared" si="16"/>
        <v>14780059884.24543</v>
      </c>
      <c r="R8" s="97"/>
      <c r="S8" s="97"/>
      <c r="T8" s="314">
        <f t="shared" si="16"/>
        <v>17353419002.57114</v>
      </c>
      <c r="U8" s="340">
        <f t="shared" si="15"/>
        <v>17.240603379905096</v>
      </c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2"/>
      <c r="CA8" s="62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2"/>
      <c r="CS8" s="62"/>
      <c r="CT8" s="62"/>
      <c r="CU8" s="62"/>
      <c r="CV8" s="62"/>
      <c r="CW8" s="62"/>
      <c r="CX8" s="62"/>
      <c r="CY8" s="62"/>
      <c r="CZ8" s="62"/>
      <c r="DA8" s="62"/>
      <c r="DB8" s="62"/>
      <c r="DC8" s="62"/>
      <c r="DD8" s="62"/>
      <c r="DE8" s="62"/>
      <c r="DF8" s="62"/>
      <c r="DG8" s="62"/>
      <c r="DH8" s="62"/>
      <c r="DI8" s="62"/>
      <c r="DJ8" s="62"/>
      <c r="DK8" s="62"/>
      <c r="DL8" s="62"/>
      <c r="DM8" s="62"/>
      <c r="DN8" s="62"/>
      <c r="DO8" s="62"/>
      <c r="DP8" s="62"/>
      <c r="DQ8" s="62"/>
      <c r="DR8" s="62"/>
      <c r="DS8" s="62"/>
      <c r="DT8" s="62"/>
      <c r="DU8" s="62"/>
      <c r="DV8" s="62"/>
      <c r="DW8" s="62"/>
      <c r="DX8" s="62"/>
      <c r="DY8" s="62"/>
      <c r="DZ8" s="62"/>
      <c r="EA8" s="62"/>
      <c r="EB8" s="62"/>
      <c r="EC8" s="62"/>
      <c r="ED8" s="62"/>
      <c r="EE8" s="62"/>
      <c r="EF8" s="62"/>
      <c r="EG8" s="62"/>
      <c r="EH8" s="62"/>
      <c r="EI8" s="62"/>
      <c r="EJ8" s="62"/>
      <c r="EK8" s="62"/>
      <c r="EL8" s="62"/>
      <c r="EM8" s="62"/>
      <c r="EN8" s="62"/>
      <c r="EO8" s="62"/>
      <c r="EP8" s="62"/>
      <c r="EQ8" s="62"/>
      <c r="ER8" s="62"/>
      <c r="ES8" s="62"/>
      <c r="ET8" s="62"/>
      <c r="EU8" s="62"/>
      <c r="EV8" s="62"/>
      <c r="EW8" s="62"/>
    </row>
    <row r="9" spans="1:153" x14ac:dyDescent="0.25">
      <c r="A9" s="68" t="s">
        <v>10</v>
      </c>
      <c r="B9" s="226">
        <v>31</v>
      </c>
      <c r="C9" s="66" t="s">
        <v>11</v>
      </c>
      <c r="D9" s="316">
        <f>+D10+D11</f>
        <v>15911638600</v>
      </c>
      <c r="E9" s="316">
        <f t="shared" ref="E9:G9" si="17">+E10+E11</f>
        <v>11965599195.58</v>
      </c>
      <c r="F9" s="311">
        <f t="shared" si="7"/>
        <v>0.75200295182546439</v>
      </c>
      <c r="G9" s="316">
        <f t="shared" si="17"/>
        <v>14007338999.320999</v>
      </c>
      <c r="H9" s="312">
        <f t="shared" si="8"/>
        <v>0.88032033352749728</v>
      </c>
      <c r="I9" s="317">
        <f t="shared" ref="I9:K9" si="18">+I10+I11</f>
        <v>16422288760.272699</v>
      </c>
      <c r="J9" s="89">
        <f t="shared" si="10"/>
        <v>0.17240603379905092</v>
      </c>
      <c r="K9" s="85">
        <f t="shared" si="18"/>
        <v>0</v>
      </c>
      <c r="L9" s="97"/>
      <c r="M9" s="85">
        <f t="shared" ref="M9" si="19">+M10+M11</f>
        <v>0</v>
      </c>
      <c r="N9" s="97"/>
      <c r="O9" s="85">
        <f t="shared" ref="O9" si="20">+O10+O11</f>
        <v>1642228876.0272701</v>
      </c>
      <c r="P9" s="97"/>
      <c r="Q9" s="85">
        <f t="shared" ref="Q9" si="21">+Q10+Q11</f>
        <v>14780059884.24543</v>
      </c>
      <c r="R9" s="97"/>
      <c r="S9" s="97"/>
      <c r="T9" s="316">
        <f t="shared" ref="T9" si="22">+T10+T11</f>
        <v>17353419002.57114</v>
      </c>
      <c r="U9" s="339">
        <f t="shared" si="15"/>
        <v>17.240603379905096</v>
      </c>
    </row>
    <row r="10" spans="1:153" s="64" customFormat="1" hidden="1" x14ac:dyDescent="0.25">
      <c r="A10" s="69" t="s">
        <v>12</v>
      </c>
      <c r="B10" s="222"/>
      <c r="C10" s="63" t="s">
        <v>13</v>
      </c>
      <c r="D10" s="314">
        <v>14074650894</v>
      </c>
      <c r="E10" s="314">
        <v>8451798841.8299999</v>
      </c>
      <c r="F10" s="311">
        <f t="shared" si="7"/>
        <v>0.60049793813592833</v>
      </c>
      <c r="G10" s="314">
        <f>+E10*1.2</f>
        <v>10142158610.195999</v>
      </c>
      <c r="H10" s="312">
        <f t="shared" si="8"/>
        <v>0.72059752576311387</v>
      </c>
      <c r="I10" s="315">
        <f>+G10*1.2</f>
        <v>12170590332.235199</v>
      </c>
      <c r="J10" s="89">
        <f t="shared" si="10"/>
        <v>0.2</v>
      </c>
      <c r="K10" s="80"/>
      <c r="L10" s="97"/>
      <c r="M10" s="80"/>
      <c r="N10" s="97"/>
      <c r="O10" s="80">
        <f>+I10*P10</f>
        <v>1217059033.22352</v>
      </c>
      <c r="P10" s="97">
        <v>0.1</v>
      </c>
      <c r="Q10" s="80">
        <f>+I10*R10</f>
        <v>10953531299.011679</v>
      </c>
      <c r="R10" s="97">
        <v>0.9</v>
      </c>
      <c r="S10" s="97"/>
      <c r="T10" s="314">
        <f>+Q10*1.2</f>
        <v>13144237558.814014</v>
      </c>
      <c r="U10" s="340">
        <f t="shared" si="15"/>
        <v>20</v>
      </c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DW10" s="62"/>
      <c r="DX10" s="62"/>
      <c r="DY10" s="62"/>
      <c r="DZ10" s="62"/>
      <c r="EA10" s="62"/>
      <c r="EB10" s="62"/>
      <c r="EC10" s="62"/>
      <c r="ED10" s="62"/>
      <c r="EE10" s="62"/>
      <c r="EF10" s="62"/>
      <c r="EG10" s="62"/>
      <c r="EH10" s="62"/>
      <c r="EI10" s="62"/>
      <c r="EJ10" s="62"/>
      <c r="EK10" s="62"/>
      <c r="EL10" s="62"/>
      <c r="EM10" s="62"/>
      <c r="EN10" s="62"/>
      <c r="EO10" s="62"/>
      <c r="EP10" s="62"/>
      <c r="EQ10" s="62"/>
      <c r="ER10" s="62"/>
      <c r="ES10" s="62"/>
      <c r="ET10" s="62"/>
      <c r="EU10" s="62"/>
      <c r="EV10" s="62"/>
      <c r="EW10" s="62"/>
    </row>
    <row r="11" spans="1:153" hidden="1" x14ac:dyDescent="0.25">
      <c r="A11" s="70" t="s">
        <v>14</v>
      </c>
      <c r="B11" s="227"/>
      <c r="C11" s="71" t="s">
        <v>15</v>
      </c>
      <c r="D11" s="316">
        <v>1836987706</v>
      </c>
      <c r="E11" s="316">
        <v>3513800353.75</v>
      </c>
      <c r="F11" s="311">
        <f t="shared" si="7"/>
        <v>1.912805590518198</v>
      </c>
      <c r="G11" s="316">
        <f>+E11*1.1</f>
        <v>3865180389.1250005</v>
      </c>
      <c r="H11" s="312">
        <f t="shared" si="8"/>
        <v>2.1040861495700183</v>
      </c>
      <c r="I11" s="317">
        <f>+G11*1.1</f>
        <v>4251698428.0375009</v>
      </c>
      <c r="J11" s="89">
        <f t="shared" si="10"/>
        <v>0.10000000000000009</v>
      </c>
      <c r="K11" s="81"/>
      <c r="L11" s="97"/>
      <c r="M11" s="81"/>
      <c r="N11" s="97"/>
      <c r="O11" s="81">
        <f>+I11*P11</f>
        <v>425169842.8037501</v>
      </c>
      <c r="P11" s="97">
        <v>0.1</v>
      </c>
      <c r="Q11" s="81">
        <f>+I11*R11</f>
        <v>3826528585.2337508</v>
      </c>
      <c r="R11" s="97">
        <v>0.9</v>
      </c>
      <c r="S11" s="97"/>
      <c r="T11" s="316">
        <f>+Q11*1.1</f>
        <v>4209181443.7571263</v>
      </c>
      <c r="U11" s="339">
        <f t="shared" si="15"/>
        <v>10.000000000000014</v>
      </c>
    </row>
    <row r="12" spans="1:153" s="64" customFormat="1" hidden="1" x14ac:dyDescent="0.25">
      <c r="A12" s="69" t="s">
        <v>16</v>
      </c>
      <c r="B12" s="222"/>
      <c r="C12" s="63" t="s">
        <v>17</v>
      </c>
      <c r="D12" s="314">
        <f>+D13+D27+D45+D50</f>
        <v>115298730657</v>
      </c>
      <c r="E12" s="314">
        <f t="shared" ref="E12:G12" si="23">+E13+E27+E45+E50</f>
        <v>101201336575.27</v>
      </c>
      <c r="F12" s="311">
        <f t="shared" si="7"/>
        <v>0.87773157604251462</v>
      </c>
      <c r="G12" s="314">
        <f t="shared" si="23"/>
        <v>105682638123.12267</v>
      </c>
      <c r="H12" s="312">
        <f t="shared" si="8"/>
        <v>0.91659845274026419</v>
      </c>
      <c r="I12" s="315">
        <f>+I13+I27+I45+I50</f>
        <v>124333348925.24713</v>
      </c>
      <c r="J12" s="89">
        <f t="shared" si="10"/>
        <v>0.17647847492599461</v>
      </c>
      <c r="K12" s="84">
        <f t="shared" ref="K12" si="24">+K13+K27+K45+K50</f>
        <v>11494506268.421753</v>
      </c>
      <c r="L12" s="97"/>
      <c r="M12" s="84">
        <f t="shared" ref="M12" si="25">+M13+M27+M45+M50</f>
        <v>5614497519.9055462</v>
      </c>
      <c r="N12" s="97"/>
      <c r="O12" s="84">
        <f t="shared" ref="O12" si="26">+O13+O27+O45+O50</f>
        <v>10670814969.626417</v>
      </c>
      <c r="P12" s="97"/>
      <c r="Q12" s="84">
        <f t="shared" ref="Q12" si="27">+Q13+Q27+Q45+Q50</f>
        <v>96553530167.293427</v>
      </c>
      <c r="R12" s="97"/>
      <c r="S12" s="97"/>
      <c r="T12" s="314">
        <f t="shared" ref="T12" si="28">+T13+T27+T45+T50</f>
        <v>100565799139.26926</v>
      </c>
      <c r="U12" s="340">
        <f t="shared" si="15"/>
        <v>17.647847492599468</v>
      </c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2"/>
      <c r="DK12" s="62"/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2"/>
      <c r="DW12" s="62"/>
      <c r="DX12" s="62"/>
      <c r="DY12" s="62"/>
      <c r="DZ12" s="62"/>
      <c r="EA12" s="62"/>
      <c r="EB12" s="62"/>
      <c r="EC12" s="62"/>
      <c r="ED12" s="62"/>
      <c r="EE12" s="62"/>
      <c r="EF12" s="62"/>
      <c r="EG12" s="62"/>
      <c r="EH12" s="62"/>
      <c r="EI12" s="62"/>
      <c r="EJ12" s="62"/>
      <c r="EK12" s="62"/>
      <c r="EL12" s="62"/>
      <c r="EM12" s="62"/>
      <c r="EN12" s="62"/>
      <c r="EO12" s="62"/>
      <c r="EP12" s="62"/>
      <c r="EQ12" s="62"/>
      <c r="ER12" s="62"/>
      <c r="ES12" s="62"/>
      <c r="ET12" s="62"/>
      <c r="EU12" s="62"/>
      <c r="EV12" s="62"/>
      <c r="EW12" s="62"/>
    </row>
    <row r="13" spans="1:153" hidden="1" x14ac:dyDescent="0.25">
      <c r="A13" s="72" t="s">
        <v>18</v>
      </c>
      <c r="B13" s="227"/>
      <c r="C13" s="66" t="s">
        <v>19</v>
      </c>
      <c r="D13" s="316">
        <f>+D14</f>
        <v>14424839860</v>
      </c>
      <c r="E13" s="316">
        <f t="shared" ref="E13:T14" si="29">+E14</f>
        <v>13324895573.67</v>
      </c>
      <c r="F13" s="311">
        <f t="shared" si="7"/>
        <v>0.92374651663342622</v>
      </c>
      <c r="G13" s="316">
        <f t="shared" si="29"/>
        <v>14849541058.836666</v>
      </c>
      <c r="H13" s="312">
        <f t="shared" si="8"/>
        <v>1.0294423510388049</v>
      </c>
      <c r="I13" s="317">
        <f t="shared" si="29"/>
        <v>16976626273.808336</v>
      </c>
      <c r="J13" s="89">
        <f t="shared" si="10"/>
        <v>0.1432424885418182</v>
      </c>
      <c r="K13" s="85">
        <f t="shared" si="29"/>
        <v>1697662627.3808334</v>
      </c>
      <c r="L13" s="97"/>
      <c r="M13" s="85">
        <f t="shared" si="29"/>
        <v>3395325254.7616668</v>
      </c>
      <c r="N13" s="97"/>
      <c r="O13" s="85">
        <f t="shared" si="29"/>
        <v>1028180886.8204167</v>
      </c>
      <c r="P13" s="97"/>
      <c r="Q13" s="85">
        <f t="shared" si="29"/>
        <v>10855457504.845417</v>
      </c>
      <c r="R13" s="97"/>
      <c r="S13" s="97"/>
      <c r="T13" s="316">
        <f t="shared" si="29"/>
        <v>12973909729.531666</v>
      </c>
      <c r="U13" s="339">
        <f t="shared" si="15"/>
        <v>14.324248854181818</v>
      </c>
    </row>
    <row r="14" spans="1:153" s="64" customFormat="1" ht="12.75" hidden="1" customHeight="1" x14ac:dyDescent="0.25">
      <c r="A14" s="63" t="s">
        <v>20</v>
      </c>
      <c r="B14" s="224"/>
      <c r="C14" s="63" t="s">
        <v>21</v>
      </c>
      <c r="D14" s="314">
        <f>+D15</f>
        <v>14424839860</v>
      </c>
      <c r="E14" s="314">
        <f t="shared" si="29"/>
        <v>13324895573.67</v>
      </c>
      <c r="F14" s="311">
        <f t="shared" si="7"/>
        <v>0.92374651663342622</v>
      </c>
      <c r="G14" s="314">
        <f t="shared" si="29"/>
        <v>14849541058.836666</v>
      </c>
      <c r="H14" s="312">
        <f t="shared" si="8"/>
        <v>1.0294423510388049</v>
      </c>
      <c r="I14" s="315">
        <f t="shared" si="29"/>
        <v>16976626273.808336</v>
      </c>
      <c r="J14" s="89">
        <f t="shared" si="10"/>
        <v>0.1432424885418182</v>
      </c>
      <c r="K14" s="84">
        <f t="shared" si="29"/>
        <v>1697662627.3808334</v>
      </c>
      <c r="L14" s="97"/>
      <c r="M14" s="84">
        <f t="shared" si="29"/>
        <v>3395325254.7616668</v>
      </c>
      <c r="N14" s="97"/>
      <c r="O14" s="84">
        <f t="shared" si="29"/>
        <v>1028180886.8204167</v>
      </c>
      <c r="P14" s="97"/>
      <c r="Q14" s="84">
        <f t="shared" si="29"/>
        <v>10855457504.845417</v>
      </c>
      <c r="R14" s="97"/>
      <c r="S14" s="97"/>
      <c r="T14" s="314">
        <f t="shared" si="29"/>
        <v>12973909729.531666</v>
      </c>
      <c r="U14" s="340">
        <f t="shared" si="15"/>
        <v>14.324248854181818</v>
      </c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62"/>
      <c r="CX14" s="62"/>
      <c r="CY14" s="62"/>
      <c r="CZ14" s="62"/>
      <c r="DA14" s="62"/>
      <c r="DB14" s="62"/>
      <c r="DC14" s="62"/>
      <c r="DD14" s="62"/>
      <c r="DE14" s="62"/>
      <c r="DF14" s="62"/>
      <c r="DG14" s="62"/>
      <c r="DH14" s="62"/>
      <c r="DI14" s="62"/>
      <c r="DJ14" s="62"/>
      <c r="DK14" s="62"/>
      <c r="DL14" s="62"/>
      <c r="DM14" s="62"/>
      <c r="DN14" s="62"/>
      <c r="DO14" s="62"/>
      <c r="DP14" s="62"/>
      <c r="DQ14" s="62"/>
      <c r="DR14" s="62"/>
      <c r="DS14" s="62"/>
      <c r="DT14" s="62"/>
      <c r="DU14" s="62"/>
      <c r="DV14" s="62"/>
      <c r="DW14" s="62"/>
      <c r="DX14" s="62"/>
      <c r="DY14" s="62"/>
      <c r="DZ14" s="62"/>
      <c r="EA14" s="62"/>
      <c r="EB14" s="62"/>
      <c r="EC14" s="62"/>
      <c r="ED14" s="62"/>
      <c r="EE14" s="62"/>
      <c r="EF14" s="62"/>
      <c r="EG14" s="62"/>
      <c r="EH14" s="62"/>
      <c r="EI14" s="62"/>
      <c r="EJ14" s="62"/>
      <c r="EK14" s="62"/>
      <c r="EL14" s="62"/>
      <c r="EM14" s="62"/>
      <c r="EN14" s="62"/>
      <c r="EO14" s="62"/>
      <c r="EP14" s="62"/>
      <c r="EQ14" s="62"/>
      <c r="ER14" s="62"/>
      <c r="ES14" s="62"/>
      <c r="ET14" s="62"/>
      <c r="EU14" s="62"/>
      <c r="EV14" s="62"/>
      <c r="EW14" s="62"/>
    </row>
    <row r="15" spans="1:153" hidden="1" x14ac:dyDescent="0.25">
      <c r="A15" s="73" t="s">
        <v>22</v>
      </c>
      <c r="B15" s="228"/>
      <c r="C15" s="66" t="s">
        <v>23</v>
      </c>
      <c r="D15" s="316">
        <f>+D16+D23</f>
        <v>14424839860</v>
      </c>
      <c r="E15" s="316">
        <f t="shared" ref="E15:G15" si="30">+E16+E23</f>
        <v>13324895573.67</v>
      </c>
      <c r="F15" s="311">
        <f t="shared" si="7"/>
        <v>0.92374651663342622</v>
      </c>
      <c r="G15" s="316">
        <f t="shared" si="30"/>
        <v>14849541058.836666</v>
      </c>
      <c r="H15" s="312">
        <f t="shared" si="8"/>
        <v>1.0294423510388049</v>
      </c>
      <c r="I15" s="317">
        <f t="shared" ref="I15:K15" si="31">+I16+I23</f>
        <v>16976626273.808336</v>
      </c>
      <c r="J15" s="89">
        <f t="shared" si="10"/>
        <v>0.1432424885418182</v>
      </c>
      <c r="K15" s="85">
        <f t="shared" si="31"/>
        <v>1697662627.3808334</v>
      </c>
      <c r="L15" s="97"/>
      <c r="M15" s="85">
        <f t="shared" ref="M15" si="32">+M16+M23</f>
        <v>3395325254.7616668</v>
      </c>
      <c r="N15" s="97"/>
      <c r="O15" s="85">
        <f t="shared" ref="O15" si="33">+O16+O23</f>
        <v>1028180886.8204167</v>
      </c>
      <c r="P15" s="97"/>
      <c r="Q15" s="85">
        <f t="shared" ref="Q15" si="34">+Q16+Q23</f>
        <v>10855457504.845417</v>
      </c>
      <c r="R15" s="97"/>
      <c r="S15" s="97"/>
      <c r="T15" s="316">
        <f t="shared" ref="T15" si="35">+T16+T23</f>
        <v>12973909729.531666</v>
      </c>
      <c r="U15" s="339">
        <f t="shared" si="15"/>
        <v>14.324248854181818</v>
      </c>
    </row>
    <row r="16" spans="1:153" s="64" customFormat="1" hidden="1" x14ac:dyDescent="0.25">
      <c r="A16" s="74" t="s">
        <v>24</v>
      </c>
      <c r="B16" s="222"/>
      <c r="C16" s="63" t="s">
        <v>25</v>
      </c>
      <c r="D16" s="314">
        <f>+D17+D20</f>
        <v>14302168579</v>
      </c>
      <c r="E16" s="314">
        <f t="shared" ref="E16:G16" si="36">+E17+E20</f>
        <v>13297619103.67</v>
      </c>
      <c r="F16" s="311">
        <f t="shared" si="7"/>
        <v>0.92976243638989209</v>
      </c>
      <c r="G16" s="314">
        <f t="shared" si="36"/>
        <v>14813172432.17</v>
      </c>
      <c r="H16" s="312">
        <f t="shared" si="8"/>
        <v>1.0357291169061111</v>
      </c>
      <c r="I16" s="315">
        <f t="shared" ref="I16:K16" si="37">+I17+I20</f>
        <v>16846626273.808336</v>
      </c>
      <c r="J16" s="89">
        <f t="shared" si="10"/>
        <v>0.1372733525481856</v>
      </c>
      <c r="K16" s="84">
        <f t="shared" si="37"/>
        <v>1684662627.3808334</v>
      </c>
      <c r="L16" s="97"/>
      <c r="M16" s="84">
        <f t="shared" ref="M16" si="38">+M17+M20</f>
        <v>3369325254.7616668</v>
      </c>
      <c r="N16" s="97"/>
      <c r="O16" s="84">
        <f t="shared" ref="O16" si="39">+O17+O20</f>
        <v>1015180886.8204167</v>
      </c>
      <c r="P16" s="97"/>
      <c r="Q16" s="84">
        <f t="shared" ref="Q16" si="40">+Q17+Q20</f>
        <v>10777457504.845417</v>
      </c>
      <c r="R16" s="97"/>
      <c r="S16" s="97"/>
      <c r="T16" s="314">
        <f t="shared" ref="T16" si="41">+T17+T20</f>
        <v>12871909729.531666</v>
      </c>
      <c r="U16" s="340">
        <f t="shared" si="15"/>
        <v>13.727335254818556</v>
      </c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62"/>
      <c r="CO16" s="62"/>
      <c r="CP16" s="62"/>
      <c r="CQ16" s="62"/>
      <c r="CR16" s="62"/>
      <c r="CS16" s="62"/>
      <c r="CT16" s="62"/>
      <c r="CU16" s="62"/>
      <c r="CV16" s="62"/>
      <c r="CW16" s="62"/>
      <c r="CX16" s="62"/>
      <c r="CY16" s="62"/>
      <c r="CZ16" s="62"/>
      <c r="DA16" s="62"/>
      <c r="DB16" s="62"/>
      <c r="DC16" s="62"/>
      <c r="DD16" s="62"/>
      <c r="DE16" s="62"/>
      <c r="DF16" s="62"/>
      <c r="DG16" s="62"/>
      <c r="DH16" s="62"/>
      <c r="DI16" s="62"/>
      <c r="DJ16" s="62"/>
      <c r="DK16" s="62"/>
      <c r="DL16" s="62"/>
      <c r="DM16" s="62"/>
      <c r="DN16" s="62"/>
      <c r="DO16" s="62"/>
      <c r="DP16" s="62"/>
      <c r="DQ16" s="62"/>
      <c r="DR16" s="62"/>
      <c r="DS16" s="62"/>
      <c r="DT16" s="62"/>
      <c r="DU16" s="62"/>
      <c r="DV16" s="62"/>
      <c r="DW16" s="62"/>
      <c r="DX16" s="62"/>
      <c r="DY16" s="62"/>
      <c r="DZ16" s="62"/>
      <c r="EA16" s="62"/>
      <c r="EB16" s="62"/>
      <c r="EC16" s="62"/>
      <c r="ED16" s="62"/>
      <c r="EE16" s="62"/>
      <c r="EF16" s="62"/>
      <c r="EG16" s="62"/>
      <c r="EH16" s="62"/>
      <c r="EI16" s="62"/>
      <c r="EJ16" s="62"/>
      <c r="EK16" s="62"/>
      <c r="EL16" s="62"/>
      <c r="EM16" s="62"/>
      <c r="EN16" s="62"/>
      <c r="EO16" s="62"/>
      <c r="EP16" s="62"/>
      <c r="EQ16" s="62"/>
      <c r="ER16" s="62"/>
      <c r="ES16" s="62"/>
      <c r="ET16" s="62"/>
      <c r="EU16" s="62"/>
      <c r="EV16" s="62"/>
      <c r="EW16" s="62"/>
    </row>
    <row r="17" spans="1:153" hidden="1" x14ac:dyDescent="0.25">
      <c r="A17" s="75" t="s">
        <v>26</v>
      </c>
      <c r="B17" s="227">
        <v>41</v>
      </c>
      <c r="C17" s="66" t="s">
        <v>27</v>
      </c>
      <c r="D17" s="316">
        <f>+D18+D19</f>
        <v>12075022817</v>
      </c>
      <c r="E17" s="316">
        <f t="shared" ref="E17:G17" si="42">+E18+E19</f>
        <v>10560318551.67</v>
      </c>
      <c r="F17" s="311">
        <f t="shared" si="7"/>
        <v>0.8745588900090937</v>
      </c>
      <c r="G17" s="316">
        <f t="shared" si="42"/>
        <v>11588971674.17</v>
      </c>
      <c r="H17" s="312">
        <f t="shared" si="8"/>
        <v>0.95974739342556725</v>
      </c>
      <c r="I17" s="317">
        <f t="shared" ref="I17:K17" si="43">+I18+I19</f>
        <v>13389634811.208336</v>
      </c>
      <c r="J17" s="89">
        <f t="shared" si="10"/>
        <v>0.15537730073598605</v>
      </c>
      <c r="K17" s="85">
        <f t="shared" si="43"/>
        <v>1338963481.1208334</v>
      </c>
      <c r="L17" s="97"/>
      <c r="M17" s="85">
        <f t="shared" ref="M17" si="44">+M18+M19</f>
        <v>2677926962.2416668</v>
      </c>
      <c r="N17" s="97"/>
      <c r="O17" s="85">
        <f t="shared" ref="O17" si="45">+O18+O19</f>
        <v>669481740.5604167</v>
      </c>
      <c r="P17" s="97"/>
      <c r="Q17" s="85">
        <f t="shared" ref="Q17" si="46">+Q18+Q19</f>
        <v>8703262627.2854176</v>
      </c>
      <c r="R17" s="97"/>
      <c r="S17" s="97"/>
      <c r="T17" s="316">
        <f t="shared" ref="T17" si="47">+T18+T19</f>
        <v>9512298308.1316662</v>
      </c>
      <c r="U17" s="339">
        <f t="shared" si="15"/>
        <v>15.537730073598595</v>
      </c>
    </row>
    <row r="18" spans="1:153" s="64" customFormat="1" hidden="1" x14ac:dyDescent="0.25">
      <c r="A18" s="74" t="s">
        <v>29</v>
      </c>
      <c r="B18" s="222"/>
      <c r="C18" s="63" t="s">
        <v>30</v>
      </c>
      <c r="D18" s="314">
        <v>11224669097</v>
      </c>
      <c r="E18" s="314">
        <v>10286531225</v>
      </c>
      <c r="F18" s="311">
        <f t="shared" si="7"/>
        <v>0.91642177921746182</v>
      </c>
      <c r="G18" s="314">
        <f>+(E18/10)*11</f>
        <v>11315184347.5</v>
      </c>
      <c r="H18" s="312">
        <f t="shared" si="8"/>
        <v>1.008063957139208</v>
      </c>
      <c r="I18" s="315">
        <f>+G18*1.1</f>
        <v>12446702782.250002</v>
      </c>
      <c r="J18" s="89">
        <f t="shared" si="10"/>
        <v>0.10000000000000017</v>
      </c>
      <c r="K18" s="80">
        <f>+I18*L18</f>
        <v>1244670278.2250001</v>
      </c>
      <c r="L18" s="97">
        <v>0.1</v>
      </c>
      <c r="M18" s="80">
        <f>+I18*N18</f>
        <v>2489340556.4500003</v>
      </c>
      <c r="N18" s="97">
        <v>0.2</v>
      </c>
      <c r="O18" s="80">
        <f>+I18*P18</f>
        <v>622335139.11250007</v>
      </c>
      <c r="P18" s="97">
        <v>0.05</v>
      </c>
      <c r="Q18" s="80">
        <f>+I18*R18</f>
        <v>8090356808.4625006</v>
      </c>
      <c r="R18" s="97">
        <f>100%-L18-N18-P18</f>
        <v>0.64999999999999991</v>
      </c>
      <c r="S18" s="97"/>
      <c r="T18" s="314">
        <f>+(Q18/10)*11</f>
        <v>8899392489.3087502</v>
      </c>
      <c r="U18" s="340">
        <f t="shared" si="15"/>
        <v>10.000000000000014</v>
      </c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/>
      <c r="CD18" s="62"/>
      <c r="CE18" s="62"/>
      <c r="CF18" s="62"/>
      <c r="CG18" s="62"/>
      <c r="CH18" s="62"/>
      <c r="CI18" s="62"/>
      <c r="CJ18" s="62"/>
      <c r="CK18" s="62"/>
      <c r="CL18" s="62"/>
      <c r="CM18" s="62"/>
      <c r="CN18" s="62"/>
      <c r="CO18" s="62"/>
      <c r="CP18" s="62"/>
      <c r="CQ18" s="62"/>
      <c r="CR18" s="62"/>
      <c r="CS18" s="62"/>
      <c r="CT18" s="62"/>
      <c r="CU18" s="62"/>
      <c r="CV18" s="62"/>
      <c r="CW18" s="62"/>
      <c r="CX18" s="62"/>
      <c r="CY18" s="62"/>
      <c r="CZ18" s="62"/>
      <c r="DA18" s="62"/>
      <c r="DB18" s="62"/>
      <c r="DC18" s="62"/>
      <c r="DD18" s="62"/>
      <c r="DE18" s="62"/>
      <c r="DF18" s="62"/>
      <c r="DG18" s="62"/>
      <c r="DH18" s="62"/>
      <c r="DI18" s="62"/>
      <c r="DJ18" s="62"/>
      <c r="DK18" s="62"/>
      <c r="DL18" s="62"/>
      <c r="DM18" s="62"/>
      <c r="DN18" s="62"/>
      <c r="DO18" s="62"/>
      <c r="DP18" s="62"/>
      <c r="DQ18" s="62"/>
      <c r="DR18" s="62"/>
      <c r="DS18" s="62"/>
      <c r="DT18" s="62"/>
      <c r="DU18" s="62"/>
      <c r="DV18" s="62"/>
      <c r="DW18" s="62"/>
      <c r="DX18" s="62"/>
      <c r="DY18" s="62"/>
      <c r="DZ18" s="62"/>
      <c r="EA18" s="62"/>
      <c r="EB18" s="62"/>
      <c r="EC18" s="62"/>
      <c r="ED18" s="62"/>
      <c r="EE18" s="62"/>
      <c r="EF18" s="62"/>
      <c r="EG18" s="62"/>
      <c r="EH18" s="62"/>
      <c r="EI18" s="62"/>
      <c r="EJ18" s="62"/>
      <c r="EK18" s="62"/>
      <c r="EL18" s="62"/>
      <c r="EM18" s="62"/>
      <c r="EN18" s="62"/>
      <c r="EO18" s="62"/>
      <c r="EP18" s="62"/>
      <c r="EQ18" s="62"/>
      <c r="ER18" s="62"/>
      <c r="ES18" s="62"/>
      <c r="ET18" s="62"/>
      <c r="EU18" s="62"/>
      <c r="EV18" s="62"/>
      <c r="EW18" s="62"/>
    </row>
    <row r="19" spans="1:153" x14ac:dyDescent="0.25">
      <c r="A19" s="75" t="s">
        <v>31</v>
      </c>
      <c r="B19" s="227"/>
      <c r="C19" s="66" t="s">
        <v>32</v>
      </c>
      <c r="D19" s="316">
        <v>850353720</v>
      </c>
      <c r="E19" s="316">
        <v>273787326.67000002</v>
      </c>
      <c r="F19" s="311">
        <f t="shared" si="7"/>
        <v>0.32196875280324522</v>
      </c>
      <c r="G19" s="316">
        <f>+E19</f>
        <v>273787326.67000002</v>
      </c>
      <c r="H19" s="312">
        <f t="shared" si="8"/>
        <v>0.32196875280324522</v>
      </c>
      <c r="I19" s="317">
        <f>+G18/12</f>
        <v>942932028.95833337</v>
      </c>
      <c r="J19" s="89">
        <f t="shared" si="10"/>
        <v>2.4440309579955963</v>
      </c>
      <c r="K19" s="81">
        <f>+I19*L19</f>
        <v>94293202.895833343</v>
      </c>
      <c r="L19" s="97">
        <v>0.1</v>
      </c>
      <c r="M19" s="81">
        <f>+I19*N19</f>
        <v>188586405.79166669</v>
      </c>
      <c r="N19" s="97">
        <v>0.2</v>
      </c>
      <c r="O19" s="81">
        <f>+I19*P19</f>
        <v>47146601.447916672</v>
      </c>
      <c r="P19" s="97">
        <v>0.05</v>
      </c>
      <c r="Q19" s="81">
        <f>+I19*R19</f>
        <v>612905818.82291663</v>
      </c>
      <c r="R19" s="97">
        <f>100%-L19-N19-P19</f>
        <v>0.64999999999999991</v>
      </c>
      <c r="S19" s="97"/>
      <c r="T19" s="316">
        <f>+Q19</f>
        <v>612905818.82291663</v>
      </c>
      <c r="U19" s="339">
        <f t="shared" si="15"/>
        <v>244.40309579955959</v>
      </c>
    </row>
    <row r="20" spans="1:153" s="64" customFormat="1" x14ac:dyDescent="0.25">
      <c r="A20" s="74" t="s">
        <v>34</v>
      </c>
      <c r="B20" s="222">
        <v>42</v>
      </c>
      <c r="C20" s="63" t="s">
        <v>35</v>
      </c>
      <c r="D20" s="314">
        <f>+D21+D22</f>
        <v>2227145762</v>
      </c>
      <c r="E20" s="314">
        <f t="shared" ref="E20:G20" si="48">+E21+E22</f>
        <v>2737300552</v>
      </c>
      <c r="F20" s="311">
        <f t="shared" si="7"/>
        <v>1.229062147033374</v>
      </c>
      <c r="G20" s="314">
        <f t="shared" si="48"/>
        <v>3224200758</v>
      </c>
      <c r="H20" s="312">
        <f t="shared" si="8"/>
        <v>1.4476828652223617</v>
      </c>
      <c r="I20" s="315">
        <f t="shared" ref="I20:Q20" si="49">+I21+I22</f>
        <v>3456991462.6000004</v>
      </c>
      <c r="J20" s="89">
        <f t="shared" si="10"/>
        <v>7.2201057586873868E-2</v>
      </c>
      <c r="K20" s="84">
        <f t="shared" si="49"/>
        <v>345699146.26000005</v>
      </c>
      <c r="L20" s="97"/>
      <c r="M20" s="84">
        <f t="shared" si="49"/>
        <v>691398292.5200001</v>
      </c>
      <c r="N20" s="97"/>
      <c r="O20" s="84">
        <f t="shared" si="49"/>
        <v>345699146.26000005</v>
      </c>
      <c r="P20" s="97"/>
      <c r="Q20" s="84">
        <f t="shared" si="49"/>
        <v>2074194877.5600002</v>
      </c>
      <c r="R20" s="97"/>
      <c r="S20" s="97"/>
      <c r="T20" s="314">
        <f t="shared" ref="T20" si="50">+T21+T22</f>
        <v>3359611421.4000006</v>
      </c>
      <c r="U20" s="340">
        <f t="shared" si="15"/>
        <v>7.2201057586873958</v>
      </c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/>
      <c r="CG20" s="62"/>
      <c r="CH20" s="62"/>
      <c r="CI20" s="62"/>
      <c r="CJ20" s="62"/>
      <c r="CK20" s="62"/>
      <c r="CL20" s="62"/>
      <c r="CM20" s="62"/>
      <c r="CN20" s="62"/>
      <c r="CO20" s="62"/>
      <c r="CP20" s="62"/>
      <c r="CQ20" s="62"/>
      <c r="CR20" s="62"/>
      <c r="CS20" s="62"/>
      <c r="CT20" s="62"/>
      <c r="CU20" s="62"/>
      <c r="CV20" s="62"/>
      <c r="CW20" s="62"/>
      <c r="CX20" s="62"/>
      <c r="CY20" s="62"/>
      <c r="CZ20" s="62"/>
      <c r="DA20" s="62"/>
      <c r="DB20" s="62"/>
      <c r="DC20" s="62"/>
      <c r="DD20" s="62"/>
      <c r="DE20" s="62"/>
      <c r="DF20" s="62"/>
      <c r="DG20" s="62"/>
      <c r="DH20" s="62"/>
      <c r="DI20" s="62"/>
      <c r="DJ20" s="62"/>
      <c r="DK20" s="62"/>
      <c r="DL20" s="62"/>
      <c r="DM20" s="62"/>
      <c r="DN20" s="62"/>
      <c r="DO20" s="62"/>
      <c r="DP20" s="62"/>
      <c r="DQ20" s="62"/>
      <c r="DR20" s="62"/>
      <c r="DS20" s="62"/>
      <c r="DT20" s="62"/>
      <c r="DU20" s="62"/>
      <c r="DV20" s="62"/>
      <c r="DW20" s="62"/>
      <c r="DX20" s="62"/>
      <c r="DY20" s="62"/>
      <c r="DZ20" s="62"/>
      <c r="EA20" s="62"/>
      <c r="EB20" s="62"/>
      <c r="EC20" s="62"/>
      <c r="ED20" s="62"/>
      <c r="EE20" s="62"/>
      <c r="EF20" s="62"/>
      <c r="EG20" s="62"/>
      <c r="EH20" s="62"/>
      <c r="EI20" s="62"/>
      <c r="EJ20" s="62"/>
      <c r="EK20" s="62"/>
      <c r="EL20" s="62"/>
      <c r="EM20" s="62"/>
      <c r="EN20" s="62"/>
      <c r="EO20" s="62"/>
      <c r="EP20" s="62"/>
      <c r="EQ20" s="62"/>
      <c r="ER20" s="62"/>
      <c r="ES20" s="62"/>
      <c r="ET20" s="62"/>
      <c r="EU20" s="62"/>
      <c r="EV20" s="62"/>
      <c r="EW20" s="62"/>
    </row>
    <row r="21" spans="1:153" x14ac:dyDescent="0.25">
      <c r="A21" s="75" t="s">
        <v>36</v>
      </c>
      <c r="B21" s="227"/>
      <c r="C21" s="66" t="s">
        <v>37</v>
      </c>
      <c r="D21" s="316">
        <v>2070304512</v>
      </c>
      <c r="E21" s="316">
        <v>2434501030</v>
      </c>
      <c r="F21" s="311">
        <f t="shared" si="7"/>
        <v>1.1759144685668346</v>
      </c>
      <c r="G21" s="316">
        <f>+(E21/10)*12</f>
        <v>2921401236</v>
      </c>
      <c r="H21" s="312">
        <f t="shared" si="8"/>
        <v>1.4110973622802017</v>
      </c>
      <c r="I21" s="317">
        <f>+G21*1.1</f>
        <v>3213541359.6000004</v>
      </c>
      <c r="J21" s="89">
        <f t="shared" si="10"/>
        <v>0.10000000000000013</v>
      </c>
      <c r="K21" s="81">
        <f>+I21*L21</f>
        <v>321354135.96000004</v>
      </c>
      <c r="L21" s="97">
        <v>0.1</v>
      </c>
      <c r="M21" s="81">
        <f>+I21*N21</f>
        <v>642708271.92000008</v>
      </c>
      <c r="N21" s="97">
        <v>0.2</v>
      </c>
      <c r="O21" s="81">
        <f>+I21*P21</f>
        <v>321354135.96000004</v>
      </c>
      <c r="P21" s="97">
        <v>0.1</v>
      </c>
      <c r="Q21" s="81">
        <f>+I21*R21</f>
        <v>1928124815.7600002</v>
      </c>
      <c r="R21" s="97">
        <v>0.6</v>
      </c>
      <c r="S21" s="97"/>
      <c r="T21" s="316">
        <f>+I21</f>
        <v>3213541359.6000004</v>
      </c>
      <c r="U21" s="339">
        <f t="shared" si="15"/>
        <v>10.000000000000014</v>
      </c>
    </row>
    <row r="22" spans="1:153" s="64" customFormat="1" x14ac:dyDescent="0.25">
      <c r="A22" s="74" t="s">
        <v>38</v>
      </c>
      <c r="B22" s="222"/>
      <c r="C22" s="63" t="s">
        <v>39</v>
      </c>
      <c r="D22" s="314">
        <v>156841250</v>
      </c>
      <c r="E22" s="314">
        <v>302799522</v>
      </c>
      <c r="F22" s="311">
        <f t="shared" si="7"/>
        <v>1.9306115068580492</v>
      </c>
      <c r="G22" s="314">
        <f>+E22</f>
        <v>302799522</v>
      </c>
      <c r="H22" s="312">
        <f t="shared" si="8"/>
        <v>1.9306115068580492</v>
      </c>
      <c r="I22" s="315">
        <f>+G21/12</f>
        <v>243450103</v>
      </c>
      <c r="J22" s="89">
        <f t="shared" si="10"/>
        <v>-0.19600235366289648</v>
      </c>
      <c r="K22" s="80">
        <f>+I22*L22</f>
        <v>24345010.300000001</v>
      </c>
      <c r="L22" s="97">
        <v>0.1</v>
      </c>
      <c r="M22" s="80">
        <f>+I22*N22</f>
        <v>48690020.600000001</v>
      </c>
      <c r="N22" s="97">
        <v>0.2</v>
      </c>
      <c r="O22" s="80">
        <f>+I22*P22</f>
        <v>24345010.300000001</v>
      </c>
      <c r="P22" s="97">
        <v>0.1</v>
      </c>
      <c r="Q22" s="80">
        <f>+R22*I22</f>
        <v>146070061.79999998</v>
      </c>
      <c r="R22" s="97">
        <v>0.6</v>
      </c>
      <c r="S22" s="97"/>
      <c r="T22" s="314">
        <f>+Q22</f>
        <v>146070061.79999998</v>
      </c>
      <c r="U22" s="340">
        <f t="shared" si="15"/>
        <v>-19.600235366289638</v>
      </c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/>
      <c r="CG22" s="62"/>
      <c r="CH22" s="62"/>
      <c r="CI22" s="62"/>
      <c r="CJ22" s="62"/>
      <c r="CK22" s="62"/>
      <c r="CL22" s="62"/>
      <c r="CM22" s="62"/>
      <c r="CN22" s="62"/>
      <c r="CO22" s="62"/>
      <c r="CP22" s="62"/>
      <c r="CQ22" s="62"/>
      <c r="CR22" s="62"/>
      <c r="CS22" s="62"/>
      <c r="CT22" s="62"/>
      <c r="CU22" s="62"/>
      <c r="CV22" s="62"/>
      <c r="CW22" s="62"/>
      <c r="CX22" s="62"/>
      <c r="CY22" s="62"/>
      <c r="CZ22" s="62"/>
      <c r="DA22" s="62"/>
      <c r="DB22" s="62"/>
      <c r="DC22" s="62"/>
      <c r="DD22" s="62"/>
      <c r="DE22" s="62"/>
      <c r="DF22" s="62"/>
      <c r="DG22" s="62"/>
      <c r="DH22" s="62"/>
      <c r="DI22" s="62"/>
      <c r="DJ22" s="62"/>
      <c r="DK22" s="62"/>
      <c r="DL22" s="62"/>
      <c r="DM22" s="62"/>
      <c r="DN22" s="62"/>
      <c r="DO22" s="62"/>
      <c r="DP22" s="62"/>
      <c r="DQ22" s="62"/>
      <c r="DR22" s="62"/>
      <c r="DS22" s="62"/>
      <c r="DT22" s="62"/>
      <c r="DU22" s="62"/>
      <c r="DV22" s="62"/>
      <c r="DW22" s="62"/>
      <c r="DX22" s="62"/>
      <c r="DY22" s="62"/>
      <c r="DZ22" s="62"/>
      <c r="EA22" s="62"/>
      <c r="EB22" s="62"/>
      <c r="EC22" s="62"/>
      <c r="ED22" s="62"/>
      <c r="EE22" s="62"/>
      <c r="EF22" s="62"/>
      <c r="EG22" s="62"/>
      <c r="EH22" s="62"/>
      <c r="EI22" s="62"/>
      <c r="EJ22" s="62"/>
      <c r="EK22" s="62"/>
      <c r="EL22" s="62"/>
      <c r="EM22" s="62"/>
      <c r="EN22" s="62"/>
      <c r="EO22" s="62"/>
      <c r="EP22" s="62"/>
      <c r="EQ22" s="62"/>
      <c r="ER22" s="62"/>
      <c r="ES22" s="62"/>
      <c r="ET22" s="62"/>
      <c r="EU22" s="62"/>
      <c r="EV22" s="62"/>
      <c r="EW22" s="62"/>
    </row>
    <row r="23" spans="1:153" x14ac:dyDescent="0.25">
      <c r="A23" s="75" t="s">
        <v>40</v>
      </c>
      <c r="B23" s="227"/>
      <c r="C23" s="66" t="s">
        <v>41</v>
      </c>
      <c r="D23" s="316">
        <f>+D24</f>
        <v>122671281</v>
      </c>
      <c r="E23" s="316">
        <f t="shared" ref="E23:T23" si="51">+E24</f>
        <v>27276470</v>
      </c>
      <c r="F23" s="311">
        <f t="shared" si="7"/>
        <v>0.22235416291120333</v>
      </c>
      <c r="G23" s="316">
        <f t="shared" si="51"/>
        <v>36368626.666666672</v>
      </c>
      <c r="H23" s="312">
        <f t="shared" si="8"/>
        <v>0.29647221721493777</v>
      </c>
      <c r="I23" s="317">
        <f t="shared" si="51"/>
        <v>130000000</v>
      </c>
      <c r="J23" s="89">
        <f t="shared" si="10"/>
        <v>2.5745094581520256</v>
      </c>
      <c r="K23" s="85">
        <f t="shared" si="51"/>
        <v>13000000</v>
      </c>
      <c r="L23" s="97"/>
      <c r="M23" s="85">
        <f t="shared" si="51"/>
        <v>26000000</v>
      </c>
      <c r="N23" s="97"/>
      <c r="O23" s="85">
        <f t="shared" si="51"/>
        <v>13000000</v>
      </c>
      <c r="P23" s="97"/>
      <c r="Q23" s="85">
        <f t="shared" si="51"/>
        <v>78000000</v>
      </c>
      <c r="R23" s="97"/>
      <c r="S23" s="97"/>
      <c r="T23" s="316">
        <f t="shared" si="51"/>
        <v>102000000</v>
      </c>
      <c r="U23" s="339">
        <f t="shared" si="15"/>
        <v>257.45094581520254</v>
      </c>
    </row>
    <row r="24" spans="1:153" s="64" customFormat="1" x14ac:dyDescent="0.25">
      <c r="A24" s="74" t="s">
        <v>42</v>
      </c>
      <c r="B24" s="222">
        <v>43</v>
      </c>
      <c r="C24" s="63" t="s">
        <v>43</v>
      </c>
      <c r="D24" s="314">
        <f>+D25+D26</f>
        <v>122671281</v>
      </c>
      <c r="E24" s="314">
        <f t="shared" ref="E24:G24" si="52">+E25+E26</f>
        <v>27276470</v>
      </c>
      <c r="F24" s="311">
        <f t="shared" si="7"/>
        <v>0.22235416291120333</v>
      </c>
      <c r="G24" s="314">
        <f t="shared" si="52"/>
        <v>36368626.666666672</v>
      </c>
      <c r="H24" s="312">
        <f t="shared" si="8"/>
        <v>0.29647221721493777</v>
      </c>
      <c r="I24" s="315">
        <f t="shared" ref="I24:K24" si="53">+I25+I26</f>
        <v>130000000</v>
      </c>
      <c r="J24" s="89">
        <f t="shared" si="10"/>
        <v>2.5745094581520256</v>
      </c>
      <c r="K24" s="84">
        <f t="shared" si="53"/>
        <v>13000000</v>
      </c>
      <c r="L24" s="97"/>
      <c r="M24" s="84">
        <f t="shared" ref="M24" si="54">+M25+M26</f>
        <v>26000000</v>
      </c>
      <c r="N24" s="97"/>
      <c r="O24" s="84">
        <f t="shared" ref="O24" si="55">+O25+O26</f>
        <v>13000000</v>
      </c>
      <c r="P24" s="97"/>
      <c r="Q24" s="84">
        <f t="shared" ref="Q24" si="56">+Q25+Q26</f>
        <v>78000000</v>
      </c>
      <c r="R24" s="97"/>
      <c r="S24" s="97"/>
      <c r="T24" s="314">
        <f t="shared" ref="T24" si="57">+T25+T26</f>
        <v>102000000</v>
      </c>
      <c r="U24" s="340">
        <f t="shared" si="15"/>
        <v>257.45094581520254</v>
      </c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62"/>
      <c r="CH24" s="62"/>
      <c r="CI24" s="62"/>
      <c r="CJ24" s="62"/>
      <c r="CK24" s="62"/>
      <c r="CL24" s="62"/>
      <c r="CM24" s="62"/>
      <c r="CN24" s="62"/>
      <c r="CO24" s="62"/>
      <c r="CP24" s="62"/>
      <c r="CQ24" s="62"/>
      <c r="CR24" s="62"/>
      <c r="CS24" s="62"/>
      <c r="CT24" s="62"/>
      <c r="CU24" s="62"/>
      <c r="CV24" s="62"/>
      <c r="CW24" s="62"/>
      <c r="CX24" s="62"/>
      <c r="CY24" s="62"/>
      <c r="CZ24" s="62"/>
      <c r="DA24" s="62"/>
      <c r="DB24" s="62"/>
      <c r="DC24" s="62"/>
      <c r="DD24" s="62"/>
      <c r="DE24" s="62"/>
      <c r="DF24" s="62"/>
      <c r="DG24" s="62"/>
      <c r="DH24" s="62"/>
      <c r="DI24" s="62"/>
      <c r="DJ24" s="62"/>
      <c r="DK24" s="62"/>
      <c r="DL24" s="62"/>
      <c r="DM24" s="62"/>
      <c r="DN24" s="62"/>
      <c r="DO24" s="62"/>
      <c r="DP24" s="62"/>
      <c r="DQ24" s="62"/>
      <c r="DR24" s="62"/>
      <c r="DS24" s="62"/>
      <c r="DT24" s="62"/>
      <c r="DU24" s="62"/>
      <c r="DV24" s="62"/>
      <c r="DW24" s="62"/>
      <c r="DX24" s="62"/>
      <c r="DY24" s="62"/>
      <c r="DZ24" s="62"/>
      <c r="EA24" s="62"/>
      <c r="EB24" s="62"/>
      <c r="EC24" s="62"/>
      <c r="ED24" s="62"/>
      <c r="EE24" s="62"/>
      <c r="EF24" s="62"/>
      <c r="EG24" s="62"/>
      <c r="EH24" s="62"/>
      <c r="EI24" s="62"/>
      <c r="EJ24" s="62"/>
      <c r="EK24" s="62"/>
      <c r="EL24" s="62"/>
      <c r="EM24" s="62"/>
      <c r="EN24" s="62"/>
      <c r="EO24" s="62"/>
      <c r="EP24" s="62"/>
      <c r="EQ24" s="62"/>
      <c r="ER24" s="62"/>
      <c r="ES24" s="62"/>
      <c r="ET24" s="62"/>
      <c r="EU24" s="62"/>
      <c r="EV24" s="62"/>
      <c r="EW24" s="62"/>
    </row>
    <row r="25" spans="1:153" x14ac:dyDescent="0.25">
      <c r="A25" s="75" t="s">
        <v>44</v>
      </c>
      <c r="B25" s="227"/>
      <c r="C25" s="66" t="s">
        <v>30</v>
      </c>
      <c r="D25" s="316">
        <v>122671281</v>
      </c>
      <c r="E25" s="316">
        <v>27276470</v>
      </c>
      <c r="F25" s="311">
        <f t="shared" si="7"/>
        <v>0.22235416291120333</v>
      </c>
      <c r="G25" s="316">
        <f>+(E25/9)*12</f>
        <v>36368626.666666672</v>
      </c>
      <c r="H25" s="312">
        <f t="shared" si="8"/>
        <v>0.29647221721493777</v>
      </c>
      <c r="I25" s="317">
        <v>120000000</v>
      </c>
      <c r="J25" s="89">
        <f t="shared" si="10"/>
        <v>2.2995471921403317</v>
      </c>
      <c r="K25" s="81">
        <f>+I25*L25</f>
        <v>12000000</v>
      </c>
      <c r="L25" s="97">
        <v>0.1</v>
      </c>
      <c r="M25" s="81">
        <f>+I25*N25</f>
        <v>24000000</v>
      </c>
      <c r="N25" s="97">
        <v>0.2</v>
      </c>
      <c r="O25" s="81">
        <f>+P25*I25</f>
        <v>12000000</v>
      </c>
      <c r="P25" s="97">
        <v>0.1</v>
      </c>
      <c r="Q25" s="81">
        <f>+R25*I25</f>
        <v>72000000</v>
      </c>
      <c r="R25" s="97">
        <v>0.6</v>
      </c>
      <c r="S25" s="97"/>
      <c r="T25" s="316">
        <f>+(Q25/9)*12</f>
        <v>96000000</v>
      </c>
      <c r="U25" s="339">
        <f t="shared" si="15"/>
        <v>229.95471921403316</v>
      </c>
    </row>
    <row r="26" spans="1:153" s="64" customFormat="1" x14ac:dyDescent="0.25">
      <c r="A26" s="74" t="s">
        <v>45</v>
      </c>
      <c r="B26" s="222"/>
      <c r="C26" s="63" t="s">
        <v>32</v>
      </c>
      <c r="D26" s="314">
        <v>0</v>
      </c>
      <c r="E26" s="314">
        <v>0</v>
      </c>
      <c r="F26" s="311">
        <v>0</v>
      </c>
      <c r="G26" s="314">
        <f>+E26</f>
        <v>0</v>
      </c>
      <c r="H26" s="312">
        <v>0</v>
      </c>
      <c r="I26" s="315">
        <v>10000000</v>
      </c>
      <c r="J26" s="89">
        <v>0</v>
      </c>
      <c r="K26" s="80">
        <f>+I26*L26</f>
        <v>1000000</v>
      </c>
      <c r="L26" s="97">
        <v>0.1</v>
      </c>
      <c r="M26" s="80">
        <f>+N26*I26</f>
        <v>2000000</v>
      </c>
      <c r="N26" s="97">
        <v>0.2</v>
      </c>
      <c r="O26" s="80">
        <f>+P26*I26</f>
        <v>1000000</v>
      </c>
      <c r="P26" s="97">
        <v>0.1</v>
      </c>
      <c r="Q26" s="80">
        <f>+R26*I26</f>
        <v>6000000</v>
      </c>
      <c r="R26" s="97">
        <v>0.6</v>
      </c>
      <c r="S26" s="97"/>
      <c r="T26" s="314">
        <f>+Q26</f>
        <v>6000000</v>
      </c>
      <c r="U26" s="340">
        <v>0</v>
      </c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/>
      <c r="CG26" s="62"/>
      <c r="CH26" s="62"/>
      <c r="CI26" s="62"/>
      <c r="CJ26" s="62"/>
      <c r="CK26" s="62"/>
      <c r="CL26" s="62"/>
      <c r="CM26" s="62"/>
      <c r="CN26" s="62"/>
      <c r="CO26" s="62"/>
      <c r="CP26" s="62"/>
      <c r="CQ26" s="62"/>
      <c r="CR26" s="62"/>
      <c r="CS26" s="62"/>
      <c r="CT26" s="62"/>
      <c r="CU26" s="62"/>
      <c r="CV26" s="62"/>
      <c r="CW26" s="62"/>
      <c r="CX26" s="62"/>
      <c r="CY26" s="62"/>
      <c r="CZ26" s="62"/>
      <c r="DA26" s="62"/>
      <c r="DB26" s="62"/>
      <c r="DC26" s="62"/>
      <c r="DD26" s="62"/>
      <c r="DE26" s="62"/>
      <c r="DF26" s="62"/>
      <c r="DG26" s="62"/>
      <c r="DH26" s="62"/>
      <c r="DI26" s="62"/>
      <c r="DJ26" s="62"/>
      <c r="DK26" s="62"/>
      <c r="DL26" s="62"/>
      <c r="DM26" s="62"/>
      <c r="DN26" s="62"/>
      <c r="DO26" s="62"/>
      <c r="DP26" s="62"/>
      <c r="DQ26" s="62"/>
      <c r="DR26" s="62"/>
      <c r="DS26" s="62"/>
      <c r="DT26" s="62"/>
      <c r="DU26" s="62"/>
      <c r="DV26" s="62"/>
      <c r="DW26" s="62"/>
      <c r="DX26" s="62"/>
      <c r="DY26" s="62"/>
      <c r="DZ26" s="62"/>
      <c r="EA26" s="62"/>
      <c r="EB26" s="62"/>
      <c r="EC26" s="62"/>
      <c r="ED26" s="62"/>
      <c r="EE26" s="62"/>
      <c r="EF26" s="62"/>
      <c r="EG26" s="62"/>
      <c r="EH26" s="62"/>
      <c r="EI26" s="62"/>
      <c r="EJ26" s="62"/>
      <c r="EK26" s="62"/>
      <c r="EL26" s="62"/>
      <c r="EM26" s="62"/>
      <c r="EN26" s="62"/>
      <c r="EO26" s="62"/>
      <c r="EP26" s="62"/>
      <c r="EQ26" s="62"/>
      <c r="ER26" s="62"/>
      <c r="ES26" s="62"/>
      <c r="ET26" s="62"/>
      <c r="EU26" s="62"/>
      <c r="EV26" s="62"/>
      <c r="EW26" s="62"/>
    </row>
    <row r="27" spans="1:153" x14ac:dyDescent="0.25">
      <c r="A27" s="75" t="s">
        <v>46</v>
      </c>
      <c r="B27" s="227"/>
      <c r="C27" s="66" t="s">
        <v>47</v>
      </c>
      <c r="D27" s="316">
        <f>+D28+D30+D33+D36+D39+D42</f>
        <v>16867132558</v>
      </c>
      <c r="E27" s="316">
        <f t="shared" ref="E27:G27" si="58">+E28+E30+E33+E36+E39+E42</f>
        <v>15515622634.6</v>
      </c>
      <c r="F27" s="311">
        <f t="shared" si="7"/>
        <v>0.91987316642276673</v>
      </c>
      <c r="G27" s="316">
        <f t="shared" si="58"/>
        <v>18374263721.685997</v>
      </c>
      <c r="H27" s="312">
        <f t="shared" si="8"/>
        <v>1.0893531344763856</v>
      </c>
      <c r="I27" s="317">
        <f>+I28+I30+I33+I36+I39+I42</f>
        <v>21836413817.5588</v>
      </c>
      <c r="J27" s="89">
        <f t="shared" si="10"/>
        <v>0.18842388181174535</v>
      </c>
      <c r="K27" s="85">
        <f t="shared" ref="K27" si="59">+K28+K30+K33+K36+K39+K42</f>
        <v>9477065690.5489197</v>
      </c>
      <c r="L27" s="97"/>
      <c r="M27" s="85">
        <f t="shared" ref="M27" si="60">+M28+M30+M33+M36+M39+M42</f>
        <v>2183641381.7558799</v>
      </c>
      <c r="N27" s="97"/>
      <c r="O27" s="85">
        <f t="shared" ref="O27" si="61">+O28+O30+O33+O36+O39+O42</f>
        <v>1130634082.806</v>
      </c>
      <c r="P27" s="97"/>
      <c r="Q27" s="85">
        <f t="shared" ref="Q27" si="62">+Q28+Q30+Q33+Q36+Q39+Q42</f>
        <v>9045072662.448</v>
      </c>
      <c r="R27" s="97"/>
      <c r="S27" s="97"/>
      <c r="T27" s="316">
        <f t="shared" ref="T27" si="63">+T28+T30+T33+T36+T39+T42</f>
        <v>10820889409.737598</v>
      </c>
      <c r="U27" s="339">
        <f t="shared" si="15"/>
        <v>18.842388181174542</v>
      </c>
    </row>
    <row r="28" spans="1:153" s="64" customFormat="1" x14ac:dyDescent="0.25">
      <c r="A28" s="74" t="s">
        <v>49</v>
      </c>
      <c r="B28" s="222">
        <v>21</v>
      </c>
      <c r="C28" s="63" t="s">
        <v>50</v>
      </c>
      <c r="D28" s="314">
        <f>+D29</f>
        <v>78564081</v>
      </c>
      <c r="E28" s="314">
        <f t="shared" ref="E28:T28" si="64">+E29</f>
        <v>133609071.59</v>
      </c>
      <c r="F28" s="311">
        <f t="shared" si="7"/>
        <v>1.7006381273650997</v>
      </c>
      <c r="G28" s="314">
        <f t="shared" si="64"/>
        <v>160330885.90799999</v>
      </c>
      <c r="H28" s="312">
        <f t="shared" si="8"/>
        <v>2.0407657528381193</v>
      </c>
      <c r="I28" s="315">
        <f t="shared" si="64"/>
        <v>176363974.49880001</v>
      </c>
      <c r="J28" s="89">
        <f t="shared" si="10"/>
        <v>0.10000000000000012</v>
      </c>
      <c r="K28" s="84">
        <f t="shared" si="64"/>
        <v>158727577.04892001</v>
      </c>
      <c r="L28" s="97"/>
      <c r="M28" s="84">
        <f t="shared" si="64"/>
        <v>17636397.44988</v>
      </c>
      <c r="N28" s="97"/>
      <c r="O28" s="84">
        <f t="shared" si="64"/>
        <v>0</v>
      </c>
      <c r="P28" s="97"/>
      <c r="Q28" s="84">
        <f t="shared" si="64"/>
        <v>0</v>
      </c>
      <c r="R28" s="97"/>
      <c r="S28" s="97"/>
      <c r="T28" s="314">
        <f t="shared" si="64"/>
        <v>0</v>
      </c>
      <c r="U28" s="340">
        <f t="shared" si="15"/>
        <v>10.000000000000014</v>
      </c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/>
      <c r="CG28" s="62"/>
      <c r="CH28" s="62"/>
      <c r="CI28" s="62"/>
      <c r="CJ28" s="62"/>
      <c r="CK28" s="62"/>
      <c r="CL28" s="62"/>
      <c r="CM28" s="62"/>
      <c r="CN28" s="62"/>
      <c r="CO28" s="62"/>
      <c r="CP28" s="62"/>
      <c r="CQ28" s="62"/>
      <c r="CR28" s="62"/>
      <c r="CS28" s="62"/>
      <c r="CT28" s="62"/>
      <c r="CU28" s="62"/>
      <c r="CV28" s="62"/>
      <c r="CW28" s="62"/>
      <c r="CX28" s="62"/>
      <c r="CY28" s="62"/>
      <c r="CZ28" s="62"/>
      <c r="DA28" s="62"/>
      <c r="DB28" s="62"/>
      <c r="DC28" s="62"/>
      <c r="DD28" s="62"/>
      <c r="DE28" s="62"/>
      <c r="DF28" s="62"/>
      <c r="DG28" s="62"/>
      <c r="DH28" s="62"/>
      <c r="DI28" s="62"/>
      <c r="DJ28" s="62"/>
      <c r="DK28" s="62"/>
      <c r="DL28" s="62"/>
      <c r="DM28" s="62"/>
      <c r="DN28" s="62"/>
      <c r="DO28" s="62"/>
      <c r="DP28" s="62"/>
      <c r="DQ28" s="62"/>
      <c r="DR28" s="62"/>
      <c r="DS28" s="62"/>
      <c r="DT28" s="62"/>
      <c r="DU28" s="62"/>
      <c r="DV28" s="62"/>
      <c r="DW28" s="62"/>
      <c r="DX28" s="62"/>
      <c r="DY28" s="62"/>
      <c r="DZ28" s="62"/>
      <c r="EA28" s="62"/>
      <c r="EB28" s="62"/>
      <c r="EC28" s="62"/>
      <c r="ED28" s="62"/>
      <c r="EE28" s="62"/>
      <c r="EF28" s="62"/>
      <c r="EG28" s="62"/>
      <c r="EH28" s="62"/>
      <c r="EI28" s="62"/>
      <c r="EJ28" s="62"/>
      <c r="EK28" s="62"/>
      <c r="EL28" s="62"/>
      <c r="EM28" s="62"/>
      <c r="EN28" s="62"/>
      <c r="EO28" s="62"/>
      <c r="EP28" s="62"/>
      <c r="EQ28" s="62"/>
      <c r="ER28" s="62"/>
      <c r="ES28" s="62"/>
      <c r="ET28" s="62"/>
      <c r="EU28" s="62"/>
      <c r="EV28" s="62"/>
      <c r="EW28" s="62"/>
    </row>
    <row r="29" spans="1:153" x14ac:dyDescent="0.25">
      <c r="A29" s="75" t="s">
        <v>51</v>
      </c>
      <c r="B29" s="227"/>
      <c r="C29" s="66" t="s">
        <v>30</v>
      </c>
      <c r="D29" s="316">
        <v>78564081</v>
      </c>
      <c r="E29" s="316">
        <v>133609071.59</v>
      </c>
      <c r="F29" s="311">
        <f t="shared" si="7"/>
        <v>1.7006381273650997</v>
      </c>
      <c r="G29" s="316">
        <f>+(E29/10)*12</f>
        <v>160330885.90799999</v>
      </c>
      <c r="H29" s="312">
        <f t="shared" si="8"/>
        <v>2.0407657528381193</v>
      </c>
      <c r="I29" s="317">
        <f>+G29*1.1</f>
        <v>176363974.49880001</v>
      </c>
      <c r="J29" s="89">
        <f t="shared" si="10"/>
        <v>0.10000000000000012</v>
      </c>
      <c r="K29" s="81">
        <f>+I29*L29</f>
        <v>158727577.04892001</v>
      </c>
      <c r="L29" s="97">
        <v>0.9</v>
      </c>
      <c r="M29" s="81">
        <f>+N29*I29</f>
        <v>17636397.44988</v>
      </c>
      <c r="N29" s="97">
        <v>0.1</v>
      </c>
      <c r="O29" s="81"/>
      <c r="P29" s="97"/>
      <c r="Q29" s="81"/>
      <c r="R29" s="97"/>
      <c r="S29" s="97"/>
      <c r="T29" s="316">
        <f>+(Q29/10)*12</f>
        <v>0</v>
      </c>
      <c r="U29" s="339">
        <f t="shared" si="15"/>
        <v>10.000000000000014</v>
      </c>
    </row>
    <row r="30" spans="1:153" s="64" customFormat="1" x14ac:dyDescent="0.25">
      <c r="A30" s="74" t="s">
        <v>52</v>
      </c>
      <c r="B30" s="222">
        <v>22</v>
      </c>
      <c r="C30" s="63" t="s">
        <v>53</v>
      </c>
      <c r="D30" s="314">
        <f>+D31+D32</f>
        <v>2793096170</v>
      </c>
      <c r="E30" s="314">
        <f t="shared" ref="E30:G30" si="65">+E31+E32</f>
        <v>5934379560.9899998</v>
      </c>
      <c r="F30" s="311">
        <f t="shared" si="7"/>
        <v>2.1246599471689511</v>
      </c>
      <c r="G30" s="314">
        <f t="shared" si="65"/>
        <v>6973643119.789999</v>
      </c>
      <c r="H30" s="312">
        <f t="shared" si="8"/>
        <v>2.4967429316227228</v>
      </c>
      <c r="I30" s="315">
        <f t="shared" ref="I30" si="66">+I31+I32</f>
        <v>2247453257</v>
      </c>
      <c r="J30" s="89">
        <f t="shared" si="10"/>
        <v>-0.67772178495597024</v>
      </c>
      <c r="K30" s="84">
        <f t="shared" ref="K30:Q30" si="67">+K31+K32</f>
        <v>2022707931.3000002</v>
      </c>
      <c r="L30" s="97"/>
      <c r="M30" s="84">
        <f t="shared" si="67"/>
        <v>224745325.70000002</v>
      </c>
      <c r="N30" s="97"/>
      <c r="O30" s="84">
        <f t="shared" si="67"/>
        <v>0</v>
      </c>
      <c r="P30" s="97"/>
      <c r="Q30" s="84">
        <f t="shared" si="67"/>
        <v>0</v>
      </c>
      <c r="R30" s="97"/>
      <c r="S30" s="97"/>
      <c r="T30" s="314">
        <f t="shared" ref="T30" si="68">+T31+T32</f>
        <v>0</v>
      </c>
      <c r="U30" s="340">
        <f t="shared" si="15"/>
        <v>-67.772178495597018</v>
      </c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/>
      <c r="CG30" s="62"/>
      <c r="CH30" s="62"/>
      <c r="CI30" s="62"/>
      <c r="CJ30" s="62"/>
      <c r="CK30" s="62"/>
      <c r="CL30" s="62"/>
      <c r="CM30" s="62"/>
      <c r="CN30" s="62"/>
      <c r="CO30" s="62"/>
      <c r="CP30" s="62"/>
      <c r="CQ30" s="62"/>
      <c r="CR30" s="62"/>
      <c r="CS30" s="62"/>
      <c r="CT30" s="62"/>
      <c r="CU30" s="62"/>
      <c r="CV30" s="62"/>
      <c r="CW30" s="62"/>
      <c r="CX30" s="62"/>
      <c r="CY30" s="62"/>
      <c r="CZ30" s="62"/>
      <c r="DA30" s="62"/>
      <c r="DB30" s="62"/>
      <c r="DC30" s="62"/>
      <c r="DD30" s="62"/>
      <c r="DE30" s="62"/>
      <c r="DF30" s="62"/>
      <c r="DG30" s="62"/>
      <c r="DH30" s="62"/>
      <c r="DI30" s="62"/>
      <c r="DJ30" s="62"/>
      <c r="DK30" s="62"/>
      <c r="DL30" s="62"/>
      <c r="DM30" s="62"/>
      <c r="DN30" s="62"/>
      <c r="DO30" s="62"/>
      <c r="DP30" s="62"/>
      <c r="DQ30" s="62"/>
      <c r="DR30" s="62"/>
      <c r="DS30" s="62"/>
      <c r="DT30" s="62"/>
      <c r="DU30" s="62"/>
      <c r="DV30" s="62"/>
      <c r="DW30" s="62"/>
      <c r="DX30" s="62"/>
      <c r="DY30" s="62"/>
      <c r="DZ30" s="62"/>
      <c r="EA30" s="62"/>
      <c r="EB30" s="62"/>
      <c r="EC30" s="62"/>
      <c r="ED30" s="62"/>
      <c r="EE30" s="62"/>
      <c r="EF30" s="62"/>
      <c r="EG30" s="62"/>
      <c r="EH30" s="62"/>
      <c r="EI30" s="62"/>
      <c r="EJ30" s="62"/>
      <c r="EK30" s="62"/>
      <c r="EL30" s="62"/>
      <c r="EM30" s="62"/>
      <c r="EN30" s="62"/>
      <c r="EO30" s="62"/>
      <c r="EP30" s="62"/>
      <c r="EQ30" s="62"/>
      <c r="ER30" s="62"/>
      <c r="ES30" s="62"/>
      <c r="ET30" s="62"/>
      <c r="EU30" s="62"/>
      <c r="EV30" s="62"/>
      <c r="EW30" s="62"/>
    </row>
    <row r="31" spans="1:153" x14ac:dyDescent="0.25">
      <c r="A31" s="73" t="s">
        <v>54</v>
      </c>
      <c r="B31" s="228"/>
      <c r="C31" s="66" t="s">
        <v>55</v>
      </c>
      <c r="D31" s="316">
        <v>2129269875</v>
      </c>
      <c r="E31" s="316">
        <v>5196317794</v>
      </c>
      <c r="F31" s="311">
        <f t="shared" si="7"/>
        <v>2.4404223508774341</v>
      </c>
      <c r="G31" s="316">
        <f>+(E31/10)*12</f>
        <v>6235581352.7999992</v>
      </c>
      <c r="H31" s="312">
        <f t="shared" si="8"/>
        <v>2.9285068210529204</v>
      </c>
      <c r="I31" s="317">
        <v>1926388506</v>
      </c>
      <c r="J31" s="89">
        <f t="shared" si="10"/>
        <v>-0.69106513137945313</v>
      </c>
      <c r="K31" s="81">
        <f>+I31*L31</f>
        <v>1733749655.4000001</v>
      </c>
      <c r="L31" s="97">
        <v>0.9</v>
      </c>
      <c r="M31" s="81">
        <f>+I31*N31</f>
        <v>192638850.60000002</v>
      </c>
      <c r="N31" s="97">
        <v>0.1</v>
      </c>
      <c r="O31" s="81"/>
      <c r="P31" s="97"/>
      <c r="Q31" s="81"/>
      <c r="R31" s="97"/>
      <c r="S31" s="97"/>
      <c r="T31" s="316">
        <f>+(Q31/10)*12</f>
        <v>0</v>
      </c>
      <c r="U31" s="339">
        <f t="shared" si="15"/>
        <v>-69.106513137945313</v>
      </c>
    </row>
    <row r="32" spans="1:153" s="64" customFormat="1" x14ac:dyDescent="0.25">
      <c r="A32" s="74" t="s">
        <v>56</v>
      </c>
      <c r="B32" s="222"/>
      <c r="C32" s="63" t="s">
        <v>39</v>
      </c>
      <c r="D32" s="314">
        <v>663826295</v>
      </c>
      <c r="E32" s="314">
        <v>738061766.99000001</v>
      </c>
      <c r="F32" s="311">
        <f t="shared" si="7"/>
        <v>1.1118296647016672</v>
      </c>
      <c r="G32" s="314">
        <f>+E32</f>
        <v>738061766.99000001</v>
      </c>
      <c r="H32" s="312">
        <f t="shared" si="8"/>
        <v>1.1118296647016672</v>
      </c>
      <c r="I32" s="315">
        <v>321064751</v>
      </c>
      <c r="J32" s="89">
        <f t="shared" si="10"/>
        <v>-0.5649893201901216</v>
      </c>
      <c r="K32" s="80">
        <f>+I32*L32</f>
        <v>288958275.90000004</v>
      </c>
      <c r="L32" s="97">
        <v>0.9</v>
      </c>
      <c r="M32" s="80">
        <f>+I32*N32</f>
        <v>32106475.100000001</v>
      </c>
      <c r="N32" s="97">
        <v>0.1</v>
      </c>
      <c r="O32" s="80"/>
      <c r="P32" s="97"/>
      <c r="Q32" s="80"/>
      <c r="R32" s="97"/>
      <c r="S32" s="97"/>
      <c r="T32" s="314">
        <f>+Q32</f>
        <v>0</v>
      </c>
      <c r="U32" s="340">
        <f t="shared" si="15"/>
        <v>-56.498932019012152</v>
      </c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2"/>
      <c r="CH32" s="62"/>
      <c r="CI32" s="62"/>
      <c r="CJ32" s="62"/>
      <c r="CK32" s="62"/>
      <c r="CL32" s="62"/>
      <c r="CM32" s="62"/>
      <c r="CN32" s="62"/>
      <c r="CO32" s="62"/>
      <c r="CP32" s="62"/>
      <c r="CQ32" s="62"/>
      <c r="CR32" s="62"/>
      <c r="CS32" s="62"/>
      <c r="CT32" s="62"/>
      <c r="CU32" s="62"/>
      <c r="CV32" s="62"/>
      <c r="CW32" s="62"/>
      <c r="CX32" s="62"/>
      <c r="CY32" s="62"/>
      <c r="CZ32" s="62"/>
      <c r="DA32" s="62"/>
      <c r="DB32" s="62"/>
      <c r="DC32" s="62"/>
      <c r="DD32" s="62"/>
      <c r="DE32" s="62"/>
      <c r="DF32" s="62"/>
      <c r="DG32" s="62"/>
      <c r="DH32" s="62"/>
      <c r="DI32" s="62"/>
      <c r="DJ32" s="62"/>
      <c r="DK32" s="62"/>
      <c r="DL32" s="62"/>
      <c r="DM32" s="62"/>
      <c r="DN32" s="62"/>
      <c r="DO32" s="62"/>
      <c r="DP32" s="62"/>
      <c r="DQ32" s="62"/>
      <c r="DR32" s="62"/>
      <c r="DS32" s="62"/>
      <c r="DT32" s="62"/>
      <c r="DU32" s="62"/>
      <c r="DV32" s="62"/>
      <c r="DW32" s="62"/>
      <c r="DX32" s="62"/>
      <c r="DY32" s="62"/>
      <c r="DZ32" s="62"/>
      <c r="EA32" s="62"/>
      <c r="EB32" s="62"/>
      <c r="EC32" s="62"/>
      <c r="ED32" s="62"/>
      <c r="EE32" s="62"/>
      <c r="EF32" s="62"/>
      <c r="EG32" s="62"/>
      <c r="EH32" s="62"/>
      <c r="EI32" s="62"/>
      <c r="EJ32" s="62"/>
      <c r="EK32" s="62"/>
      <c r="EL32" s="62"/>
      <c r="EM32" s="62"/>
      <c r="EN32" s="62"/>
      <c r="EO32" s="62"/>
      <c r="EP32" s="62"/>
      <c r="EQ32" s="62"/>
      <c r="ER32" s="62"/>
      <c r="ES32" s="62"/>
      <c r="ET32" s="62"/>
      <c r="EU32" s="62"/>
      <c r="EV32" s="62"/>
      <c r="EW32" s="62"/>
    </row>
    <row r="33" spans="1:153" x14ac:dyDescent="0.25">
      <c r="A33" s="75" t="s">
        <v>57</v>
      </c>
      <c r="B33" s="227">
        <v>23</v>
      </c>
      <c r="C33" s="66" t="s">
        <v>58</v>
      </c>
      <c r="D33" s="316">
        <f>+D34+D35</f>
        <v>5213166714</v>
      </c>
      <c r="E33" s="316">
        <f t="shared" ref="E33:G33" si="69">+E34+E35</f>
        <v>1617828035.02</v>
      </c>
      <c r="F33" s="311">
        <f t="shared" si="7"/>
        <v>0.31033498903369233</v>
      </c>
      <c r="G33" s="316">
        <f t="shared" si="69"/>
        <v>1885381994.188</v>
      </c>
      <c r="H33" s="312">
        <f t="shared" si="8"/>
        <v>0.36165772123204726</v>
      </c>
      <c r="I33" s="317">
        <f t="shared" ref="I33" si="70">+I34+I35</f>
        <v>8106255758</v>
      </c>
      <c r="J33" s="89">
        <f t="shared" si="10"/>
        <v>3.2995296353677221</v>
      </c>
      <c r="K33" s="85">
        <f t="shared" ref="K33:Q33" si="71">+K34+K35</f>
        <v>7295630182.1999998</v>
      </c>
      <c r="L33" s="97"/>
      <c r="M33" s="85">
        <f t="shared" si="71"/>
        <v>810625575.80000007</v>
      </c>
      <c r="N33" s="97"/>
      <c r="O33" s="85">
        <f t="shared" si="71"/>
        <v>0</v>
      </c>
      <c r="P33" s="97"/>
      <c r="Q33" s="85">
        <f t="shared" si="71"/>
        <v>0</v>
      </c>
      <c r="R33" s="97"/>
      <c r="S33" s="97"/>
      <c r="T33" s="316">
        <f t="shared" ref="T33" si="72">+T34+T35</f>
        <v>0</v>
      </c>
      <c r="U33" s="339">
        <f t="shared" si="15"/>
        <v>329.95296353677219</v>
      </c>
    </row>
    <row r="34" spans="1:153" s="64" customFormat="1" x14ac:dyDescent="0.25">
      <c r="A34" s="74" t="s">
        <v>59</v>
      </c>
      <c r="B34" s="222"/>
      <c r="C34" s="63" t="s">
        <v>55</v>
      </c>
      <c r="D34" s="314">
        <v>5067947331</v>
      </c>
      <c r="E34" s="314">
        <v>1337769795.8399999</v>
      </c>
      <c r="F34" s="311">
        <f t="shared" si="7"/>
        <v>0.26396679137863754</v>
      </c>
      <c r="G34" s="314">
        <f>+(E34/10)*12</f>
        <v>1605323755.0079999</v>
      </c>
      <c r="H34" s="312">
        <f t="shared" si="8"/>
        <v>0.31676014965436505</v>
      </c>
      <c r="I34" s="315">
        <v>7482697623</v>
      </c>
      <c r="J34" s="89">
        <f t="shared" si="10"/>
        <v>3.6611766627490736</v>
      </c>
      <c r="K34" s="80">
        <f>+I34*L34</f>
        <v>6734427860.6999998</v>
      </c>
      <c r="L34" s="97">
        <v>0.9</v>
      </c>
      <c r="M34" s="80">
        <f>+I34*N34</f>
        <v>748269762.30000007</v>
      </c>
      <c r="N34" s="97">
        <v>0.1</v>
      </c>
      <c r="O34" s="80"/>
      <c r="P34" s="97"/>
      <c r="Q34" s="80"/>
      <c r="R34" s="97"/>
      <c r="S34" s="97"/>
      <c r="T34" s="314">
        <f>+(Q34/10)*12</f>
        <v>0</v>
      </c>
      <c r="U34" s="340">
        <f t="shared" si="15"/>
        <v>366.11766627490738</v>
      </c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/>
      <c r="CG34" s="62"/>
      <c r="CH34" s="62"/>
      <c r="CI34" s="62"/>
      <c r="CJ34" s="62"/>
      <c r="CK34" s="62"/>
      <c r="CL34" s="62"/>
      <c r="CM34" s="62"/>
      <c r="CN34" s="62"/>
      <c r="CO34" s="62"/>
      <c r="CP34" s="62"/>
      <c r="CQ34" s="62"/>
      <c r="CR34" s="62"/>
      <c r="CS34" s="62"/>
      <c r="CT34" s="62"/>
      <c r="CU34" s="62"/>
      <c r="CV34" s="62"/>
      <c r="CW34" s="62"/>
      <c r="CX34" s="62"/>
      <c r="CY34" s="62"/>
      <c r="CZ34" s="62"/>
      <c r="DA34" s="62"/>
      <c r="DB34" s="62"/>
      <c r="DC34" s="62"/>
      <c r="DD34" s="62"/>
      <c r="DE34" s="62"/>
      <c r="DF34" s="62"/>
      <c r="DG34" s="62"/>
      <c r="DH34" s="62"/>
      <c r="DI34" s="62"/>
      <c r="DJ34" s="62"/>
      <c r="DK34" s="62"/>
      <c r="DL34" s="62"/>
      <c r="DM34" s="62"/>
      <c r="DN34" s="62"/>
      <c r="DO34" s="62"/>
      <c r="DP34" s="62"/>
      <c r="DQ34" s="62"/>
      <c r="DR34" s="62"/>
      <c r="DS34" s="62"/>
      <c r="DT34" s="62"/>
      <c r="DU34" s="62"/>
      <c r="DV34" s="62"/>
      <c r="DW34" s="62"/>
      <c r="DX34" s="62"/>
      <c r="DY34" s="62"/>
      <c r="DZ34" s="62"/>
      <c r="EA34" s="62"/>
      <c r="EB34" s="62"/>
      <c r="EC34" s="62"/>
      <c r="ED34" s="62"/>
      <c r="EE34" s="62"/>
      <c r="EF34" s="62"/>
      <c r="EG34" s="62"/>
      <c r="EH34" s="62"/>
      <c r="EI34" s="62"/>
      <c r="EJ34" s="62"/>
      <c r="EK34" s="62"/>
      <c r="EL34" s="62"/>
      <c r="EM34" s="62"/>
      <c r="EN34" s="62"/>
      <c r="EO34" s="62"/>
      <c r="EP34" s="62"/>
      <c r="EQ34" s="62"/>
      <c r="ER34" s="62"/>
      <c r="ES34" s="62"/>
      <c r="ET34" s="62"/>
      <c r="EU34" s="62"/>
      <c r="EV34" s="62"/>
      <c r="EW34" s="62"/>
    </row>
    <row r="35" spans="1:153" x14ac:dyDescent="0.25">
      <c r="A35" s="75" t="s">
        <v>60</v>
      </c>
      <c r="B35" s="227"/>
      <c r="C35" s="66" t="s">
        <v>39</v>
      </c>
      <c r="D35" s="316">
        <v>145219383</v>
      </c>
      <c r="E35" s="316">
        <v>280058239.18000001</v>
      </c>
      <c r="F35" s="311">
        <f t="shared" si="7"/>
        <v>1.9285183106720678</v>
      </c>
      <c r="G35" s="316">
        <f>+E35</f>
        <v>280058239.18000001</v>
      </c>
      <c r="H35" s="312">
        <f t="shared" si="8"/>
        <v>1.9285183106720678</v>
      </c>
      <c r="I35" s="317">
        <v>623558135</v>
      </c>
      <c r="J35" s="89">
        <f t="shared" si="10"/>
        <v>1.2265302275189431</v>
      </c>
      <c r="K35" s="81">
        <f>+I35*L35</f>
        <v>561202321.5</v>
      </c>
      <c r="L35" s="97">
        <v>0.9</v>
      </c>
      <c r="M35" s="81">
        <f>+I35*N35</f>
        <v>62355813.5</v>
      </c>
      <c r="N35" s="97">
        <v>0.1</v>
      </c>
      <c r="O35" s="81"/>
      <c r="P35" s="97"/>
      <c r="Q35" s="81"/>
      <c r="R35" s="97"/>
      <c r="S35" s="97"/>
      <c r="T35" s="316">
        <f>+Q35</f>
        <v>0</v>
      </c>
      <c r="U35" s="339">
        <f t="shared" si="15"/>
        <v>122.65302275189433</v>
      </c>
    </row>
    <row r="36" spans="1:153" s="64" customFormat="1" x14ac:dyDescent="0.25">
      <c r="A36" s="74" t="s">
        <v>61</v>
      </c>
      <c r="B36" s="222">
        <v>51</v>
      </c>
      <c r="C36" s="63" t="s">
        <v>62</v>
      </c>
      <c r="D36" s="314">
        <f>+D37+D38</f>
        <v>1424686900</v>
      </c>
      <c r="E36" s="314">
        <f t="shared" ref="E36:G36" si="73">+E37+E38</f>
        <v>1594782766</v>
      </c>
      <c r="F36" s="311">
        <f t="shared" si="7"/>
        <v>1.1193917526721133</v>
      </c>
      <c r="G36" s="314">
        <f t="shared" si="73"/>
        <v>1903026398.1999998</v>
      </c>
      <c r="H36" s="312">
        <f t="shared" si="8"/>
        <v>1.3357506117309002</v>
      </c>
      <c r="I36" s="315">
        <f t="shared" ref="I36:Q36" si="74">+I37+I38</f>
        <v>2278275217.3399997</v>
      </c>
      <c r="J36" s="89">
        <f t="shared" si="10"/>
        <v>0.19718529364329021</v>
      </c>
      <c r="K36" s="84">
        <f t="shared" si="74"/>
        <v>0</v>
      </c>
      <c r="L36" s="97"/>
      <c r="M36" s="84">
        <f t="shared" si="74"/>
        <v>227827521.734</v>
      </c>
      <c r="N36" s="97"/>
      <c r="O36" s="84">
        <f t="shared" si="74"/>
        <v>227827521.734</v>
      </c>
      <c r="P36" s="97"/>
      <c r="Q36" s="84">
        <f t="shared" si="74"/>
        <v>1822620173.872</v>
      </c>
      <c r="R36" s="97"/>
      <c r="S36" s="97"/>
      <c r="T36" s="314">
        <f t="shared" ref="T36" si="75">+T37+T38</f>
        <v>2177716838.1664</v>
      </c>
      <c r="U36" s="340">
        <f t="shared" si="15"/>
        <v>19.718529364329029</v>
      </c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62"/>
      <c r="CG36" s="62"/>
      <c r="CH36" s="62"/>
      <c r="CI36" s="62"/>
      <c r="CJ36" s="62"/>
      <c r="CK36" s="62"/>
      <c r="CL36" s="62"/>
      <c r="CM36" s="62"/>
      <c r="CN36" s="62"/>
      <c r="CO36" s="62"/>
      <c r="CP36" s="62"/>
      <c r="CQ36" s="62"/>
      <c r="CR36" s="62"/>
      <c r="CS36" s="62"/>
      <c r="CT36" s="62"/>
      <c r="CU36" s="62"/>
      <c r="CV36" s="62"/>
      <c r="CW36" s="62"/>
      <c r="CX36" s="62"/>
      <c r="CY36" s="62"/>
      <c r="CZ36" s="62"/>
      <c r="DA36" s="62"/>
      <c r="DB36" s="62"/>
      <c r="DC36" s="62"/>
      <c r="DD36" s="62"/>
      <c r="DE36" s="62"/>
      <c r="DF36" s="62"/>
      <c r="DG36" s="62"/>
      <c r="DH36" s="62"/>
      <c r="DI36" s="62"/>
      <c r="DJ36" s="62"/>
      <c r="DK36" s="62"/>
      <c r="DL36" s="62"/>
      <c r="DM36" s="62"/>
      <c r="DN36" s="62"/>
      <c r="DO36" s="62"/>
      <c r="DP36" s="62"/>
      <c r="DQ36" s="62"/>
      <c r="DR36" s="62"/>
      <c r="DS36" s="62"/>
      <c r="DT36" s="62"/>
      <c r="DU36" s="62"/>
      <c r="DV36" s="62"/>
      <c r="DW36" s="62"/>
      <c r="DX36" s="62"/>
      <c r="DY36" s="62"/>
      <c r="DZ36" s="62"/>
      <c r="EA36" s="62"/>
      <c r="EB36" s="62"/>
      <c r="EC36" s="62"/>
      <c r="ED36" s="62"/>
      <c r="EE36" s="62"/>
      <c r="EF36" s="62"/>
      <c r="EG36" s="62"/>
      <c r="EH36" s="62"/>
      <c r="EI36" s="62"/>
      <c r="EJ36" s="62"/>
      <c r="EK36" s="62"/>
      <c r="EL36" s="62"/>
      <c r="EM36" s="62"/>
      <c r="EN36" s="62"/>
      <c r="EO36" s="62"/>
      <c r="EP36" s="62"/>
      <c r="EQ36" s="62"/>
      <c r="ER36" s="62"/>
      <c r="ES36" s="62"/>
      <c r="ET36" s="62"/>
      <c r="EU36" s="62"/>
      <c r="EV36" s="62"/>
      <c r="EW36" s="62"/>
    </row>
    <row r="37" spans="1:153" x14ac:dyDescent="0.25">
      <c r="A37" s="75" t="s">
        <v>63</v>
      </c>
      <c r="B37" s="227"/>
      <c r="C37" s="66" t="s">
        <v>55</v>
      </c>
      <c r="D37" s="316">
        <v>1323171610</v>
      </c>
      <c r="E37" s="316">
        <v>1541218161</v>
      </c>
      <c r="F37" s="311">
        <f t="shared" si="7"/>
        <v>1.1647908323849239</v>
      </c>
      <c r="G37" s="316">
        <f>+(E37/10)*12</f>
        <v>1849461793.1999998</v>
      </c>
      <c r="H37" s="312">
        <f t="shared" si="8"/>
        <v>1.3977489988619087</v>
      </c>
      <c r="I37" s="317">
        <f>+G37*1.2</f>
        <v>2219354151.8399997</v>
      </c>
      <c r="J37" s="89">
        <f t="shared" si="10"/>
        <v>0.19999999999999996</v>
      </c>
      <c r="K37" s="81"/>
      <c r="L37" s="97"/>
      <c r="M37" s="81">
        <f>+I37*N37</f>
        <v>221935415.18399999</v>
      </c>
      <c r="N37" s="97">
        <v>0.1</v>
      </c>
      <c r="O37" s="81">
        <f>+I37*P37</f>
        <v>221935415.18399999</v>
      </c>
      <c r="P37" s="97">
        <v>0.1</v>
      </c>
      <c r="Q37" s="81">
        <f>+R37*I37</f>
        <v>1775483321.4719999</v>
      </c>
      <c r="R37" s="97">
        <v>0.8</v>
      </c>
      <c r="S37" s="97"/>
      <c r="T37" s="316">
        <f>+(Q37/10)*12</f>
        <v>2130579985.7663999</v>
      </c>
      <c r="U37" s="339">
        <f t="shared" si="15"/>
        <v>20</v>
      </c>
    </row>
    <row r="38" spans="1:153" s="64" customFormat="1" x14ac:dyDescent="0.25">
      <c r="A38" s="74" t="s">
        <v>64</v>
      </c>
      <c r="B38" s="222"/>
      <c r="C38" s="63" t="s">
        <v>39</v>
      </c>
      <c r="D38" s="314">
        <v>101515290</v>
      </c>
      <c r="E38" s="314">
        <v>53564605</v>
      </c>
      <c r="F38" s="311">
        <f t="shared" si="7"/>
        <v>0.52765061302588012</v>
      </c>
      <c r="G38" s="314">
        <f>+E38</f>
        <v>53564605</v>
      </c>
      <c r="H38" s="312">
        <f t="shared" si="8"/>
        <v>0.52765061302588012</v>
      </c>
      <c r="I38" s="315">
        <f>+G38*1.1</f>
        <v>58921065.500000007</v>
      </c>
      <c r="J38" s="89">
        <f t="shared" si="10"/>
        <v>0.10000000000000014</v>
      </c>
      <c r="K38" s="80"/>
      <c r="L38" s="97"/>
      <c r="M38" s="80">
        <f>+I38*N38</f>
        <v>5892106.5500000007</v>
      </c>
      <c r="N38" s="97">
        <v>0.1</v>
      </c>
      <c r="O38" s="80">
        <f>+P38*I38</f>
        <v>5892106.5500000007</v>
      </c>
      <c r="P38" s="97">
        <v>0.1</v>
      </c>
      <c r="Q38" s="80">
        <f>+R38*I38</f>
        <v>47136852.400000006</v>
      </c>
      <c r="R38" s="97">
        <v>0.8</v>
      </c>
      <c r="S38" s="97"/>
      <c r="T38" s="314">
        <f>+Q38</f>
        <v>47136852.400000006</v>
      </c>
      <c r="U38" s="340">
        <f t="shared" si="15"/>
        <v>10.000000000000014</v>
      </c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2"/>
      <c r="CA38" s="62"/>
      <c r="CB38" s="62"/>
      <c r="CC38" s="62"/>
      <c r="CD38" s="62"/>
      <c r="CE38" s="62"/>
      <c r="CF38" s="62"/>
      <c r="CG38" s="62"/>
      <c r="CH38" s="62"/>
      <c r="CI38" s="62"/>
      <c r="CJ38" s="62"/>
      <c r="CK38" s="62"/>
      <c r="CL38" s="62"/>
      <c r="CM38" s="62"/>
      <c r="CN38" s="62"/>
      <c r="CO38" s="62"/>
      <c r="CP38" s="62"/>
      <c r="CQ38" s="62"/>
      <c r="CR38" s="62"/>
      <c r="CS38" s="62"/>
      <c r="CT38" s="62"/>
      <c r="CU38" s="62"/>
      <c r="CV38" s="62"/>
      <c r="CW38" s="62"/>
      <c r="CX38" s="62"/>
      <c r="CY38" s="62"/>
      <c r="CZ38" s="62"/>
      <c r="DA38" s="62"/>
      <c r="DB38" s="62"/>
      <c r="DC38" s="62"/>
      <c r="DD38" s="62"/>
      <c r="DE38" s="62"/>
      <c r="DF38" s="62"/>
      <c r="DG38" s="62"/>
      <c r="DH38" s="62"/>
      <c r="DI38" s="62"/>
      <c r="DJ38" s="62"/>
      <c r="DK38" s="62"/>
      <c r="DL38" s="62"/>
      <c r="DM38" s="62"/>
      <c r="DN38" s="62"/>
      <c r="DO38" s="62"/>
      <c r="DP38" s="62"/>
      <c r="DQ38" s="62"/>
      <c r="DR38" s="62"/>
      <c r="DS38" s="62"/>
      <c r="DT38" s="62"/>
      <c r="DU38" s="62"/>
      <c r="DV38" s="62"/>
      <c r="DW38" s="62"/>
      <c r="DX38" s="62"/>
      <c r="DY38" s="62"/>
      <c r="DZ38" s="62"/>
      <c r="EA38" s="62"/>
      <c r="EB38" s="62"/>
      <c r="EC38" s="62"/>
      <c r="ED38" s="62"/>
      <c r="EE38" s="62"/>
      <c r="EF38" s="62"/>
      <c r="EG38" s="62"/>
      <c r="EH38" s="62"/>
      <c r="EI38" s="62"/>
      <c r="EJ38" s="62"/>
      <c r="EK38" s="62"/>
      <c r="EL38" s="62"/>
      <c r="EM38" s="62"/>
      <c r="EN38" s="62"/>
      <c r="EO38" s="62"/>
      <c r="EP38" s="62"/>
      <c r="EQ38" s="62"/>
      <c r="ER38" s="62"/>
      <c r="ES38" s="62"/>
      <c r="ET38" s="62"/>
      <c r="EU38" s="62"/>
      <c r="EV38" s="62"/>
      <c r="EW38" s="62"/>
    </row>
    <row r="39" spans="1:153" x14ac:dyDescent="0.25">
      <c r="A39" s="75" t="s">
        <v>65</v>
      </c>
      <c r="B39" s="227">
        <v>52</v>
      </c>
      <c r="C39" s="66" t="s">
        <v>66</v>
      </c>
      <c r="D39" s="316">
        <f>+D40+D41</f>
        <v>7207618693</v>
      </c>
      <c r="E39" s="316">
        <f t="shared" ref="E39:G39" si="76">+E40+E41</f>
        <v>6192382318</v>
      </c>
      <c r="F39" s="311">
        <f t="shared" si="7"/>
        <v>0.85914399495273075</v>
      </c>
      <c r="G39" s="316">
        <f t="shared" si="76"/>
        <v>7404812945.5999994</v>
      </c>
      <c r="H39" s="312">
        <f t="shared" si="8"/>
        <v>1.0273591405149545</v>
      </c>
      <c r="I39" s="317">
        <f t="shared" ref="I39:Q39" si="77">+I40+I41</f>
        <v>8872752616.7199993</v>
      </c>
      <c r="J39" s="89">
        <f t="shared" si="10"/>
        <v>0.19824129007772731</v>
      </c>
      <c r="K39" s="85">
        <f t="shared" si="77"/>
        <v>0</v>
      </c>
      <c r="L39" s="97"/>
      <c r="M39" s="85">
        <f t="shared" si="77"/>
        <v>887275261.67199993</v>
      </c>
      <c r="N39" s="97"/>
      <c r="O39" s="85">
        <f t="shared" si="77"/>
        <v>887275261.67199993</v>
      </c>
      <c r="P39" s="97"/>
      <c r="Q39" s="85">
        <f t="shared" si="77"/>
        <v>7098202093.3759995</v>
      </c>
      <c r="R39" s="97"/>
      <c r="S39" s="97"/>
      <c r="T39" s="316">
        <f t="shared" ref="T39" si="78">+T40+T41</f>
        <v>8494922176.3711987</v>
      </c>
      <c r="U39" s="339">
        <f t="shared" si="15"/>
        <v>19.824129007772726</v>
      </c>
    </row>
    <row r="40" spans="1:153" s="64" customFormat="1" x14ac:dyDescent="0.25">
      <c r="A40" s="74" t="s">
        <v>67</v>
      </c>
      <c r="B40" s="222"/>
      <c r="C40" s="63" t="s">
        <v>55</v>
      </c>
      <c r="D40" s="314">
        <v>7090320866</v>
      </c>
      <c r="E40" s="314">
        <v>6062153138</v>
      </c>
      <c r="F40" s="311">
        <f t="shared" si="7"/>
        <v>0.85498995779861786</v>
      </c>
      <c r="G40" s="314">
        <f>+(E40/10)*12</f>
        <v>7274583765.5999994</v>
      </c>
      <c r="H40" s="312">
        <f t="shared" si="8"/>
        <v>1.0259879493583415</v>
      </c>
      <c r="I40" s="315">
        <f>+G40*1.2</f>
        <v>8729500518.7199993</v>
      </c>
      <c r="J40" s="89">
        <f t="shared" si="10"/>
        <v>0.2</v>
      </c>
      <c r="K40" s="80"/>
      <c r="L40" s="97"/>
      <c r="M40" s="80">
        <f>+N40*I40</f>
        <v>872950051.87199998</v>
      </c>
      <c r="N40" s="97">
        <v>0.1</v>
      </c>
      <c r="O40" s="80">
        <f>+P40*I40</f>
        <v>872950051.87199998</v>
      </c>
      <c r="P40" s="97">
        <v>0.1</v>
      </c>
      <c r="Q40" s="80">
        <f>+R40*I40</f>
        <v>6983600414.9759998</v>
      </c>
      <c r="R40" s="97">
        <v>0.8</v>
      </c>
      <c r="S40" s="97"/>
      <c r="T40" s="314">
        <f>+(Q40/10)*12</f>
        <v>8380320497.971199</v>
      </c>
      <c r="U40" s="340">
        <f t="shared" si="15"/>
        <v>20</v>
      </c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2"/>
      <c r="BM40" s="62"/>
      <c r="BN40" s="62"/>
      <c r="BO40" s="62"/>
      <c r="BP40" s="62"/>
      <c r="BQ40" s="62"/>
      <c r="BR40" s="62"/>
      <c r="BS40" s="62"/>
      <c r="BT40" s="62"/>
      <c r="BU40" s="62"/>
      <c r="BV40" s="62"/>
      <c r="BW40" s="62"/>
      <c r="BX40" s="62"/>
      <c r="BY40" s="62"/>
      <c r="BZ40" s="62"/>
      <c r="CA40" s="62"/>
      <c r="CB40" s="62"/>
      <c r="CC40" s="62"/>
      <c r="CD40" s="62"/>
      <c r="CE40" s="62"/>
      <c r="CF40" s="62"/>
      <c r="CG40" s="62"/>
      <c r="CH40" s="62"/>
      <c r="CI40" s="62"/>
      <c r="CJ40" s="62"/>
      <c r="CK40" s="62"/>
      <c r="CL40" s="62"/>
      <c r="CM40" s="62"/>
      <c r="CN40" s="62"/>
      <c r="CO40" s="62"/>
      <c r="CP40" s="62"/>
      <c r="CQ40" s="62"/>
      <c r="CR40" s="62"/>
      <c r="CS40" s="62"/>
      <c r="CT40" s="62"/>
      <c r="CU40" s="62"/>
      <c r="CV40" s="62"/>
      <c r="CW40" s="62"/>
      <c r="CX40" s="62"/>
      <c r="CY40" s="62"/>
      <c r="CZ40" s="62"/>
      <c r="DA40" s="62"/>
      <c r="DB40" s="62"/>
      <c r="DC40" s="62"/>
      <c r="DD40" s="62"/>
      <c r="DE40" s="62"/>
      <c r="DF40" s="62"/>
      <c r="DG40" s="62"/>
      <c r="DH40" s="62"/>
      <c r="DI40" s="62"/>
      <c r="DJ40" s="62"/>
      <c r="DK40" s="62"/>
      <c r="DL40" s="62"/>
      <c r="DM40" s="62"/>
      <c r="DN40" s="62"/>
      <c r="DO40" s="62"/>
      <c r="DP40" s="62"/>
      <c r="DQ40" s="62"/>
      <c r="DR40" s="62"/>
      <c r="DS40" s="62"/>
      <c r="DT40" s="62"/>
      <c r="DU40" s="62"/>
      <c r="DV40" s="62"/>
      <c r="DW40" s="62"/>
      <c r="DX40" s="62"/>
      <c r="DY40" s="62"/>
      <c r="DZ40" s="62"/>
      <c r="EA40" s="62"/>
      <c r="EB40" s="62"/>
      <c r="EC40" s="62"/>
      <c r="ED40" s="62"/>
      <c r="EE40" s="62"/>
      <c r="EF40" s="62"/>
      <c r="EG40" s="62"/>
      <c r="EH40" s="62"/>
      <c r="EI40" s="62"/>
      <c r="EJ40" s="62"/>
      <c r="EK40" s="62"/>
      <c r="EL40" s="62"/>
      <c r="EM40" s="62"/>
      <c r="EN40" s="62"/>
      <c r="EO40" s="62"/>
      <c r="EP40" s="62"/>
      <c r="EQ40" s="62"/>
      <c r="ER40" s="62"/>
      <c r="ES40" s="62"/>
      <c r="ET40" s="62"/>
      <c r="EU40" s="62"/>
      <c r="EV40" s="62"/>
      <c r="EW40" s="62"/>
    </row>
    <row r="41" spans="1:153" x14ac:dyDescent="0.25">
      <c r="A41" s="73" t="s">
        <v>68</v>
      </c>
      <c r="B41" s="228"/>
      <c r="C41" s="66" t="s">
        <v>39</v>
      </c>
      <c r="D41" s="316">
        <v>117297827</v>
      </c>
      <c r="E41" s="316">
        <v>130229180</v>
      </c>
      <c r="F41" s="311">
        <f t="shared" si="7"/>
        <v>1.1102437558370113</v>
      </c>
      <c r="G41" s="316">
        <f>+E41</f>
        <v>130229180</v>
      </c>
      <c r="H41" s="312">
        <f t="shared" si="8"/>
        <v>1.1102437558370113</v>
      </c>
      <c r="I41" s="317">
        <f>+G41*1.1</f>
        <v>143252098</v>
      </c>
      <c r="J41" s="89">
        <f t="shared" si="10"/>
        <v>0.1</v>
      </c>
      <c r="K41" s="81"/>
      <c r="L41" s="97"/>
      <c r="M41" s="81">
        <f>+N41*I41</f>
        <v>14325209.800000001</v>
      </c>
      <c r="N41" s="97">
        <v>0.1</v>
      </c>
      <c r="O41" s="81">
        <f>+P41*I41</f>
        <v>14325209.800000001</v>
      </c>
      <c r="P41" s="97">
        <v>0.1</v>
      </c>
      <c r="Q41" s="81">
        <f>+R41*I41</f>
        <v>114601678.40000001</v>
      </c>
      <c r="R41" s="97">
        <v>0.8</v>
      </c>
      <c r="S41" s="97"/>
      <c r="T41" s="316">
        <f>+Q41</f>
        <v>114601678.40000001</v>
      </c>
      <c r="U41" s="339">
        <f t="shared" si="15"/>
        <v>10.000000000000014</v>
      </c>
    </row>
    <row r="42" spans="1:153" s="64" customFormat="1" x14ac:dyDescent="0.25">
      <c r="A42" s="74" t="s">
        <v>69</v>
      </c>
      <c r="B42" s="222">
        <v>53</v>
      </c>
      <c r="C42" s="63" t="s">
        <v>70</v>
      </c>
      <c r="D42" s="314">
        <f>+D43+D44</f>
        <v>150000000</v>
      </c>
      <c r="E42" s="314">
        <f t="shared" ref="E42:G42" si="79">+E43+E44</f>
        <v>42640883</v>
      </c>
      <c r="F42" s="311">
        <f t="shared" si="7"/>
        <v>0.28427255333333334</v>
      </c>
      <c r="G42" s="314">
        <f t="shared" si="79"/>
        <v>47068378</v>
      </c>
      <c r="H42" s="312">
        <f t="shared" si="8"/>
        <v>0.31378918666666666</v>
      </c>
      <c r="I42" s="315">
        <f t="shared" ref="I42:Q42" si="80">+I43+I44</f>
        <v>155312994</v>
      </c>
      <c r="J42" s="89">
        <f t="shared" si="10"/>
        <v>2.299731169831261</v>
      </c>
      <c r="K42" s="84">
        <f t="shared" si="80"/>
        <v>0</v>
      </c>
      <c r="L42" s="97"/>
      <c r="M42" s="84">
        <f t="shared" si="80"/>
        <v>15531299.4</v>
      </c>
      <c r="N42" s="97"/>
      <c r="O42" s="84">
        <f t="shared" si="80"/>
        <v>15531299.4</v>
      </c>
      <c r="P42" s="97"/>
      <c r="Q42" s="84">
        <f t="shared" si="80"/>
        <v>124250395.2</v>
      </c>
      <c r="R42" s="97"/>
      <c r="S42" s="97"/>
      <c r="T42" s="314">
        <f t="shared" ref="T42" si="81">+T43+T44</f>
        <v>148250395.19999999</v>
      </c>
      <c r="U42" s="340">
        <f t="shared" si="15"/>
        <v>229.97311698312609</v>
      </c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2"/>
      <c r="BM42" s="62"/>
      <c r="BN42" s="62"/>
      <c r="BO42" s="62"/>
      <c r="BP42" s="62"/>
      <c r="BQ42" s="62"/>
      <c r="BR42" s="62"/>
      <c r="BS42" s="62"/>
      <c r="BT42" s="62"/>
      <c r="BU42" s="62"/>
      <c r="BV42" s="62"/>
      <c r="BW42" s="62"/>
      <c r="BX42" s="62"/>
      <c r="BY42" s="62"/>
      <c r="BZ42" s="62"/>
      <c r="CA42" s="62"/>
      <c r="CB42" s="62"/>
      <c r="CC42" s="62"/>
      <c r="CD42" s="62"/>
      <c r="CE42" s="62"/>
      <c r="CF42" s="62"/>
      <c r="CG42" s="62"/>
      <c r="CH42" s="62"/>
      <c r="CI42" s="62"/>
      <c r="CJ42" s="62"/>
      <c r="CK42" s="62"/>
      <c r="CL42" s="62"/>
      <c r="CM42" s="62"/>
      <c r="CN42" s="62"/>
      <c r="CO42" s="62"/>
      <c r="CP42" s="62"/>
      <c r="CQ42" s="62"/>
      <c r="CR42" s="62"/>
      <c r="CS42" s="62"/>
      <c r="CT42" s="62"/>
      <c r="CU42" s="62"/>
      <c r="CV42" s="62"/>
      <c r="CW42" s="62"/>
      <c r="CX42" s="62"/>
      <c r="CY42" s="62"/>
      <c r="CZ42" s="62"/>
      <c r="DA42" s="62"/>
      <c r="DB42" s="62"/>
      <c r="DC42" s="62"/>
      <c r="DD42" s="62"/>
      <c r="DE42" s="62"/>
      <c r="DF42" s="62"/>
      <c r="DG42" s="62"/>
      <c r="DH42" s="62"/>
      <c r="DI42" s="62"/>
      <c r="DJ42" s="62"/>
      <c r="DK42" s="62"/>
      <c r="DL42" s="62"/>
      <c r="DM42" s="62"/>
      <c r="DN42" s="62"/>
      <c r="DO42" s="62"/>
      <c r="DP42" s="62"/>
      <c r="DQ42" s="62"/>
      <c r="DR42" s="62"/>
      <c r="DS42" s="62"/>
      <c r="DT42" s="62"/>
      <c r="DU42" s="62"/>
      <c r="DV42" s="62"/>
      <c r="DW42" s="62"/>
      <c r="DX42" s="62"/>
      <c r="DY42" s="62"/>
      <c r="DZ42" s="62"/>
      <c r="EA42" s="62"/>
      <c r="EB42" s="62"/>
      <c r="EC42" s="62"/>
      <c r="ED42" s="62"/>
      <c r="EE42" s="62"/>
      <c r="EF42" s="62"/>
      <c r="EG42" s="62"/>
      <c r="EH42" s="62"/>
      <c r="EI42" s="62"/>
      <c r="EJ42" s="62"/>
      <c r="EK42" s="62"/>
      <c r="EL42" s="62"/>
      <c r="EM42" s="62"/>
      <c r="EN42" s="62"/>
      <c r="EO42" s="62"/>
      <c r="EP42" s="62"/>
      <c r="EQ42" s="62"/>
      <c r="ER42" s="62"/>
      <c r="ES42" s="62"/>
      <c r="ET42" s="62"/>
      <c r="EU42" s="62"/>
      <c r="EV42" s="62"/>
      <c r="EW42" s="62"/>
    </row>
    <row r="43" spans="1:153" x14ac:dyDescent="0.25">
      <c r="A43" s="75" t="s">
        <v>71</v>
      </c>
      <c r="B43" s="227"/>
      <c r="C43" s="66" t="s">
        <v>13</v>
      </c>
      <c r="D43" s="316">
        <v>150000000</v>
      </c>
      <c r="E43" s="316">
        <v>22137475</v>
      </c>
      <c r="F43" s="311">
        <f t="shared" si="7"/>
        <v>0.14758316666666665</v>
      </c>
      <c r="G43" s="316">
        <f>+E43*1.2</f>
        <v>26564970</v>
      </c>
      <c r="H43" s="312">
        <f t="shared" si="8"/>
        <v>0.1770998</v>
      </c>
      <c r="I43" s="317">
        <v>150000000</v>
      </c>
      <c r="J43" s="89">
        <f t="shared" si="10"/>
        <v>4.6465337623193248</v>
      </c>
      <c r="K43" s="81"/>
      <c r="L43" s="97"/>
      <c r="M43" s="81">
        <f>+I43*N43</f>
        <v>15000000</v>
      </c>
      <c r="N43" s="97">
        <v>0.1</v>
      </c>
      <c r="O43" s="81">
        <f>+I43*P43</f>
        <v>15000000</v>
      </c>
      <c r="P43" s="97">
        <v>0.1</v>
      </c>
      <c r="Q43" s="81">
        <f>+I43*R43</f>
        <v>120000000</v>
      </c>
      <c r="R43" s="97">
        <v>0.8</v>
      </c>
      <c r="S43" s="97"/>
      <c r="T43" s="316">
        <f>+Q43*1.2</f>
        <v>144000000</v>
      </c>
      <c r="U43" s="339">
        <f t="shared" si="15"/>
        <v>464.6533762319325</v>
      </c>
    </row>
    <row r="44" spans="1:153" s="64" customFormat="1" x14ac:dyDescent="0.25">
      <c r="A44" s="74" t="s">
        <v>72</v>
      </c>
      <c r="B44" s="222"/>
      <c r="C44" s="63" t="s">
        <v>15</v>
      </c>
      <c r="D44" s="314">
        <v>0</v>
      </c>
      <c r="E44" s="314">
        <v>20503408</v>
      </c>
      <c r="F44" s="311">
        <v>0</v>
      </c>
      <c r="G44" s="314">
        <f>+E44</f>
        <v>20503408</v>
      </c>
      <c r="H44" s="312">
        <v>0</v>
      </c>
      <c r="I44" s="315">
        <f>+G43*0.2</f>
        <v>5312994</v>
      </c>
      <c r="J44" s="89">
        <f t="shared" si="10"/>
        <v>-0.74087263931927805</v>
      </c>
      <c r="K44" s="80"/>
      <c r="L44" s="97"/>
      <c r="M44" s="80">
        <f>+I44*N44</f>
        <v>531299.4</v>
      </c>
      <c r="N44" s="97">
        <v>0.1</v>
      </c>
      <c r="O44" s="80">
        <f>+I44*P44</f>
        <v>531299.4</v>
      </c>
      <c r="P44" s="97">
        <v>0.1</v>
      </c>
      <c r="Q44" s="80">
        <f>+I44*R44</f>
        <v>4250395.2</v>
      </c>
      <c r="R44" s="97">
        <v>0.8</v>
      </c>
      <c r="S44" s="97"/>
      <c r="T44" s="314">
        <f>+Q44</f>
        <v>4250395.2</v>
      </c>
      <c r="U44" s="340">
        <f t="shared" si="15"/>
        <v>-74.087263931927808</v>
      </c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2"/>
      <c r="BL44" s="62"/>
      <c r="BM44" s="62"/>
      <c r="BN44" s="62"/>
      <c r="BO44" s="62"/>
      <c r="BP44" s="62"/>
      <c r="BQ44" s="62"/>
      <c r="BR44" s="62"/>
      <c r="BS44" s="62"/>
      <c r="BT44" s="62"/>
      <c r="BU44" s="62"/>
      <c r="BV44" s="62"/>
      <c r="BW44" s="62"/>
      <c r="BX44" s="62"/>
      <c r="BY44" s="62"/>
      <c r="BZ44" s="62"/>
      <c r="CA44" s="62"/>
      <c r="CB44" s="62"/>
      <c r="CC44" s="62"/>
      <c r="CD44" s="62"/>
      <c r="CE44" s="62"/>
      <c r="CF44" s="62"/>
      <c r="CG44" s="62"/>
      <c r="CH44" s="62"/>
      <c r="CI44" s="62"/>
      <c r="CJ44" s="62"/>
      <c r="CK44" s="62"/>
      <c r="CL44" s="62"/>
      <c r="CM44" s="62"/>
      <c r="CN44" s="62"/>
      <c r="CO44" s="62"/>
      <c r="CP44" s="62"/>
      <c r="CQ44" s="62"/>
      <c r="CR44" s="62"/>
      <c r="CS44" s="62"/>
      <c r="CT44" s="62"/>
      <c r="CU44" s="62"/>
      <c r="CV44" s="62"/>
      <c r="CW44" s="62"/>
      <c r="CX44" s="62"/>
      <c r="CY44" s="62"/>
      <c r="CZ44" s="62"/>
      <c r="DA44" s="62"/>
      <c r="DB44" s="62"/>
      <c r="DC44" s="62"/>
      <c r="DD44" s="62"/>
      <c r="DE44" s="62"/>
      <c r="DF44" s="62"/>
      <c r="DG44" s="62"/>
      <c r="DH44" s="62"/>
      <c r="DI44" s="62"/>
      <c r="DJ44" s="62"/>
      <c r="DK44" s="62"/>
      <c r="DL44" s="62"/>
      <c r="DM44" s="62"/>
      <c r="DN44" s="62"/>
      <c r="DO44" s="62"/>
      <c r="DP44" s="62"/>
      <c r="DQ44" s="62"/>
      <c r="DR44" s="62"/>
      <c r="DS44" s="62"/>
      <c r="DT44" s="62"/>
      <c r="DU44" s="62"/>
      <c r="DV44" s="62"/>
      <c r="DW44" s="62"/>
      <c r="DX44" s="62"/>
      <c r="DY44" s="62"/>
      <c r="DZ44" s="62"/>
      <c r="EA44" s="62"/>
      <c r="EB44" s="62"/>
      <c r="EC44" s="62"/>
      <c r="ED44" s="62"/>
      <c r="EE44" s="62"/>
      <c r="EF44" s="62"/>
      <c r="EG44" s="62"/>
      <c r="EH44" s="62"/>
      <c r="EI44" s="62"/>
      <c r="EJ44" s="62"/>
      <c r="EK44" s="62"/>
      <c r="EL44" s="62"/>
      <c r="EM44" s="62"/>
      <c r="EN44" s="62"/>
      <c r="EO44" s="62"/>
      <c r="EP44" s="62"/>
      <c r="EQ44" s="62"/>
      <c r="ER44" s="62"/>
      <c r="ES44" s="62"/>
      <c r="ET44" s="62"/>
      <c r="EU44" s="62"/>
      <c r="EV44" s="62"/>
      <c r="EW44" s="62"/>
    </row>
    <row r="45" spans="1:153" x14ac:dyDescent="0.25">
      <c r="A45" s="75" t="s">
        <v>73</v>
      </c>
      <c r="B45" s="227"/>
      <c r="C45" s="66" t="s">
        <v>74</v>
      </c>
      <c r="D45" s="316">
        <f>+D46</f>
        <v>26758239</v>
      </c>
      <c r="E45" s="316">
        <f t="shared" ref="E45:T46" si="82">+E46</f>
        <v>446891666</v>
      </c>
      <c r="F45" s="311">
        <f t="shared" si="7"/>
        <v>16.701086570009334</v>
      </c>
      <c r="G45" s="316">
        <f t="shared" si="82"/>
        <v>459906641.60000002</v>
      </c>
      <c r="H45" s="312">
        <f t="shared" si="8"/>
        <v>17.187477905403266</v>
      </c>
      <c r="I45" s="317">
        <f t="shared" si="82"/>
        <v>355308833.88000011</v>
      </c>
      <c r="J45" s="89">
        <f t="shared" si="10"/>
        <v>-0.22743269667971655</v>
      </c>
      <c r="K45" s="85">
        <f t="shared" si="82"/>
        <v>319777950.4920001</v>
      </c>
      <c r="L45" s="97"/>
      <c r="M45" s="85">
        <f t="shared" si="82"/>
        <v>35530883.388000011</v>
      </c>
      <c r="N45" s="97"/>
      <c r="O45" s="85">
        <f t="shared" si="82"/>
        <v>0</v>
      </c>
      <c r="P45" s="97"/>
      <c r="Q45" s="85">
        <f t="shared" si="82"/>
        <v>0</v>
      </c>
      <c r="R45" s="97"/>
      <c r="S45" s="97"/>
      <c r="T45" s="316">
        <f t="shared" si="82"/>
        <v>0</v>
      </c>
      <c r="U45" s="339">
        <f t="shared" si="15"/>
        <v>-22.74326966797166</v>
      </c>
    </row>
    <row r="46" spans="1:153" s="64" customFormat="1" x14ac:dyDescent="0.25">
      <c r="A46" s="74" t="s">
        <v>75</v>
      </c>
      <c r="B46" s="222"/>
      <c r="C46" s="63" t="s">
        <v>76</v>
      </c>
      <c r="D46" s="314">
        <f>+D47</f>
        <v>26758239</v>
      </c>
      <c r="E46" s="314">
        <f t="shared" si="82"/>
        <v>446891666</v>
      </c>
      <c r="F46" s="311">
        <f t="shared" si="7"/>
        <v>16.701086570009334</v>
      </c>
      <c r="G46" s="314">
        <f t="shared" si="82"/>
        <v>459906641.60000002</v>
      </c>
      <c r="H46" s="312">
        <f t="shared" si="8"/>
        <v>17.187477905403266</v>
      </c>
      <c r="I46" s="315">
        <f t="shared" si="82"/>
        <v>355308833.88000011</v>
      </c>
      <c r="J46" s="89">
        <f t="shared" si="10"/>
        <v>-0.22743269667971655</v>
      </c>
      <c r="K46" s="84">
        <f t="shared" si="82"/>
        <v>319777950.4920001</v>
      </c>
      <c r="L46" s="97"/>
      <c r="M46" s="84">
        <f t="shared" si="82"/>
        <v>35530883.388000011</v>
      </c>
      <c r="N46" s="97"/>
      <c r="O46" s="84">
        <f t="shared" si="82"/>
        <v>0</v>
      </c>
      <c r="P46" s="97"/>
      <c r="Q46" s="84">
        <f t="shared" si="82"/>
        <v>0</v>
      </c>
      <c r="R46" s="97"/>
      <c r="S46" s="97"/>
      <c r="T46" s="314">
        <f t="shared" si="82"/>
        <v>0</v>
      </c>
      <c r="U46" s="340">
        <f t="shared" si="15"/>
        <v>-22.74326966797166</v>
      </c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62"/>
      <c r="BH46" s="62"/>
      <c r="BI46" s="62"/>
      <c r="BJ46" s="62"/>
      <c r="BK46" s="62"/>
      <c r="BL46" s="62"/>
      <c r="BM46" s="62"/>
      <c r="BN46" s="62"/>
      <c r="BO46" s="62"/>
      <c r="BP46" s="62"/>
      <c r="BQ46" s="62"/>
      <c r="BR46" s="62"/>
      <c r="BS46" s="62"/>
      <c r="BT46" s="62"/>
      <c r="BU46" s="62"/>
      <c r="BV46" s="62"/>
      <c r="BW46" s="62"/>
      <c r="BX46" s="62"/>
      <c r="BY46" s="62"/>
      <c r="BZ46" s="62"/>
      <c r="CA46" s="62"/>
      <c r="CB46" s="62"/>
      <c r="CC46" s="62"/>
      <c r="CD46" s="62"/>
      <c r="CE46" s="62"/>
      <c r="CF46" s="62"/>
      <c r="CG46" s="62"/>
      <c r="CH46" s="62"/>
      <c r="CI46" s="62"/>
      <c r="CJ46" s="62"/>
      <c r="CK46" s="62"/>
      <c r="CL46" s="62"/>
      <c r="CM46" s="62"/>
      <c r="CN46" s="62"/>
      <c r="CO46" s="62"/>
      <c r="CP46" s="62"/>
      <c r="CQ46" s="62"/>
      <c r="CR46" s="62"/>
      <c r="CS46" s="62"/>
      <c r="CT46" s="62"/>
      <c r="CU46" s="62"/>
      <c r="CV46" s="62"/>
      <c r="CW46" s="62"/>
      <c r="CX46" s="62"/>
      <c r="CY46" s="62"/>
      <c r="CZ46" s="62"/>
      <c r="DA46" s="62"/>
      <c r="DB46" s="62"/>
      <c r="DC46" s="62"/>
      <c r="DD46" s="62"/>
      <c r="DE46" s="62"/>
      <c r="DF46" s="62"/>
      <c r="DG46" s="62"/>
      <c r="DH46" s="62"/>
      <c r="DI46" s="62"/>
      <c r="DJ46" s="62"/>
      <c r="DK46" s="62"/>
      <c r="DL46" s="62"/>
      <c r="DM46" s="62"/>
      <c r="DN46" s="62"/>
      <c r="DO46" s="62"/>
      <c r="DP46" s="62"/>
      <c r="DQ46" s="62"/>
      <c r="DR46" s="62"/>
      <c r="DS46" s="62"/>
      <c r="DT46" s="62"/>
      <c r="DU46" s="62"/>
      <c r="DV46" s="62"/>
      <c r="DW46" s="62"/>
      <c r="DX46" s="62"/>
      <c r="DY46" s="62"/>
      <c r="DZ46" s="62"/>
      <c r="EA46" s="62"/>
      <c r="EB46" s="62"/>
      <c r="EC46" s="62"/>
      <c r="ED46" s="62"/>
      <c r="EE46" s="62"/>
      <c r="EF46" s="62"/>
      <c r="EG46" s="62"/>
      <c r="EH46" s="62"/>
      <c r="EI46" s="62"/>
      <c r="EJ46" s="62"/>
      <c r="EK46" s="62"/>
      <c r="EL46" s="62"/>
      <c r="EM46" s="62"/>
      <c r="EN46" s="62"/>
      <c r="EO46" s="62"/>
      <c r="EP46" s="62"/>
      <c r="EQ46" s="62"/>
      <c r="ER46" s="62"/>
      <c r="ES46" s="62"/>
      <c r="ET46" s="62"/>
      <c r="EU46" s="62"/>
      <c r="EV46" s="62"/>
      <c r="EW46" s="62"/>
    </row>
    <row r="47" spans="1:153" x14ac:dyDescent="0.25">
      <c r="A47" s="75" t="s">
        <v>77</v>
      </c>
      <c r="B47" s="227">
        <v>24</v>
      </c>
      <c r="C47" s="66" t="s">
        <v>78</v>
      </c>
      <c r="D47" s="316">
        <f>+D48+D49</f>
        <v>26758239</v>
      </c>
      <c r="E47" s="316">
        <f t="shared" ref="E47:G47" si="83">+E48+E49</f>
        <v>446891666</v>
      </c>
      <c r="F47" s="311">
        <f t="shared" si="7"/>
        <v>16.701086570009334</v>
      </c>
      <c r="G47" s="316">
        <f t="shared" si="83"/>
        <v>459906641.60000002</v>
      </c>
      <c r="H47" s="312">
        <f t="shared" si="8"/>
        <v>17.187477905403266</v>
      </c>
      <c r="I47" s="317">
        <f t="shared" ref="I47:K47" si="84">+I48+I49</f>
        <v>355308833.88000011</v>
      </c>
      <c r="J47" s="89">
        <f t="shared" si="10"/>
        <v>-0.22743269667971655</v>
      </c>
      <c r="K47" s="85">
        <f t="shared" si="84"/>
        <v>319777950.4920001</v>
      </c>
      <c r="L47" s="97"/>
      <c r="M47" s="85">
        <f t="shared" ref="M47" si="85">+M48+M49</f>
        <v>35530883.388000011</v>
      </c>
      <c r="N47" s="97"/>
      <c r="O47" s="85">
        <f t="shared" ref="O47" si="86">+O48+O49</f>
        <v>0</v>
      </c>
      <c r="P47" s="97"/>
      <c r="Q47" s="85">
        <f t="shared" ref="Q47" si="87">+Q48+Q49</f>
        <v>0</v>
      </c>
      <c r="R47" s="97"/>
      <c r="S47" s="97"/>
      <c r="T47" s="316">
        <f t="shared" ref="T47" si="88">+T48+T49</f>
        <v>0</v>
      </c>
      <c r="U47" s="339">
        <f t="shared" si="15"/>
        <v>-22.74326966797166</v>
      </c>
    </row>
    <row r="48" spans="1:153" s="64" customFormat="1" x14ac:dyDescent="0.25">
      <c r="A48" s="74" t="s">
        <v>79</v>
      </c>
      <c r="B48" s="222"/>
      <c r="C48" s="63" t="s">
        <v>30</v>
      </c>
      <c r="D48" s="314">
        <v>22641587</v>
      </c>
      <c r="E48" s="314">
        <v>260299512</v>
      </c>
      <c r="F48" s="311">
        <f t="shared" si="7"/>
        <v>11.496522394830363</v>
      </c>
      <c r="G48" s="314">
        <f>+E48*1.05</f>
        <v>273314487.60000002</v>
      </c>
      <c r="H48" s="312">
        <f t="shared" si="8"/>
        <v>12.071348514571882</v>
      </c>
      <c r="I48" s="315">
        <f>+G48*1.1</f>
        <v>300645936.36000007</v>
      </c>
      <c r="J48" s="89">
        <f t="shared" si="10"/>
        <v>0.10000000000000017</v>
      </c>
      <c r="K48" s="80">
        <f>+I48*L48</f>
        <v>270581342.7240001</v>
      </c>
      <c r="L48" s="97">
        <v>0.9</v>
      </c>
      <c r="M48" s="80">
        <f>+I48*N48</f>
        <v>30064593.636000007</v>
      </c>
      <c r="N48" s="97">
        <v>0.1</v>
      </c>
      <c r="O48" s="80"/>
      <c r="P48" s="97"/>
      <c r="Q48" s="80"/>
      <c r="R48" s="97"/>
      <c r="S48" s="97"/>
      <c r="T48" s="314">
        <f>+Q48*1.05</f>
        <v>0</v>
      </c>
      <c r="U48" s="340">
        <f t="shared" si="15"/>
        <v>10.000000000000014</v>
      </c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62"/>
      <c r="BH48" s="62"/>
      <c r="BI48" s="62"/>
      <c r="BJ48" s="62"/>
      <c r="BK48" s="62"/>
      <c r="BL48" s="62"/>
      <c r="BM48" s="62"/>
      <c r="BN48" s="62"/>
      <c r="BO48" s="62"/>
      <c r="BP48" s="62"/>
      <c r="BQ48" s="62"/>
      <c r="BR48" s="62"/>
      <c r="BS48" s="62"/>
      <c r="BT48" s="62"/>
      <c r="BU48" s="62"/>
      <c r="BV48" s="62"/>
      <c r="BW48" s="62"/>
      <c r="BX48" s="62"/>
      <c r="BY48" s="62"/>
      <c r="BZ48" s="62"/>
      <c r="CA48" s="62"/>
      <c r="CB48" s="62"/>
      <c r="CC48" s="62"/>
      <c r="CD48" s="62"/>
      <c r="CE48" s="62"/>
      <c r="CF48" s="62"/>
      <c r="CG48" s="62"/>
      <c r="CH48" s="62"/>
      <c r="CI48" s="62"/>
      <c r="CJ48" s="62"/>
      <c r="CK48" s="62"/>
      <c r="CL48" s="62"/>
      <c r="CM48" s="62"/>
      <c r="CN48" s="62"/>
      <c r="CO48" s="62"/>
      <c r="CP48" s="62"/>
      <c r="CQ48" s="62"/>
      <c r="CR48" s="62"/>
      <c r="CS48" s="62"/>
      <c r="CT48" s="62"/>
      <c r="CU48" s="62"/>
      <c r="CV48" s="62"/>
      <c r="CW48" s="62"/>
      <c r="CX48" s="62"/>
      <c r="CY48" s="62"/>
      <c r="CZ48" s="62"/>
      <c r="DA48" s="62"/>
      <c r="DB48" s="62"/>
      <c r="DC48" s="62"/>
      <c r="DD48" s="62"/>
      <c r="DE48" s="62"/>
      <c r="DF48" s="62"/>
      <c r="DG48" s="62"/>
      <c r="DH48" s="62"/>
      <c r="DI48" s="62"/>
      <c r="DJ48" s="62"/>
      <c r="DK48" s="62"/>
      <c r="DL48" s="62"/>
      <c r="DM48" s="62"/>
      <c r="DN48" s="62"/>
      <c r="DO48" s="62"/>
      <c r="DP48" s="62"/>
      <c r="DQ48" s="62"/>
      <c r="DR48" s="62"/>
      <c r="DS48" s="62"/>
      <c r="DT48" s="62"/>
      <c r="DU48" s="62"/>
      <c r="DV48" s="62"/>
      <c r="DW48" s="62"/>
      <c r="DX48" s="62"/>
      <c r="DY48" s="62"/>
      <c r="DZ48" s="62"/>
      <c r="EA48" s="62"/>
      <c r="EB48" s="62"/>
      <c r="EC48" s="62"/>
      <c r="ED48" s="62"/>
      <c r="EE48" s="62"/>
      <c r="EF48" s="62"/>
      <c r="EG48" s="62"/>
      <c r="EH48" s="62"/>
      <c r="EI48" s="62"/>
      <c r="EJ48" s="62"/>
      <c r="EK48" s="62"/>
      <c r="EL48" s="62"/>
      <c r="EM48" s="62"/>
      <c r="EN48" s="62"/>
      <c r="EO48" s="62"/>
      <c r="EP48" s="62"/>
      <c r="EQ48" s="62"/>
      <c r="ER48" s="62"/>
      <c r="ES48" s="62"/>
      <c r="ET48" s="62"/>
      <c r="EU48" s="62"/>
      <c r="EV48" s="62"/>
      <c r="EW48" s="62"/>
    </row>
    <row r="49" spans="1:153" ht="11.25" customHeight="1" x14ac:dyDescent="0.25">
      <c r="A49" s="75" t="s">
        <v>80</v>
      </c>
      <c r="B49" s="227"/>
      <c r="C49" s="66" t="s">
        <v>32</v>
      </c>
      <c r="D49" s="316">
        <v>4116652</v>
      </c>
      <c r="E49" s="316">
        <v>186592154</v>
      </c>
      <c r="F49" s="311">
        <f t="shared" si="7"/>
        <v>45.326190797764788</v>
      </c>
      <c r="G49" s="316">
        <f>+E49</f>
        <v>186592154</v>
      </c>
      <c r="H49" s="312">
        <f t="shared" si="8"/>
        <v>45.326190797764788</v>
      </c>
      <c r="I49" s="317">
        <f>+G48*0.2</f>
        <v>54662897.520000011</v>
      </c>
      <c r="J49" s="89">
        <f t="shared" si="10"/>
        <v>-0.70704610913061217</v>
      </c>
      <c r="K49" s="81">
        <f>+I49*L49</f>
        <v>49196607.768000014</v>
      </c>
      <c r="L49" s="97">
        <v>0.9</v>
      </c>
      <c r="M49" s="81">
        <f>+I49*N49</f>
        <v>5466289.7520000013</v>
      </c>
      <c r="N49" s="97">
        <v>0.1</v>
      </c>
      <c r="O49" s="81"/>
      <c r="P49" s="97"/>
      <c r="Q49" s="81"/>
      <c r="R49" s="97"/>
      <c r="S49" s="97"/>
      <c r="T49" s="316">
        <f>+Q49</f>
        <v>0</v>
      </c>
      <c r="U49" s="339">
        <f t="shared" si="15"/>
        <v>-70.704610913061217</v>
      </c>
    </row>
    <row r="50" spans="1:153" s="64" customFormat="1" ht="13.5" customHeight="1" x14ac:dyDescent="0.25">
      <c r="A50" s="74"/>
      <c r="B50" s="222"/>
      <c r="C50" s="63" t="s">
        <v>81</v>
      </c>
      <c r="D50" s="314">
        <f>+D51+D56</f>
        <v>83980000000</v>
      </c>
      <c r="E50" s="314">
        <f t="shared" ref="E50:G50" si="89">+E51+E56</f>
        <v>71913926701</v>
      </c>
      <c r="F50" s="311">
        <f t="shared" si="7"/>
        <v>0.85632206121695642</v>
      </c>
      <c r="G50" s="314">
        <f t="shared" si="89"/>
        <v>71998926701</v>
      </c>
      <c r="H50" s="312">
        <f t="shared" si="8"/>
        <v>0.85733420696594431</v>
      </c>
      <c r="I50" s="315">
        <f t="shared" ref="I50:K50" si="90">+I51+I56</f>
        <v>85165000000</v>
      </c>
      <c r="J50" s="89">
        <f t="shared" si="10"/>
        <v>0.18286485510647391</v>
      </c>
      <c r="K50" s="84">
        <f t="shared" si="90"/>
        <v>0</v>
      </c>
      <c r="L50" s="97"/>
      <c r="M50" s="84">
        <f t="shared" ref="M50" si="91">+M51+M56</f>
        <v>0</v>
      </c>
      <c r="N50" s="97"/>
      <c r="O50" s="84">
        <f t="shared" ref="O50" si="92">+O51+O56</f>
        <v>8512000000</v>
      </c>
      <c r="P50" s="97"/>
      <c r="Q50" s="84">
        <f t="shared" ref="Q50" si="93">+Q51+Q56</f>
        <v>76653000000</v>
      </c>
      <c r="R50" s="97"/>
      <c r="S50" s="97"/>
      <c r="T50" s="314">
        <f t="shared" ref="T50" si="94">+T51+T56</f>
        <v>76771000000</v>
      </c>
      <c r="U50" s="340">
        <f t="shared" si="15"/>
        <v>18.286485510647395</v>
      </c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62"/>
      <c r="BG50" s="62"/>
      <c r="BH50" s="62"/>
      <c r="BI50" s="62"/>
      <c r="BJ50" s="62"/>
      <c r="BK50" s="62"/>
      <c r="BL50" s="62"/>
      <c r="BM50" s="62"/>
      <c r="BN50" s="62"/>
      <c r="BO50" s="62"/>
      <c r="BP50" s="62"/>
      <c r="BQ50" s="62"/>
      <c r="BR50" s="62"/>
      <c r="BS50" s="62"/>
      <c r="BT50" s="62"/>
      <c r="BU50" s="62"/>
      <c r="BV50" s="62"/>
      <c r="BW50" s="62"/>
      <c r="BX50" s="62"/>
      <c r="BY50" s="62"/>
      <c r="BZ50" s="62"/>
      <c r="CA50" s="62"/>
      <c r="CB50" s="62"/>
      <c r="CC50" s="62"/>
      <c r="CD50" s="62"/>
      <c r="CE50" s="62"/>
      <c r="CF50" s="62"/>
      <c r="CG50" s="62"/>
      <c r="CH50" s="62"/>
      <c r="CI50" s="62"/>
      <c r="CJ50" s="62"/>
      <c r="CK50" s="62"/>
      <c r="CL50" s="62"/>
      <c r="CM50" s="62"/>
      <c r="CN50" s="62"/>
      <c r="CO50" s="62"/>
      <c r="CP50" s="62"/>
      <c r="CQ50" s="62"/>
      <c r="CR50" s="62"/>
      <c r="CS50" s="62"/>
      <c r="CT50" s="62"/>
      <c r="CU50" s="62"/>
      <c r="CV50" s="62"/>
      <c r="CW50" s="62"/>
      <c r="CX50" s="62"/>
      <c r="CY50" s="62"/>
      <c r="CZ50" s="62"/>
      <c r="DA50" s="62"/>
      <c r="DB50" s="62"/>
      <c r="DC50" s="62"/>
      <c r="DD50" s="62"/>
      <c r="DE50" s="62"/>
      <c r="DF50" s="62"/>
      <c r="DG50" s="62"/>
      <c r="DH50" s="62"/>
      <c r="DI50" s="62"/>
      <c r="DJ50" s="62"/>
      <c r="DK50" s="62"/>
      <c r="DL50" s="62"/>
      <c r="DM50" s="62"/>
      <c r="DN50" s="62"/>
      <c r="DO50" s="62"/>
      <c r="DP50" s="62"/>
      <c r="DQ50" s="62"/>
      <c r="DR50" s="62"/>
      <c r="DS50" s="62"/>
      <c r="DT50" s="62"/>
      <c r="DU50" s="62"/>
      <c r="DV50" s="62"/>
      <c r="DW50" s="62"/>
      <c r="DX50" s="62"/>
      <c r="DY50" s="62"/>
      <c r="DZ50" s="62"/>
      <c r="EA50" s="62"/>
      <c r="EB50" s="62"/>
      <c r="EC50" s="62"/>
      <c r="ED50" s="62"/>
      <c r="EE50" s="62"/>
      <c r="EF50" s="62"/>
      <c r="EG50" s="62"/>
      <c r="EH50" s="62"/>
      <c r="EI50" s="62"/>
      <c r="EJ50" s="62"/>
      <c r="EK50" s="62"/>
      <c r="EL50" s="62"/>
      <c r="EM50" s="62"/>
      <c r="EN50" s="62"/>
      <c r="EO50" s="62"/>
      <c r="EP50" s="62"/>
      <c r="EQ50" s="62"/>
      <c r="ER50" s="62"/>
      <c r="ES50" s="62"/>
      <c r="ET50" s="62"/>
      <c r="EU50" s="62"/>
      <c r="EV50" s="62"/>
      <c r="EW50" s="62"/>
    </row>
    <row r="51" spans="1:153" ht="13.5" customHeight="1" x14ac:dyDescent="0.25">
      <c r="A51" s="75"/>
      <c r="B51" s="227"/>
      <c r="C51" s="66" t="s">
        <v>120</v>
      </c>
      <c r="D51" s="316">
        <f>+D52</f>
        <v>83817000000</v>
      </c>
      <c r="E51" s="316">
        <f t="shared" ref="E51:T52" si="95">+E52</f>
        <v>71835926701</v>
      </c>
      <c r="F51" s="311">
        <f t="shared" si="7"/>
        <v>0.85705676295978139</v>
      </c>
      <c r="G51" s="316">
        <f t="shared" si="95"/>
        <v>71835926701</v>
      </c>
      <c r="H51" s="312">
        <f t="shared" si="8"/>
        <v>0.85705676295978139</v>
      </c>
      <c r="I51" s="317">
        <f t="shared" si="95"/>
        <v>85120000000</v>
      </c>
      <c r="J51" s="89">
        <f t="shared" si="10"/>
        <v>0.1849224184758109</v>
      </c>
      <c r="K51" s="85">
        <f t="shared" si="95"/>
        <v>0</v>
      </c>
      <c r="L51" s="97"/>
      <c r="M51" s="85">
        <f t="shared" si="95"/>
        <v>0</v>
      </c>
      <c r="N51" s="97"/>
      <c r="O51" s="85">
        <f t="shared" si="95"/>
        <v>8512000000</v>
      </c>
      <c r="P51" s="97"/>
      <c r="Q51" s="85">
        <f t="shared" si="95"/>
        <v>76608000000</v>
      </c>
      <c r="R51" s="97"/>
      <c r="S51" s="97"/>
      <c r="T51" s="316">
        <f t="shared" si="95"/>
        <v>76608000000</v>
      </c>
      <c r="U51" s="339">
        <f t="shared" si="15"/>
        <v>18.492241847581099</v>
      </c>
    </row>
    <row r="52" spans="1:153" s="64" customFormat="1" ht="13.5" customHeight="1" x14ac:dyDescent="0.25">
      <c r="A52" s="74"/>
      <c r="B52" s="222"/>
      <c r="C52" s="63" t="s">
        <v>83</v>
      </c>
      <c r="D52" s="314">
        <f>+D53</f>
        <v>83817000000</v>
      </c>
      <c r="E52" s="314">
        <f t="shared" si="95"/>
        <v>71835926701</v>
      </c>
      <c r="F52" s="311">
        <f t="shared" si="7"/>
        <v>0.85705676295978139</v>
      </c>
      <c r="G52" s="314">
        <f t="shared" si="95"/>
        <v>71835926701</v>
      </c>
      <c r="H52" s="312">
        <f t="shared" si="8"/>
        <v>0.85705676295978139</v>
      </c>
      <c r="I52" s="315">
        <f t="shared" si="95"/>
        <v>85120000000</v>
      </c>
      <c r="J52" s="89">
        <f t="shared" si="10"/>
        <v>0.1849224184758109</v>
      </c>
      <c r="K52" s="84">
        <f t="shared" si="95"/>
        <v>0</v>
      </c>
      <c r="L52" s="97"/>
      <c r="M52" s="84">
        <f t="shared" si="95"/>
        <v>0</v>
      </c>
      <c r="N52" s="97"/>
      <c r="O52" s="84">
        <f t="shared" si="95"/>
        <v>8512000000</v>
      </c>
      <c r="P52" s="97"/>
      <c r="Q52" s="84">
        <f t="shared" si="95"/>
        <v>76608000000</v>
      </c>
      <c r="R52" s="97"/>
      <c r="S52" s="97"/>
      <c r="T52" s="314">
        <f t="shared" si="95"/>
        <v>76608000000</v>
      </c>
      <c r="U52" s="340">
        <f t="shared" si="15"/>
        <v>18.492241847581099</v>
      </c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2"/>
      <c r="BR52" s="62"/>
      <c r="BS52" s="62"/>
      <c r="BT52" s="62"/>
      <c r="BU52" s="62"/>
      <c r="BV52" s="62"/>
      <c r="BW52" s="62"/>
      <c r="BX52" s="62"/>
      <c r="BY52" s="62"/>
      <c r="BZ52" s="62"/>
      <c r="CA52" s="62"/>
      <c r="CB52" s="62"/>
      <c r="CC52" s="62"/>
      <c r="CD52" s="62"/>
      <c r="CE52" s="62"/>
      <c r="CF52" s="62"/>
      <c r="CG52" s="62"/>
      <c r="CH52" s="62"/>
      <c r="CI52" s="62"/>
      <c r="CJ52" s="62"/>
      <c r="CK52" s="62"/>
      <c r="CL52" s="62"/>
      <c r="CM52" s="62"/>
      <c r="CN52" s="62"/>
      <c r="CO52" s="62"/>
      <c r="CP52" s="62"/>
      <c r="CQ52" s="62"/>
      <c r="CR52" s="62"/>
      <c r="CS52" s="62"/>
      <c r="CT52" s="62"/>
      <c r="CU52" s="62"/>
      <c r="CV52" s="62"/>
      <c r="CW52" s="62"/>
      <c r="CX52" s="62"/>
      <c r="CY52" s="62"/>
      <c r="CZ52" s="62"/>
      <c r="DA52" s="62"/>
      <c r="DB52" s="62"/>
      <c r="DC52" s="62"/>
      <c r="DD52" s="62"/>
      <c r="DE52" s="62"/>
      <c r="DF52" s="62"/>
      <c r="DG52" s="62"/>
      <c r="DH52" s="62"/>
      <c r="DI52" s="62"/>
      <c r="DJ52" s="62"/>
      <c r="DK52" s="62"/>
      <c r="DL52" s="62"/>
      <c r="DM52" s="62"/>
      <c r="DN52" s="62"/>
      <c r="DO52" s="62"/>
      <c r="DP52" s="62"/>
      <c r="DQ52" s="62"/>
      <c r="DR52" s="62"/>
      <c r="DS52" s="62"/>
      <c r="DT52" s="62"/>
      <c r="DU52" s="62"/>
      <c r="DV52" s="62"/>
      <c r="DW52" s="62"/>
      <c r="DX52" s="62"/>
      <c r="DY52" s="62"/>
      <c r="DZ52" s="62"/>
      <c r="EA52" s="62"/>
      <c r="EB52" s="62"/>
      <c r="EC52" s="62"/>
      <c r="ED52" s="62"/>
      <c r="EE52" s="62"/>
      <c r="EF52" s="62"/>
      <c r="EG52" s="62"/>
      <c r="EH52" s="62"/>
      <c r="EI52" s="62"/>
      <c r="EJ52" s="62"/>
      <c r="EK52" s="62"/>
      <c r="EL52" s="62"/>
      <c r="EM52" s="62"/>
      <c r="EN52" s="62"/>
      <c r="EO52" s="62"/>
      <c r="EP52" s="62"/>
      <c r="EQ52" s="62"/>
      <c r="ER52" s="62"/>
      <c r="ES52" s="62"/>
      <c r="ET52" s="62"/>
      <c r="EU52" s="62"/>
      <c r="EV52" s="62"/>
      <c r="EW52" s="62"/>
    </row>
    <row r="53" spans="1:153" ht="13.5" customHeight="1" x14ac:dyDescent="0.25">
      <c r="A53" s="75"/>
      <c r="B53" s="227">
        <v>61</v>
      </c>
      <c r="C53" s="66" t="s">
        <v>84</v>
      </c>
      <c r="D53" s="316">
        <f>+D54+D55</f>
        <v>83817000000</v>
      </c>
      <c r="E53" s="316">
        <f t="shared" ref="E53:G53" si="96">+E54+E55</f>
        <v>71835926701</v>
      </c>
      <c r="F53" s="311">
        <f t="shared" si="7"/>
        <v>0.85705676295978139</v>
      </c>
      <c r="G53" s="316">
        <f t="shared" si="96"/>
        <v>71835926701</v>
      </c>
      <c r="H53" s="312">
        <f t="shared" si="8"/>
        <v>0.85705676295978139</v>
      </c>
      <c r="I53" s="318">
        <f>+I54+I55</f>
        <v>85120000000</v>
      </c>
      <c r="J53" s="89">
        <f t="shared" si="10"/>
        <v>0.1849224184758109</v>
      </c>
      <c r="K53" s="87">
        <f>+K54+K55</f>
        <v>0</v>
      </c>
      <c r="L53" s="97"/>
      <c r="M53" s="87">
        <f>+M54+M55</f>
        <v>0</v>
      </c>
      <c r="N53" s="97"/>
      <c r="O53" s="87">
        <f>+O54+O55</f>
        <v>8512000000</v>
      </c>
      <c r="P53" s="97"/>
      <c r="Q53" s="87">
        <f>+Q54+Q55</f>
        <v>76608000000</v>
      </c>
      <c r="R53" s="97"/>
      <c r="S53" s="97"/>
      <c r="T53" s="316">
        <f t="shared" ref="T53" si="97">+T54+T55</f>
        <v>76608000000</v>
      </c>
      <c r="U53" s="339">
        <f t="shared" si="15"/>
        <v>18.492241847581099</v>
      </c>
    </row>
    <row r="54" spans="1:153" s="64" customFormat="1" ht="13.5" customHeight="1" x14ac:dyDescent="0.25">
      <c r="A54" s="74"/>
      <c r="B54" s="222"/>
      <c r="C54" s="63" t="s">
        <v>30</v>
      </c>
      <c r="D54" s="314">
        <v>75617000000</v>
      </c>
      <c r="E54" s="314">
        <v>65287736422</v>
      </c>
      <c r="F54" s="311">
        <f t="shared" si="7"/>
        <v>0.86340024626737377</v>
      </c>
      <c r="G54" s="314">
        <f>+E54</f>
        <v>65287736422</v>
      </c>
      <c r="H54" s="312">
        <f t="shared" si="8"/>
        <v>0.86340024626737377</v>
      </c>
      <c r="I54" s="315">
        <v>78120000000</v>
      </c>
      <c r="J54" s="89">
        <f t="shared" si="10"/>
        <v>0.19654937176954895</v>
      </c>
      <c r="K54" s="80"/>
      <c r="L54" s="97"/>
      <c r="M54" s="80"/>
      <c r="N54" s="97"/>
      <c r="O54" s="80">
        <f>+I54*P54</f>
        <v>7812000000</v>
      </c>
      <c r="P54" s="97">
        <v>0.1</v>
      </c>
      <c r="Q54" s="80">
        <f>+I54*R54</f>
        <v>70308000000</v>
      </c>
      <c r="R54" s="97">
        <v>0.9</v>
      </c>
      <c r="S54" s="97"/>
      <c r="T54" s="314">
        <f>+Q54</f>
        <v>70308000000</v>
      </c>
      <c r="U54" s="340">
        <f t="shared" si="15"/>
        <v>19.654937176954903</v>
      </c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2"/>
      <c r="BR54" s="62"/>
      <c r="BS54" s="62"/>
      <c r="BT54" s="62"/>
      <c r="BU54" s="62"/>
      <c r="BV54" s="62"/>
      <c r="BW54" s="62"/>
      <c r="BX54" s="62"/>
      <c r="BY54" s="62"/>
      <c r="BZ54" s="62"/>
      <c r="CA54" s="62"/>
      <c r="CB54" s="62"/>
      <c r="CC54" s="62"/>
      <c r="CD54" s="62"/>
      <c r="CE54" s="62"/>
      <c r="CF54" s="62"/>
      <c r="CG54" s="62"/>
      <c r="CH54" s="62"/>
      <c r="CI54" s="62"/>
      <c r="CJ54" s="62"/>
      <c r="CK54" s="62"/>
      <c r="CL54" s="62"/>
      <c r="CM54" s="62"/>
      <c r="CN54" s="62"/>
      <c r="CO54" s="62"/>
      <c r="CP54" s="62"/>
      <c r="CQ54" s="62"/>
      <c r="CR54" s="62"/>
      <c r="CS54" s="62"/>
      <c r="CT54" s="62"/>
      <c r="CU54" s="62"/>
      <c r="CV54" s="62"/>
      <c r="CW54" s="62"/>
      <c r="CX54" s="62"/>
      <c r="CY54" s="62"/>
      <c r="CZ54" s="62"/>
      <c r="DA54" s="62"/>
      <c r="DB54" s="62"/>
      <c r="DC54" s="62"/>
      <c r="DD54" s="62"/>
      <c r="DE54" s="62"/>
      <c r="DF54" s="62"/>
      <c r="DG54" s="62"/>
      <c r="DH54" s="62"/>
      <c r="DI54" s="62"/>
      <c r="DJ54" s="62"/>
      <c r="DK54" s="62"/>
      <c r="DL54" s="62"/>
      <c r="DM54" s="62"/>
      <c r="DN54" s="62"/>
      <c r="DO54" s="62"/>
      <c r="DP54" s="62"/>
      <c r="DQ54" s="62"/>
      <c r="DR54" s="62"/>
      <c r="DS54" s="62"/>
      <c r="DT54" s="62"/>
      <c r="DU54" s="62"/>
      <c r="DV54" s="62"/>
      <c r="DW54" s="62"/>
      <c r="DX54" s="62"/>
      <c r="DY54" s="62"/>
      <c r="DZ54" s="62"/>
      <c r="EA54" s="62"/>
      <c r="EB54" s="62"/>
      <c r="EC54" s="62"/>
      <c r="ED54" s="62"/>
      <c r="EE54" s="62"/>
      <c r="EF54" s="62"/>
      <c r="EG54" s="62"/>
      <c r="EH54" s="62"/>
      <c r="EI54" s="62"/>
      <c r="EJ54" s="62"/>
      <c r="EK54" s="62"/>
      <c r="EL54" s="62"/>
      <c r="EM54" s="62"/>
      <c r="EN54" s="62"/>
      <c r="EO54" s="62"/>
      <c r="EP54" s="62"/>
      <c r="EQ54" s="62"/>
      <c r="ER54" s="62"/>
      <c r="ES54" s="62"/>
      <c r="ET54" s="62"/>
      <c r="EU54" s="62"/>
      <c r="EV54" s="62"/>
      <c r="EW54" s="62"/>
    </row>
    <row r="55" spans="1:153" ht="13.5" customHeight="1" x14ac:dyDescent="0.25">
      <c r="A55" s="75"/>
      <c r="B55" s="227"/>
      <c r="C55" s="66" t="s">
        <v>32</v>
      </c>
      <c r="D55" s="316">
        <v>8200000000</v>
      </c>
      <c r="E55" s="316">
        <v>6548190279</v>
      </c>
      <c r="F55" s="311">
        <f t="shared" si="7"/>
        <v>0.79855979012195122</v>
      </c>
      <c r="G55" s="316">
        <f>+E55</f>
        <v>6548190279</v>
      </c>
      <c r="H55" s="312">
        <f t="shared" si="8"/>
        <v>0.79855979012195122</v>
      </c>
      <c r="I55" s="318">
        <v>7000000000</v>
      </c>
      <c r="J55" s="89">
        <f t="shared" si="10"/>
        <v>6.8997646945133925E-2</v>
      </c>
      <c r="K55" s="81"/>
      <c r="L55" s="97"/>
      <c r="M55" s="81"/>
      <c r="N55" s="97"/>
      <c r="O55" s="81">
        <f>+I55*P55</f>
        <v>700000000</v>
      </c>
      <c r="P55" s="97">
        <v>0.1</v>
      </c>
      <c r="Q55" s="81">
        <f>+I55*R55</f>
        <v>6300000000</v>
      </c>
      <c r="R55" s="97">
        <v>0.9</v>
      </c>
      <c r="S55" s="97"/>
      <c r="T55" s="316">
        <f>+Q55</f>
        <v>6300000000</v>
      </c>
      <c r="U55" s="339">
        <f t="shared" si="15"/>
        <v>6.8997646945133937</v>
      </c>
    </row>
    <row r="56" spans="1:153" s="64" customFormat="1" ht="13.5" customHeight="1" x14ac:dyDescent="0.25">
      <c r="A56" s="74"/>
      <c r="B56" s="222"/>
      <c r="C56" s="63" t="s">
        <v>121</v>
      </c>
      <c r="D56" s="314">
        <f>+D57</f>
        <v>163000000</v>
      </c>
      <c r="E56" s="314">
        <f t="shared" ref="E56:T56" si="98">+E57</f>
        <v>78000000</v>
      </c>
      <c r="F56" s="311">
        <f t="shared" si="7"/>
        <v>0.4785276073619632</v>
      </c>
      <c r="G56" s="314">
        <f t="shared" si="98"/>
        <v>163000000</v>
      </c>
      <c r="H56" s="312">
        <f t="shared" si="8"/>
        <v>1</v>
      </c>
      <c r="I56" s="315">
        <f t="shared" si="98"/>
        <v>45000000</v>
      </c>
      <c r="J56" s="89">
        <f t="shared" si="10"/>
        <v>-0.7239263803680982</v>
      </c>
      <c r="K56" s="84">
        <f t="shared" si="98"/>
        <v>0</v>
      </c>
      <c r="L56" s="97"/>
      <c r="M56" s="84">
        <f t="shared" si="98"/>
        <v>0</v>
      </c>
      <c r="N56" s="97"/>
      <c r="O56" s="84">
        <f t="shared" si="98"/>
        <v>0</v>
      </c>
      <c r="P56" s="97"/>
      <c r="Q56" s="84">
        <f t="shared" si="98"/>
        <v>45000000</v>
      </c>
      <c r="R56" s="97"/>
      <c r="S56" s="97"/>
      <c r="T56" s="314">
        <f t="shared" si="98"/>
        <v>163000000</v>
      </c>
      <c r="U56" s="340">
        <f t="shared" si="15"/>
        <v>-72.392638036809814</v>
      </c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2"/>
      <c r="BE56" s="62"/>
      <c r="BF56" s="62"/>
      <c r="BG56" s="62"/>
      <c r="BH56" s="62"/>
      <c r="BI56" s="62"/>
      <c r="BJ56" s="62"/>
      <c r="BK56" s="62"/>
      <c r="BL56" s="62"/>
      <c r="BM56" s="62"/>
      <c r="BN56" s="62"/>
      <c r="BO56" s="62"/>
      <c r="BP56" s="62"/>
      <c r="BQ56" s="62"/>
      <c r="BR56" s="62"/>
      <c r="BS56" s="62"/>
      <c r="BT56" s="62"/>
      <c r="BU56" s="62"/>
      <c r="BV56" s="62"/>
      <c r="BW56" s="62"/>
      <c r="BX56" s="62"/>
      <c r="BY56" s="62"/>
      <c r="BZ56" s="62"/>
      <c r="CA56" s="62"/>
      <c r="CB56" s="62"/>
      <c r="CC56" s="62"/>
      <c r="CD56" s="62"/>
      <c r="CE56" s="62"/>
      <c r="CF56" s="62"/>
      <c r="CG56" s="62"/>
      <c r="CH56" s="62"/>
      <c r="CI56" s="62"/>
      <c r="CJ56" s="62"/>
      <c r="CK56" s="62"/>
      <c r="CL56" s="62"/>
      <c r="CM56" s="62"/>
      <c r="CN56" s="62"/>
      <c r="CO56" s="62"/>
      <c r="CP56" s="62"/>
      <c r="CQ56" s="62"/>
      <c r="CR56" s="62"/>
      <c r="CS56" s="62"/>
      <c r="CT56" s="62"/>
      <c r="CU56" s="62"/>
      <c r="CV56" s="62"/>
      <c r="CW56" s="62"/>
      <c r="CX56" s="62"/>
      <c r="CY56" s="62"/>
      <c r="CZ56" s="62"/>
      <c r="DA56" s="62"/>
      <c r="DB56" s="62"/>
      <c r="DC56" s="62"/>
      <c r="DD56" s="62"/>
      <c r="DE56" s="62"/>
      <c r="DF56" s="62"/>
      <c r="DG56" s="62"/>
      <c r="DH56" s="62"/>
      <c r="DI56" s="62"/>
      <c r="DJ56" s="62"/>
      <c r="DK56" s="62"/>
      <c r="DL56" s="62"/>
      <c r="DM56" s="62"/>
      <c r="DN56" s="62"/>
      <c r="DO56" s="62"/>
      <c r="DP56" s="62"/>
      <c r="DQ56" s="62"/>
      <c r="DR56" s="62"/>
      <c r="DS56" s="62"/>
      <c r="DT56" s="62"/>
      <c r="DU56" s="62"/>
      <c r="DV56" s="62"/>
      <c r="DW56" s="62"/>
      <c r="DX56" s="62"/>
      <c r="DY56" s="62"/>
      <c r="DZ56" s="62"/>
      <c r="EA56" s="62"/>
      <c r="EB56" s="62"/>
      <c r="EC56" s="62"/>
      <c r="ED56" s="62"/>
      <c r="EE56" s="62"/>
      <c r="EF56" s="62"/>
      <c r="EG56" s="62"/>
      <c r="EH56" s="62"/>
      <c r="EI56" s="62"/>
      <c r="EJ56" s="62"/>
      <c r="EK56" s="62"/>
      <c r="EL56" s="62"/>
      <c r="EM56" s="62"/>
      <c r="EN56" s="62"/>
      <c r="EO56" s="62"/>
      <c r="EP56" s="62"/>
      <c r="EQ56" s="62"/>
      <c r="ER56" s="62"/>
      <c r="ES56" s="62"/>
      <c r="ET56" s="62"/>
      <c r="EU56" s="62"/>
      <c r="EV56" s="62"/>
      <c r="EW56" s="62"/>
    </row>
    <row r="57" spans="1:153" ht="13.5" customHeight="1" x14ac:dyDescent="0.25">
      <c r="A57" s="75"/>
      <c r="B57" s="227">
        <v>62</v>
      </c>
      <c r="C57" s="66" t="s">
        <v>121</v>
      </c>
      <c r="D57" s="316">
        <v>163000000</v>
      </c>
      <c r="E57" s="316">
        <v>78000000</v>
      </c>
      <c r="F57" s="311">
        <f t="shared" si="7"/>
        <v>0.4785276073619632</v>
      </c>
      <c r="G57" s="316">
        <v>163000000</v>
      </c>
      <c r="H57" s="312">
        <f t="shared" si="8"/>
        <v>1</v>
      </c>
      <c r="I57" s="318">
        <v>45000000</v>
      </c>
      <c r="J57" s="89">
        <f t="shared" si="10"/>
        <v>-0.7239263803680982</v>
      </c>
      <c r="K57" s="81"/>
      <c r="L57" s="97"/>
      <c r="M57" s="81"/>
      <c r="N57" s="97"/>
      <c r="O57" s="81"/>
      <c r="P57" s="97"/>
      <c r="Q57" s="81">
        <f>+R57*I57</f>
        <v>45000000</v>
      </c>
      <c r="R57" s="97">
        <v>1</v>
      </c>
      <c r="S57" s="97"/>
      <c r="T57" s="316">
        <v>163000000</v>
      </c>
      <c r="U57" s="339">
        <f t="shared" si="15"/>
        <v>-72.392638036809814</v>
      </c>
    </row>
    <row r="58" spans="1:153" s="64" customFormat="1" x14ac:dyDescent="0.25">
      <c r="A58" s="74" t="s">
        <v>85</v>
      </c>
      <c r="B58" s="222"/>
      <c r="C58" s="63" t="s">
        <v>86</v>
      </c>
      <c r="D58" s="314">
        <f>+D59+D61+D62</f>
        <v>17718920085</v>
      </c>
      <c r="E58" s="314">
        <f>+E59+E61</f>
        <v>21006549026.880001</v>
      </c>
      <c r="F58" s="311">
        <f t="shared" si="7"/>
        <v>1.1855434149546817</v>
      </c>
      <c r="G58" s="314">
        <f t="shared" ref="G58" si="99">+G59+G61+G62</f>
        <v>22886621651.456001</v>
      </c>
      <c r="H58" s="312">
        <f t="shared" si="8"/>
        <v>1.2916487879433878</v>
      </c>
      <c r="I58" s="315">
        <f>+I59+I61+I62</f>
        <v>504375319.82880008</v>
      </c>
      <c r="J58" s="89">
        <f t="shared" si="10"/>
        <v>-0.97796200210279993</v>
      </c>
      <c r="K58" s="84">
        <f>+K59+K61+K62</f>
        <v>0</v>
      </c>
      <c r="L58" s="97"/>
      <c r="M58" s="84">
        <f>+M59+M61+M62</f>
        <v>0</v>
      </c>
      <c r="N58" s="98"/>
      <c r="O58" s="84">
        <f>+O59+O61+O62</f>
        <v>50437531.982880011</v>
      </c>
      <c r="P58" s="97"/>
      <c r="Q58" s="84">
        <f>+Q59+Q61+Q62</f>
        <v>453937787.84592009</v>
      </c>
      <c r="R58" s="97"/>
      <c r="S58" s="97"/>
      <c r="T58" s="314">
        <f t="shared" ref="T58" si="100">+T59+T61+T62</f>
        <v>544725345.41510415</v>
      </c>
      <c r="U58" s="340">
        <f t="shared" si="15"/>
        <v>-97.796200210279991</v>
      </c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62"/>
      <c r="BB58" s="62"/>
      <c r="BC58" s="62"/>
      <c r="BD58" s="62"/>
      <c r="BE58" s="62"/>
      <c r="BF58" s="62"/>
      <c r="BG58" s="62"/>
      <c r="BH58" s="62"/>
      <c r="BI58" s="62"/>
      <c r="BJ58" s="62"/>
      <c r="BK58" s="62"/>
      <c r="BL58" s="62"/>
      <c r="BM58" s="62"/>
      <c r="BN58" s="62"/>
      <c r="BO58" s="62"/>
      <c r="BP58" s="62"/>
      <c r="BQ58" s="62"/>
      <c r="BR58" s="62"/>
      <c r="BS58" s="62"/>
      <c r="BT58" s="62"/>
      <c r="BU58" s="62"/>
      <c r="BV58" s="62"/>
      <c r="BW58" s="62"/>
      <c r="BX58" s="62"/>
      <c r="BY58" s="62"/>
      <c r="BZ58" s="62"/>
      <c r="CA58" s="62"/>
      <c r="CB58" s="62"/>
      <c r="CC58" s="62"/>
      <c r="CD58" s="62"/>
      <c r="CE58" s="62"/>
      <c r="CF58" s="62"/>
      <c r="CG58" s="62"/>
      <c r="CH58" s="62"/>
      <c r="CI58" s="62"/>
      <c r="CJ58" s="62"/>
      <c r="CK58" s="62"/>
      <c r="CL58" s="62"/>
      <c r="CM58" s="62"/>
      <c r="CN58" s="62"/>
      <c r="CO58" s="62"/>
      <c r="CP58" s="62"/>
      <c r="CQ58" s="62"/>
      <c r="CR58" s="62"/>
      <c r="CS58" s="62"/>
      <c r="CT58" s="62"/>
      <c r="CU58" s="62"/>
      <c r="CV58" s="62"/>
      <c r="CW58" s="62"/>
      <c r="CX58" s="62"/>
      <c r="CY58" s="62"/>
      <c r="CZ58" s="62"/>
      <c r="DA58" s="62"/>
      <c r="DB58" s="62"/>
      <c r="DC58" s="62"/>
      <c r="DD58" s="62"/>
      <c r="DE58" s="62"/>
      <c r="DF58" s="62"/>
      <c r="DG58" s="62"/>
      <c r="DH58" s="62"/>
      <c r="DI58" s="62"/>
      <c r="DJ58" s="62"/>
      <c r="DK58" s="62"/>
      <c r="DL58" s="62"/>
      <c r="DM58" s="62"/>
      <c r="DN58" s="62"/>
      <c r="DO58" s="62"/>
      <c r="DP58" s="62"/>
      <c r="DQ58" s="62"/>
      <c r="DR58" s="62"/>
      <c r="DS58" s="62"/>
      <c r="DT58" s="62"/>
      <c r="DU58" s="62"/>
      <c r="DV58" s="62"/>
      <c r="DW58" s="62"/>
      <c r="DX58" s="62"/>
      <c r="DY58" s="62"/>
      <c r="DZ58" s="62"/>
      <c r="EA58" s="62"/>
      <c r="EB58" s="62"/>
      <c r="EC58" s="62"/>
      <c r="ED58" s="62"/>
      <c r="EE58" s="62"/>
      <c r="EF58" s="62"/>
      <c r="EG58" s="62"/>
      <c r="EH58" s="62"/>
      <c r="EI58" s="62"/>
      <c r="EJ58" s="62"/>
      <c r="EK58" s="62"/>
      <c r="EL58" s="62"/>
      <c r="EM58" s="62"/>
      <c r="EN58" s="62"/>
      <c r="EO58" s="62"/>
      <c r="EP58" s="62"/>
      <c r="EQ58" s="62"/>
      <c r="ER58" s="62"/>
      <c r="ES58" s="62"/>
      <c r="ET58" s="62"/>
      <c r="EU58" s="62"/>
      <c r="EV58" s="62"/>
      <c r="EW58" s="62"/>
    </row>
    <row r="59" spans="1:153" x14ac:dyDescent="0.25">
      <c r="A59" s="75" t="s">
        <v>87</v>
      </c>
      <c r="B59" s="227"/>
      <c r="C59" s="66" t="s">
        <v>88</v>
      </c>
      <c r="D59" s="316">
        <f>+D60</f>
        <v>245599803</v>
      </c>
      <c r="E59" s="316">
        <f t="shared" ref="E59:G59" si="101">+E60</f>
        <v>400297872.88</v>
      </c>
      <c r="F59" s="311">
        <f t="shared" si="7"/>
        <v>1.629878639927085</v>
      </c>
      <c r="G59" s="316">
        <f t="shared" si="101"/>
        <v>480357447.45600003</v>
      </c>
      <c r="H59" s="312">
        <f t="shared" si="8"/>
        <v>1.955854367912502</v>
      </c>
      <c r="I59" s="318">
        <f>+I60</f>
        <v>504375319.82880008</v>
      </c>
      <c r="J59" s="89">
        <f t="shared" si="10"/>
        <v>5.0000000000000107E-2</v>
      </c>
      <c r="K59" s="87">
        <f>+K60</f>
        <v>0</v>
      </c>
      <c r="L59" s="97"/>
      <c r="M59" s="87">
        <f>+M60</f>
        <v>0</v>
      </c>
      <c r="N59" s="98"/>
      <c r="O59" s="87">
        <f>+O60</f>
        <v>50437531.982880011</v>
      </c>
      <c r="P59" s="97"/>
      <c r="Q59" s="87">
        <f>+Q60</f>
        <v>453937787.84592009</v>
      </c>
      <c r="R59" s="97"/>
      <c r="S59" s="97"/>
      <c r="T59" s="316">
        <f t="shared" ref="T59" si="102">+T60</f>
        <v>544725345.41510415</v>
      </c>
      <c r="U59" s="339">
        <f t="shared" si="15"/>
        <v>5</v>
      </c>
    </row>
    <row r="60" spans="1:153" s="64" customFormat="1" x14ac:dyDescent="0.25">
      <c r="A60" s="63" t="s">
        <v>89</v>
      </c>
      <c r="B60" s="224">
        <v>71</v>
      </c>
      <c r="C60" s="63" t="s">
        <v>90</v>
      </c>
      <c r="D60" s="314">
        <v>245599803</v>
      </c>
      <c r="E60" s="314">
        <v>400297872.88</v>
      </c>
      <c r="F60" s="311">
        <f t="shared" si="7"/>
        <v>1.629878639927085</v>
      </c>
      <c r="G60" s="314">
        <f>+(E60/10)*12</f>
        <v>480357447.45600003</v>
      </c>
      <c r="H60" s="312">
        <f t="shared" si="8"/>
        <v>1.955854367912502</v>
      </c>
      <c r="I60" s="315">
        <f>+G60*1.05</f>
        <v>504375319.82880008</v>
      </c>
      <c r="J60" s="89">
        <f t="shared" si="10"/>
        <v>5.0000000000000107E-2</v>
      </c>
      <c r="K60" s="80"/>
      <c r="L60" s="97"/>
      <c r="M60" s="80"/>
      <c r="N60" s="98"/>
      <c r="O60" s="80">
        <f>+I60*P60</f>
        <v>50437531.982880011</v>
      </c>
      <c r="P60" s="97">
        <v>0.1</v>
      </c>
      <c r="Q60" s="80">
        <f>+I60*R60</f>
        <v>453937787.84592009</v>
      </c>
      <c r="R60" s="97">
        <v>0.9</v>
      </c>
      <c r="S60" s="97"/>
      <c r="T60" s="314">
        <f>+(Q60/10)*12</f>
        <v>544725345.41510415</v>
      </c>
      <c r="U60" s="340">
        <f t="shared" si="15"/>
        <v>5</v>
      </c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2"/>
      <c r="BK60" s="62"/>
      <c r="BL60" s="62"/>
      <c r="BM60" s="62"/>
      <c r="BN60" s="62"/>
      <c r="BO60" s="62"/>
      <c r="BP60" s="62"/>
      <c r="BQ60" s="62"/>
      <c r="BR60" s="62"/>
      <c r="BS60" s="62"/>
      <c r="BT60" s="62"/>
      <c r="BU60" s="62"/>
      <c r="BV60" s="62"/>
      <c r="BW60" s="62"/>
      <c r="BX60" s="62"/>
      <c r="BY60" s="62"/>
      <c r="BZ60" s="62"/>
      <c r="CA60" s="62"/>
      <c r="CB60" s="62"/>
      <c r="CC60" s="62"/>
      <c r="CD60" s="62"/>
      <c r="CE60" s="62"/>
      <c r="CF60" s="62"/>
      <c r="CG60" s="62"/>
      <c r="CH60" s="62"/>
      <c r="CI60" s="62"/>
      <c r="CJ60" s="62"/>
      <c r="CK60" s="62"/>
      <c r="CL60" s="62"/>
      <c r="CM60" s="62"/>
      <c r="CN60" s="62"/>
      <c r="CO60" s="62"/>
      <c r="CP60" s="62"/>
      <c r="CQ60" s="62"/>
      <c r="CR60" s="62"/>
      <c r="CS60" s="62"/>
      <c r="CT60" s="62"/>
      <c r="CU60" s="62"/>
      <c r="CV60" s="62"/>
      <c r="CW60" s="62"/>
      <c r="CX60" s="62"/>
      <c r="CY60" s="62"/>
      <c r="CZ60" s="62"/>
      <c r="DA60" s="62"/>
      <c r="DB60" s="62"/>
      <c r="DC60" s="62"/>
      <c r="DD60" s="62"/>
      <c r="DE60" s="62"/>
      <c r="DF60" s="62"/>
      <c r="DG60" s="62"/>
      <c r="DH60" s="62"/>
      <c r="DI60" s="62"/>
      <c r="DJ60" s="62"/>
      <c r="DK60" s="62"/>
      <c r="DL60" s="62"/>
      <c r="DM60" s="62"/>
      <c r="DN60" s="62"/>
      <c r="DO60" s="62"/>
      <c r="DP60" s="62"/>
      <c r="DQ60" s="62"/>
      <c r="DR60" s="62"/>
      <c r="DS60" s="62"/>
      <c r="DT60" s="62"/>
      <c r="DU60" s="62"/>
      <c r="DV60" s="62"/>
      <c r="DW60" s="62"/>
      <c r="DX60" s="62"/>
      <c r="DY60" s="62"/>
      <c r="DZ60" s="62"/>
      <c r="EA60" s="62"/>
      <c r="EB60" s="62"/>
      <c r="EC60" s="62"/>
      <c r="ED60" s="62"/>
      <c r="EE60" s="62"/>
      <c r="EF60" s="62"/>
      <c r="EG60" s="62"/>
      <c r="EH60" s="62"/>
      <c r="EI60" s="62"/>
      <c r="EJ60" s="62"/>
      <c r="EK60" s="62"/>
      <c r="EL60" s="62"/>
      <c r="EM60" s="62"/>
      <c r="EN60" s="62"/>
      <c r="EO60" s="62"/>
      <c r="EP60" s="62"/>
      <c r="EQ60" s="62"/>
      <c r="ER60" s="62"/>
      <c r="ES60" s="62"/>
      <c r="ET60" s="62"/>
      <c r="EU60" s="62"/>
      <c r="EV60" s="62"/>
      <c r="EW60" s="62"/>
    </row>
    <row r="61" spans="1:153" x14ac:dyDescent="0.25">
      <c r="A61" s="75" t="s">
        <v>91</v>
      </c>
      <c r="B61" s="227"/>
      <c r="C61" s="66" t="s">
        <v>92</v>
      </c>
      <c r="D61" s="316">
        <f>+D63</f>
        <v>17473320282</v>
      </c>
      <c r="E61" s="316">
        <f t="shared" ref="E61:G61" si="103">+E63</f>
        <v>20606251154</v>
      </c>
      <c r="F61" s="311">
        <f t="shared" si="7"/>
        <v>1.1792979709315672</v>
      </c>
      <c r="G61" s="316">
        <f t="shared" si="103"/>
        <v>22406264204</v>
      </c>
      <c r="H61" s="312">
        <f t="shared" si="8"/>
        <v>1.2823129114780567</v>
      </c>
      <c r="I61" s="317">
        <f>+I63</f>
        <v>0</v>
      </c>
      <c r="J61" s="89">
        <f t="shared" si="10"/>
        <v>-1</v>
      </c>
      <c r="K61" s="85">
        <f>+K63</f>
        <v>0</v>
      </c>
      <c r="L61" s="97"/>
      <c r="M61" s="85">
        <f>+M63</f>
        <v>0</v>
      </c>
      <c r="N61" s="98"/>
      <c r="O61" s="85">
        <f>+O63</f>
        <v>0</v>
      </c>
      <c r="P61" s="97"/>
      <c r="Q61" s="85">
        <f>+Q63</f>
        <v>0</v>
      </c>
      <c r="R61" s="97"/>
      <c r="S61" s="97"/>
      <c r="T61" s="316">
        <f t="shared" ref="T61" si="104">+T63</f>
        <v>0</v>
      </c>
      <c r="U61" s="339">
        <f t="shared" si="15"/>
        <v>-100</v>
      </c>
    </row>
    <row r="62" spans="1:153" hidden="1" x14ac:dyDescent="0.25">
      <c r="A62" s="75" t="s">
        <v>93</v>
      </c>
      <c r="B62" s="227">
        <v>72</v>
      </c>
      <c r="C62" s="66" t="s">
        <v>94</v>
      </c>
      <c r="D62" s="316">
        <v>0</v>
      </c>
      <c r="E62" s="316"/>
      <c r="F62" s="311">
        <v>0</v>
      </c>
      <c r="G62" s="316"/>
      <c r="H62" s="312">
        <v>0</v>
      </c>
      <c r="I62" s="318"/>
      <c r="J62" s="89">
        <v>0</v>
      </c>
      <c r="K62" s="81"/>
      <c r="L62" s="97"/>
      <c r="M62" s="81"/>
      <c r="N62" s="98"/>
      <c r="O62" s="81"/>
      <c r="P62" s="97"/>
      <c r="Q62" s="81"/>
      <c r="R62" s="97"/>
      <c r="S62" s="97"/>
      <c r="T62" s="316"/>
      <c r="U62" s="339" t="e">
        <f t="shared" si="15"/>
        <v>#DIV/0!</v>
      </c>
    </row>
    <row r="63" spans="1:153" s="64" customFormat="1" x14ac:dyDescent="0.25">
      <c r="A63" s="63" t="s">
        <v>95</v>
      </c>
      <c r="B63" s="224"/>
      <c r="C63" s="63" t="s">
        <v>96</v>
      </c>
      <c r="D63" s="314">
        <f>+D64</f>
        <v>17473320282</v>
      </c>
      <c r="E63" s="314">
        <f t="shared" ref="E63:T63" si="105">+E64</f>
        <v>20606251154</v>
      </c>
      <c r="F63" s="311">
        <f t="shared" si="7"/>
        <v>1.1792979709315672</v>
      </c>
      <c r="G63" s="314">
        <f t="shared" si="105"/>
        <v>22406264204</v>
      </c>
      <c r="H63" s="312">
        <f t="shared" si="8"/>
        <v>1.2823129114780567</v>
      </c>
      <c r="I63" s="315">
        <f t="shared" si="105"/>
        <v>0</v>
      </c>
      <c r="J63" s="89">
        <f t="shared" si="10"/>
        <v>-1</v>
      </c>
      <c r="K63" s="84">
        <f t="shared" si="105"/>
        <v>0</v>
      </c>
      <c r="L63" s="97"/>
      <c r="M63" s="84">
        <f t="shared" si="105"/>
        <v>0</v>
      </c>
      <c r="N63" s="98"/>
      <c r="O63" s="84">
        <f t="shared" si="105"/>
        <v>0</v>
      </c>
      <c r="P63" s="97"/>
      <c r="Q63" s="84">
        <f t="shared" si="105"/>
        <v>0</v>
      </c>
      <c r="R63" s="97"/>
      <c r="S63" s="97"/>
      <c r="T63" s="314">
        <f t="shared" si="105"/>
        <v>0</v>
      </c>
      <c r="U63" s="340">
        <f t="shared" si="15"/>
        <v>-100</v>
      </c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62"/>
      <c r="BD63" s="62"/>
      <c r="BE63" s="62"/>
      <c r="BF63" s="62"/>
      <c r="BG63" s="62"/>
      <c r="BH63" s="62"/>
      <c r="BI63" s="62"/>
      <c r="BJ63" s="62"/>
      <c r="BK63" s="62"/>
      <c r="BL63" s="62"/>
      <c r="BM63" s="62"/>
      <c r="BN63" s="62"/>
      <c r="BO63" s="62"/>
      <c r="BP63" s="62"/>
      <c r="BQ63" s="62"/>
      <c r="BR63" s="62"/>
      <c r="BS63" s="62"/>
      <c r="BT63" s="62"/>
      <c r="BU63" s="62"/>
      <c r="BV63" s="62"/>
      <c r="BW63" s="62"/>
      <c r="BX63" s="62"/>
      <c r="BY63" s="62"/>
      <c r="BZ63" s="62"/>
      <c r="CA63" s="62"/>
      <c r="CB63" s="62"/>
      <c r="CC63" s="62"/>
      <c r="CD63" s="62"/>
      <c r="CE63" s="62"/>
      <c r="CF63" s="62"/>
      <c r="CG63" s="62"/>
      <c r="CH63" s="62"/>
      <c r="CI63" s="62"/>
      <c r="CJ63" s="62"/>
      <c r="CK63" s="62"/>
      <c r="CL63" s="62"/>
      <c r="CM63" s="62"/>
      <c r="CN63" s="62"/>
      <c r="CO63" s="62"/>
      <c r="CP63" s="62"/>
      <c r="CQ63" s="62"/>
      <c r="CR63" s="62"/>
      <c r="CS63" s="62"/>
      <c r="CT63" s="62"/>
      <c r="CU63" s="62"/>
      <c r="CV63" s="62"/>
      <c r="CW63" s="62"/>
      <c r="CX63" s="62"/>
      <c r="CY63" s="62"/>
      <c r="CZ63" s="62"/>
      <c r="DA63" s="62"/>
      <c r="DB63" s="62"/>
      <c r="DC63" s="62"/>
      <c r="DD63" s="62"/>
      <c r="DE63" s="62"/>
      <c r="DF63" s="62"/>
      <c r="DG63" s="62"/>
      <c r="DH63" s="62"/>
      <c r="DI63" s="62"/>
      <c r="DJ63" s="62"/>
      <c r="DK63" s="62"/>
      <c r="DL63" s="62"/>
      <c r="DM63" s="62"/>
      <c r="DN63" s="62"/>
      <c r="DO63" s="62"/>
      <c r="DP63" s="62"/>
      <c r="DQ63" s="62"/>
      <c r="DR63" s="62"/>
      <c r="DS63" s="62"/>
      <c r="DT63" s="62"/>
      <c r="DU63" s="62"/>
      <c r="DV63" s="62"/>
      <c r="DW63" s="62"/>
      <c r="DX63" s="62"/>
      <c r="DY63" s="62"/>
      <c r="DZ63" s="62"/>
      <c r="EA63" s="62"/>
      <c r="EB63" s="62"/>
      <c r="EC63" s="62"/>
      <c r="ED63" s="62"/>
      <c r="EE63" s="62"/>
      <c r="EF63" s="62"/>
      <c r="EG63" s="62"/>
      <c r="EH63" s="62"/>
      <c r="EI63" s="62"/>
      <c r="EJ63" s="62"/>
      <c r="EK63" s="62"/>
      <c r="EL63" s="62"/>
      <c r="EM63" s="62"/>
      <c r="EN63" s="62"/>
      <c r="EO63" s="62"/>
      <c r="EP63" s="62"/>
      <c r="EQ63" s="62"/>
      <c r="ER63" s="62"/>
      <c r="ES63" s="62"/>
      <c r="ET63" s="62"/>
      <c r="EU63" s="62"/>
      <c r="EV63" s="62"/>
      <c r="EW63" s="62"/>
    </row>
    <row r="64" spans="1:153" x14ac:dyDescent="0.25">
      <c r="A64" s="75" t="s">
        <v>97</v>
      </c>
      <c r="B64" s="227">
        <v>81</v>
      </c>
      <c r="C64" s="66" t="s">
        <v>98</v>
      </c>
      <c r="D64" s="316">
        <f>+D65</f>
        <v>17473320282</v>
      </c>
      <c r="E64" s="316">
        <f>+E65+E66</f>
        <v>20606251154</v>
      </c>
      <c r="F64" s="311">
        <f t="shared" si="7"/>
        <v>1.1792979709315672</v>
      </c>
      <c r="G64" s="316">
        <f>+G65+G66</f>
        <v>22406264204</v>
      </c>
      <c r="H64" s="312">
        <f t="shared" si="8"/>
        <v>1.2823129114780567</v>
      </c>
      <c r="I64" s="317">
        <f>+I65+I66</f>
        <v>0</v>
      </c>
      <c r="J64" s="89">
        <f t="shared" si="10"/>
        <v>-1</v>
      </c>
      <c r="K64" s="85">
        <f>+K65+K66</f>
        <v>0</v>
      </c>
      <c r="L64" s="97"/>
      <c r="M64" s="85">
        <f>+M65+M66</f>
        <v>0</v>
      </c>
      <c r="N64" s="98"/>
      <c r="O64" s="85">
        <f>+O65+O66</f>
        <v>0</v>
      </c>
      <c r="P64" s="97"/>
      <c r="Q64" s="85">
        <f>+Q65+Q66</f>
        <v>0</v>
      </c>
      <c r="R64" s="97"/>
      <c r="S64" s="97"/>
      <c r="T64" s="316">
        <f>+T65+T66</f>
        <v>0</v>
      </c>
      <c r="U64" s="339">
        <f t="shared" si="15"/>
        <v>-100</v>
      </c>
    </row>
    <row r="65" spans="1:153" s="64" customFormat="1" x14ac:dyDescent="0.25">
      <c r="A65" s="74"/>
      <c r="B65" s="222"/>
      <c r="C65" s="63" t="s">
        <v>30</v>
      </c>
      <c r="D65" s="314">
        <v>17473320282</v>
      </c>
      <c r="E65" s="314">
        <v>15673307232</v>
      </c>
      <c r="F65" s="311">
        <f t="shared" si="7"/>
        <v>0.89698505945351048</v>
      </c>
      <c r="G65" s="314">
        <f>+D65</f>
        <v>17473320282</v>
      </c>
      <c r="H65" s="312">
        <f t="shared" si="8"/>
        <v>1</v>
      </c>
      <c r="I65" s="315">
        <v>0</v>
      </c>
      <c r="J65" s="89">
        <f t="shared" si="10"/>
        <v>-1</v>
      </c>
      <c r="K65" s="80"/>
      <c r="L65" s="97"/>
      <c r="M65" s="80"/>
      <c r="N65" s="98"/>
      <c r="O65" s="80"/>
      <c r="P65" s="97"/>
      <c r="Q65" s="80">
        <f>+I65*R65</f>
        <v>0</v>
      </c>
      <c r="R65" s="97">
        <v>1</v>
      </c>
      <c r="S65" s="97"/>
      <c r="T65" s="314">
        <f>+P65</f>
        <v>0</v>
      </c>
      <c r="U65" s="340">
        <f t="shared" si="15"/>
        <v>-100</v>
      </c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62"/>
      <c r="BD65" s="62"/>
      <c r="BE65" s="62"/>
      <c r="BF65" s="62"/>
      <c r="BG65" s="62"/>
      <c r="BH65" s="62"/>
      <c r="BI65" s="62"/>
      <c r="BJ65" s="62"/>
      <c r="BK65" s="62"/>
      <c r="BL65" s="62"/>
      <c r="BM65" s="62"/>
      <c r="BN65" s="62"/>
      <c r="BO65" s="62"/>
      <c r="BP65" s="62"/>
      <c r="BQ65" s="62"/>
      <c r="BR65" s="62"/>
      <c r="BS65" s="62"/>
      <c r="BT65" s="62"/>
      <c r="BU65" s="62"/>
      <c r="BV65" s="62"/>
      <c r="BW65" s="62"/>
      <c r="BX65" s="62"/>
      <c r="BY65" s="62"/>
      <c r="BZ65" s="62"/>
      <c r="CA65" s="62"/>
      <c r="CB65" s="62"/>
      <c r="CC65" s="62"/>
      <c r="CD65" s="62"/>
      <c r="CE65" s="62"/>
      <c r="CF65" s="62"/>
      <c r="CG65" s="62"/>
      <c r="CH65" s="62"/>
      <c r="CI65" s="62"/>
      <c r="CJ65" s="62"/>
      <c r="CK65" s="62"/>
      <c r="CL65" s="62"/>
      <c r="CM65" s="62"/>
      <c r="CN65" s="62"/>
      <c r="CO65" s="62"/>
      <c r="CP65" s="62"/>
      <c r="CQ65" s="62"/>
      <c r="CR65" s="62"/>
      <c r="CS65" s="62"/>
      <c r="CT65" s="62"/>
      <c r="CU65" s="62"/>
      <c r="CV65" s="62"/>
      <c r="CW65" s="62"/>
      <c r="CX65" s="62"/>
      <c r="CY65" s="62"/>
      <c r="CZ65" s="62"/>
      <c r="DA65" s="62"/>
      <c r="DB65" s="62"/>
      <c r="DC65" s="62"/>
      <c r="DD65" s="62"/>
      <c r="DE65" s="62"/>
      <c r="DF65" s="62"/>
      <c r="DG65" s="62"/>
      <c r="DH65" s="62"/>
      <c r="DI65" s="62"/>
      <c r="DJ65" s="62"/>
      <c r="DK65" s="62"/>
      <c r="DL65" s="62"/>
      <c r="DM65" s="62"/>
      <c r="DN65" s="62"/>
      <c r="DO65" s="62"/>
      <c r="DP65" s="62"/>
      <c r="DQ65" s="62"/>
      <c r="DR65" s="62"/>
      <c r="DS65" s="62"/>
      <c r="DT65" s="62"/>
      <c r="DU65" s="62"/>
      <c r="DV65" s="62"/>
      <c r="DW65" s="62"/>
      <c r="DX65" s="62"/>
      <c r="DY65" s="62"/>
      <c r="DZ65" s="62"/>
      <c r="EA65" s="62"/>
      <c r="EB65" s="62"/>
      <c r="EC65" s="62"/>
      <c r="ED65" s="62"/>
      <c r="EE65" s="62"/>
      <c r="EF65" s="62"/>
      <c r="EG65" s="62"/>
      <c r="EH65" s="62"/>
      <c r="EI65" s="62"/>
      <c r="EJ65" s="62"/>
      <c r="EK65" s="62"/>
      <c r="EL65" s="62"/>
      <c r="EM65" s="62"/>
      <c r="EN65" s="62"/>
      <c r="EO65" s="62"/>
      <c r="EP65" s="62"/>
      <c r="EQ65" s="62"/>
      <c r="ER65" s="62"/>
      <c r="ES65" s="62"/>
      <c r="ET65" s="62"/>
      <c r="EU65" s="62"/>
      <c r="EV65" s="62"/>
      <c r="EW65" s="62"/>
    </row>
    <row r="66" spans="1:153" s="83" customFormat="1" x14ac:dyDescent="0.25">
      <c r="A66" s="82" t="s">
        <v>99</v>
      </c>
      <c r="B66" s="229"/>
      <c r="C66" s="71" t="s">
        <v>39</v>
      </c>
      <c r="D66" s="319">
        <v>0</v>
      </c>
      <c r="E66" s="319">
        <v>4932943922</v>
      </c>
      <c r="F66" s="311">
        <v>0</v>
      </c>
      <c r="G66" s="319">
        <f>+E66</f>
        <v>4932943922</v>
      </c>
      <c r="H66" s="312">
        <v>0</v>
      </c>
      <c r="I66" s="320">
        <v>0</v>
      </c>
      <c r="J66" s="89">
        <f t="shared" si="10"/>
        <v>-1</v>
      </c>
      <c r="K66" s="92"/>
      <c r="L66" s="97"/>
      <c r="M66" s="92"/>
      <c r="N66" s="98"/>
      <c r="O66" s="92"/>
      <c r="P66" s="98"/>
      <c r="Q66" s="92"/>
      <c r="R66" s="97"/>
      <c r="S66" s="97"/>
      <c r="T66" s="319">
        <f>+Q66</f>
        <v>0</v>
      </c>
      <c r="U66" s="341">
        <f t="shared" si="15"/>
        <v>-100</v>
      </c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  <c r="BG66" s="62"/>
      <c r="BH66" s="62"/>
      <c r="BI66" s="62"/>
      <c r="BJ66" s="62"/>
      <c r="BK66" s="62"/>
      <c r="BL66" s="62"/>
      <c r="BM66" s="62"/>
      <c r="BN66" s="62"/>
      <c r="BO66" s="62"/>
      <c r="BP66" s="62"/>
      <c r="BQ66" s="62"/>
      <c r="BR66" s="62"/>
      <c r="BS66" s="62"/>
      <c r="BT66" s="62"/>
      <c r="BU66" s="62"/>
      <c r="BV66" s="62"/>
      <c r="BW66" s="62"/>
      <c r="BX66" s="62"/>
      <c r="BY66" s="62"/>
      <c r="BZ66" s="62"/>
      <c r="CA66" s="62"/>
      <c r="CB66" s="62"/>
      <c r="CC66" s="62"/>
      <c r="CD66" s="62"/>
      <c r="CE66" s="62"/>
      <c r="CF66" s="62"/>
      <c r="CG66" s="62"/>
      <c r="CH66" s="62"/>
      <c r="CI66" s="62"/>
      <c r="CJ66" s="62"/>
      <c r="CK66" s="62"/>
      <c r="CL66" s="62"/>
      <c r="CM66" s="62"/>
      <c r="CN66" s="62"/>
      <c r="CO66" s="62"/>
      <c r="CP66" s="62"/>
      <c r="CQ66" s="62"/>
      <c r="CR66" s="62"/>
      <c r="CS66" s="62"/>
      <c r="CT66" s="62"/>
      <c r="CU66" s="62"/>
      <c r="CV66" s="62"/>
      <c r="CW66" s="62"/>
      <c r="CX66" s="62"/>
      <c r="CY66" s="62"/>
      <c r="CZ66" s="62"/>
      <c r="DA66" s="62"/>
      <c r="DB66" s="62"/>
      <c r="DC66" s="62"/>
      <c r="DD66" s="62"/>
      <c r="DE66" s="62"/>
      <c r="DF66" s="62"/>
      <c r="DG66" s="62"/>
      <c r="DH66" s="62"/>
      <c r="DI66" s="62"/>
      <c r="DJ66" s="62"/>
      <c r="DK66" s="62"/>
      <c r="DL66" s="62"/>
      <c r="DM66" s="62"/>
      <c r="DN66" s="62"/>
      <c r="DO66" s="62"/>
      <c r="DP66" s="62"/>
      <c r="DQ66" s="62"/>
      <c r="DR66" s="62"/>
      <c r="DS66" s="62"/>
      <c r="DT66" s="62"/>
      <c r="DU66" s="62"/>
      <c r="DV66" s="62"/>
      <c r="DW66" s="62"/>
      <c r="DX66" s="62"/>
      <c r="DY66" s="62"/>
      <c r="DZ66" s="62"/>
      <c r="EA66" s="62"/>
      <c r="EB66" s="62"/>
      <c r="EC66" s="62"/>
      <c r="ED66" s="62"/>
      <c r="EE66" s="62"/>
      <c r="EF66" s="62"/>
      <c r="EG66" s="62"/>
      <c r="EH66" s="62"/>
      <c r="EI66" s="62"/>
      <c r="EJ66" s="62"/>
      <c r="EK66" s="62"/>
      <c r="EL66" s="62"/>
      <c r="EM66" s="62"/>
      <c r="EN66" s="62"/>
      <c r="EO66" s="62"/>
      <c r="EP66" s="62"/>
      <c r="EQ66" s="62"/>
      <c r="ER66" s="62"/>
      <c r="ES66" s="62"/>
      <c r="ET66" s="62"/>
      <c r="EU66" s="62"/>
      <c r="EV66" s="62"/>
      <c r="EW66" s="62"/>
    </row>
    <row r="67" spans="1:153" s="64" customFormat="1" x14ac:dyDescent="0.25">
      <c r="A67" s="74" t="s">
        <v>100</v>
      </c>
      <c r="B67" s="222"/>
      <c r="C67" s="63" t="s">
        <v>101</v>
      </c>
      <c r="D67" s="314">
        <f>+D68+D69</f>
        <v>2210571200</v>
      </c>
      <c r="E67" s="314">
        <f t="shared" ref="E67:Q67" si="106">+E68+E69</f>
        <v>2199800000</v>
      </c>
      <c r="F67" s="311">
        <f t="shared" si="7"/>
        <v>0.9951274132224287</v>
      </c>
      <c r="G67" s="314">
        <f t="shared" si="106"/>
        <v>2694800000</v>
      </c>
      <c r="H67" s="312">
        <f t="shared" si="8"/>
        <v>1.2190514379269937</v>
      </c>
      <c r="I67" s="315">
        <f t="shared" si="106"/>
        <v>2311989800</v>
      </c>
      <c r="J67" s="89">
        <f t="shared" si="10"/>
        <v>-0.14205514323883034</v>
      </c>
      <c r="K67" s="84">
        <f t="shared" si="106"/>
        <v>2311989800</v>
      </c>
      <c r="L67" s="97"/>
      <c r="M67" s="84">
        <f t="shared" si="106"/>
        <v>0</v>
      </c>
      <c r="N67" s="98"/>
      <c r="O67" s="84">
        <f t="shared" si="106"/>
        <v>0</v>
      </c>
      <c r="P67" s="98"/>
      <c r="Q67" s="84">
        <f t="shared" si="106"/>
        <v>0</v>
      </c>
      <c r="R67" s="97"/>
      <c r="S67" s="97"/>
      <c r="T67" s="314">
        <f t="shared" ref="T67" si="107">+T68+T69</f>
        <v>495000000</v>
      </c>
      <c r="U67" s="340">
        <f t="shared" si="15"/>
        <v>-14.205514323883037</v>
      </c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  <c r="BB67" s="62"/>
      <c r="BC67" s="62"/>
      <c r="BD67" s="62"/>
      <c r="BE67" s="62"/>
      <c r="BF67" s="62"/>
      <c r="BG67" s="62"/>
      <c r="BH67" s="62"/>
      <c r="BI67" s="62"/>
      <c r="BJ67" s="62"/>
      <c r="BK67" s="62"/>
      <c r="BL67" s="62"/>
      <c r="BM67" s="62"/>
      <c r="BN67" s="62"/>
      <c r="BO67" s="62"/>
      <c r="BP67" s="62"/>
      <c r="BQ67" s="62"/>
      <c r="BR67" s="62"/>
      <c r="BS67" s="62"/>
      <c r="BT67" s="62"/>
      <c r="BU67" s="62"/>
      <c r="BV67" s="62"/>
      <c r="BW67" s="62"/>
      <c r="BX67" s="62"/>
      <c r="BY67" s="62"/>
      <c r="BZ67" s="62"/>
      <c r="CA67" s="62"/>
      <c r="CB67" s="62"/>
      <c r="CC67" s="62"/>
      <c r="CD67" s="62"/>
      <c r="CE67" s="62"/>
      <c r="CF67" s="62"/>
      <c r="CG67" s="62"/>
      <c r="CH67" s="62"/>
      <c r="CI67" s="62"/>
      <c r="CJ67" s="62"/>
      <c r="CK67" s="62"/>
      <c r="CL67" s="62"/>
      <c r="CM67" s="62"/>
      <c r="CN67" s="62"/>
      <c r="CO67" s="62"/>
      <c r="CP67" s="62"/>
      <c r="CQ67" s="62"/>
      <c r="CR67" s="62"/>
      <c r="CS67" s="62"/>
      <c r="CT67" s="62"/>
      <c r="CU67" s="62"/>
      <c r="CV67" s="62"/>
      <c r="CW67" s="62"/>
      <c r="CX67" s="62"/>
      <c r="CY67" s="62"/>
      <c r="CZ67" s="62"/>
      <c r="DA67" s="62"/>
      <c r="DB67" s="62"/>
      <c r="DC67" s="62"/>
      <c r="DD67" s="62"/>
      <c r="DE67" s="62"/>
      <c r="DF67" s="62"/>
      <c r="DG67" s="62"/>
      <c r="DH67" s="62"/>
      <c r="DI67" s="62"/>
      <c r="DJ67" s="62"/>
      <c r="DK67" s="62"/>
      <c r="DL67" s="62"/>
      <c r="DM67" s="62"/>
      <c r="DN67" s="62"/>
      <c r="DO67" s="62"/>
      <c r="DP67" s="62"/>
      <c r="DQ67" s="62"/>
      <c r="DR67" s="62"/>
      <c r="DS67" s="62"/>
      <c r="DT67" s="62"/>
      <c r="DU67" s="62"/>
      <c r="DV67" s="62"/>
      <c r="DW67" s="62"/>
      <c r="DX67" s="62"/>
      <c r="DY67" s="62"/>
      <c r="DZ67" s="62"/>
      <c r="EA67" s="62"/>
      <c r="EB67" s="62"/>
      <c r="EC67" s="62"/>
      <c r="ED67" s="62"/>
      <c r="EE67" s="62"/>
      <c r="EF67" s="62"/>
      <c r="EG67" s="62"/>
      <c r="EH67" s="62"/>
      <c r="EI67" s="62"/>
      <c r="EJ67" s="62"/>
      <c r="EK67" s="62"/>
      <c r="EL67" s="62"/>
      <c r="EM67" s="62"/>
      <c r="EN67" s="62"/>
      <c r="EO67" s="62"/>
      <c r="EP67" s="62"/>
      <c r="EQ67" s="62"/>
      <c r="ER67" s="62"/>
      <c r="ES67" s="62"/>
      <c r="ET67" s="62"/>
      <c r="EU67" s="62"/>
      <c r="EV67" s="62"/>
      <c r="EW67" s="62"/>
    </row>
    <row r="68" spans="1:153" s="83" customFormat="1" x14ac:dyDescent="0.25">
      <c r="A68" s="82" t="s">
        <v>102</v>
      </c>
      <c r="B68" s="229">
        <v>11</v>
      </c>
      <c r="C68" s="71" t="s">
        <v>103</v>
      </c>
      <c r="D68" s="319">
        <v>2210571200</v>
      </c>
      <c r="E68" s="319">
        <v>2199800000</v>
      </c>
      <c r="F68" s="311">
        <f t="shared" si="7"/>
        <v>0.9951274132224287</v>
      </c>
      <c r="G68" s="319">
        <f>+E68+495000000</f>
        <v>2694800000</v>
      </c>
      <c r="H68" s="312">
        <f t="shared" si="8"/>
        <v>1.2190514379269937</v>
      </c>
      <c r="I68" s="320">
        <v>2311989800</v>
      </c>
      <c r="J68" s="89">
        <f t="shared" si="10"/>
        <v>-0.14205514323883034</v>
      </c>
      <c r="K68" s="92">
        <f>+I68*L68</f>
        <v>2311989800</v>
      </c>
      <c r="L68" s="97">
        <v>1</v>
      </c>
      <c r="M68" s="92"/>
      <c r="N68" s="98"/>
      <c r="O68" s="92"/>
      <c r="P68" s="98"/>
      <c r="Q68" s="92"/>
      <c r="R68" s="97"/>
      <c r="S68" s="97"/>
      <c r="T68" s="319">
        <f>+Q68+495000000</f>
        <v>495000000</v>
      </c>
      <c r="U68" s="341">
        <f t="shared" si="15"/>
        <v>-14.205514323883037</v>
      </c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2"/>
      <c r="BB68" s="62"/>
      <c r="BC68" s="62"/>
      <c r="BD68" s="62"/>
      <c r="BE68" s="62"/>
      <c r="BF68" s="62"/>
      <c r="BG68" s="62"/>
      <c r="BH68" s="62"/>
      <c r="BI68" s="62"/>
      <c r="BJ68" s="62"/>
      <c r="BK68" s="62"/>
      <c r="BL68" s="62"/>
      <c r="BM68" s="62"/>
      <c r="BN68" s="62"/>
      <c r="BO68" s="62"/>
      <c r="BP68" s="62"/>
      <c r="BQ68" s="62"/>
      <c r="BR68" s="62"/>
      <c r="BS68" s="62"/>
      <c r="BT68" s="62"/>
      <c r="BU68" s="62"/>
      <c r="BV68" s="62"/>
      <c r="BW68" s="62"/>
      <c r="BX68" s="62"/>
      <c r="BY68" s="62"/>
      <c r="BZ68" s="62"/>
      <c r="CA68" s="62"/>
      <c r="CB68" s="62"/>
      <c r="CC68" s="62"/>
      <c r="CD68" s="62"/>
      <c r="CE68" s="62"/>
      <c r="CF68" s="62"/>
      <c r="CG68" s="62"/>
      <c r="CH68" s="62"/>
      <c r="CI68" s="62"/>
      <c r="CJ68" s="62"/>
      <c r="CK68" s="62"/>
      <c r="CL68" s="62"/>
      <c r="CM68" s="62"/>
      <c r="CN68" s="62"/>
      <c r="CO68" s="62"/>
      <c r="CP68" s="62"/>
      <c r="CQ68" s="62"/>
      <c r="CR68" s="62"/>
      <c r="CS68" s="62"/>
      <c r="CT68" s="62"/>
      <c r="CU68" s="62"/>
      <c r="CV68" s="62"/>
      <c r="CW68" s="62"/>
      <c r="CX68" s="62"/>
      <c r="CY68" s="62"/>
      <c r="CZ68" s="62"/>
      <c r="DA68" s="62"/>
      <c r="DB68" s="62"/>
      <c r="DC68" s="62"/>
      <c r="DD68" s="62"/>
      <c r="DE68" s="62"/>
      <c r="DF68" s="62"/>
      <c r="DG68" s="62"/>
      <c r="DH68" s="62"/>
      <c r="DI68" s="62"/>
      <c r="DJ68" s="62"/>
      <c r="DK68" s="62"/>
      <c r="DL68" s="62"/>
      <c r="DM68" s="62"/>
      <c r="DN68" s="62"/>
      <c r="DO68" s="62"/>
      <c r="DP68" s="62"/>
      <c r="DQ68" s="62"/>
      <c r="DR68" s="62"/>
      <c r="DS68" s="62"/>
      <c r="DT68" s="62"/>
      <c r="DU68" s="62"/>
      <c r="DV68" s="62"/>
      <c r="DW68" s="62"/>
      <c r="DX68" s="62"/>
      <c r="DY68" s="62"/>
      <c r="DZ68" s="62"/>
      <c r="EA68" s="62"/>
      <c r="EB68" s="62"/>
      <c r="EC68" s="62"/>
      <c r="ED68" s="62"/>
      <c r="EE68" s="62"/>
      <c r="EF68" s="62"/>
      <c r="EG68" s="62"/>
      <c r="EH68" s="62"/>
      <c r="EI68" s="62"/>
      <c r="EJ68" s="62"/>
      <c r="EK68" s="62"/>
      <c r="EL68" s="62"/>
      <c r="EM68" s="62"/>
      <c r="EN68" s="62"/>
      <c r="EO68" s="62"/>
      <c r="EP68" s="62"/>
      <c r="EQ68" s="62"/>
      <c r="ER68" s="62"/>
      <c r="ES68" s="62"/>
      <c r="ET68" s="62"/>
      <c r="EU68" s="62"/>
      <c r="EV68" s="62"/>
      <c r="EW68" s="62"/>
    </row>
    <row r="69" spans="1:153" s="64" customFormat="1" hidden="1" x14ac:dyDescent="0.25">
      <c r="A69" s="74" t="s">
        <v>104</v>
      </c>
      <c r="B69" s="222">
        <v>12</v>
      </c>
      <c r="C69" s="63" t="s">
        <v>105</v>
      </c>
      <c r="D69" s="314">
        <v>0</v>
      </c>
      <c r="E69" s="314">
        <v>0</v>
      </c>
      <c r="F69" s="311">
        <v>0</v>
      </c>
      <c r="G69" s="314">
        <f>+D69</f>
        <v>0</v>
      </c>
      <c r="H69" s="312">
        <v>0</v>
      </c>
      <c r="I69" s="315"/>
      <c r="J69" s="89">
        <v>0</v>
      </c>
      <c r="K69" s="80"/>
      <c r="L69" s="97"/>
      <c r="M69" s="80"/>
      <c r="N69" s="98"/>
      <c r="O69" s="80"/>
      <c r="P69" s="98"/>
      <c r="Q69" s="80"/>
      <c r="R69" s="98"/>
      <c r="S69" s="98"/>
      <c r="T69" s="314">
        <f>+P69</f>
        <v>0</v>
      </c>
      <c r="U69" s="340" t="e">
        <f t="shared" si="15"/>
        <v>#DIV/0!</v>
      </c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62"/>
      <c r="AS69" s="62"/>
      <c r="AT69" s="62"/>
      <c r="AU69" s="62"/>
      <c r="AV69" s="62"/>
      <c r="AW69" s="62"/>
      <c r="AX69" s="62"/>
      <c r="AY69" s="62"/>
      <c r="AZ69" s="62"/>
      <c r="BA69" s="62"/>
      <c r="BB69" s="62"/>
      <c r="BC69" s="62"/>
      <c r="BD69" s="62"/>
      <c r="BE69" s="62"/>
      <c r="BF69" s="62"/>
      <c r="BG69" s="62"/>
      <c r="BH69" s="62"/>
      <c r="BI69" s="62"/>
      <c r="BJ69" s="62"/>
      <c r="BK69" s="62"/>
      <c r="BL69" s="62"/>
      <c r="BM69" s="62"/>
      <c r="BN69" s="62"/>
      <c r="BO69" s="62"/>
      <c r="BP69" s="62"/>
      <c r="BQ69" s="62"/>
      <c r="BR69" s="62"/>
      <c r="BS69" s="62"/>
      <c r="BT69" s="62"/>
      <c r="BU69" s="62"/>
      <c r="BV69" s="62"/>
      <c r="BW69" s="62"/>
      <c r="BX69" s="62"/>
      <c r="BY69" s="62"/>
      <c r="BZ69" s="62"/>
      <c r="CA69" s="62"/>
      <c r="CB69" s="62"/>
      <c r="CC69" s="62"/>
      <c r="CD69" s="62"/>
      <c r="CE69" s="62"/>
      <c r="CF69" s="62"/>
      <c r="CG69" s="62"/>
      <c r="CH69" s="62"/>
      <c r="CI69" s="62"/>
      <c r="CJ69" s="62"/>
      <c r="CK69" s="62"/>
      <c r="CL69" s="62"/>
      <c r="CM69" s="62"/>
      <c r="CN69" s="62"/>
      <c r="CO69" s="62"/>
      <c r="CP69" s="62"/>
      <c r="CQ69" s="62"/>
      <c r="CR69" s="62"/>
      <c r="CS69" s="62"/>
      <c r="CT69" s="62"/>
      <c r="CU69" s="62"/>
      <c r="CV69" s="62"/>
      <c r="CW69" s="62"/>
      <c r="CX69" s="62"/>
      <c r="CY69" s="62"/>
      <c r="CZ69" s="62"/>
      <c r="DA69" s="62"/>
      <c r="DB69" s="62"/>
      <c r="DC69" s="62"/>
      <c r="DD69" s="62"/>
      <c r="DE69" s="62"/>
      <c r="DF69" s="62"/>
      <c r="DG69" s="62"/>
      <c r="DH69" s="62"/>
      <c r="DI69" s="62"/>
      <c r="DJ69" s="62"/>
      <c r="DK69" s="62"/>
      <c r="DL69" s="62"/>
      <c r="DM69" s="62"/>
      <c r="DN69" s="62"/>
      <c r="DO69" s="62"/>
      <c r="DP69" s="62"/>
      <c r="DQ69" s="62"/>
      <c r="DR69" s="62"/>
      <c r="DS69" s="62"/>
      <c r="DT69" s="62"/>
      <c r="DU69" s="62"/>
      <c r="DV69" s="62"/>
      <c r="DW69" s="62"/>
      <c r="DX69" s="62"/>
      <c r="DY69" s="62"/>
      <c r="DZ69" s="62"/>
      <c r="EA69" s="62"/>
      <c r="EB69" s="62"/>
      <c r="EC69" s="62"/>
      <c r="ED69" s="62"/>
      <c r="EE69" s="62"/>
      <c r="EF69" s="62"/>
      <c r="EG69" s="62"/>
      <c r="EH69" s="62"/>
      <c r="EI69" s="62"/>
      <c r="EJ69" s="62"/>
      <c r="EK69" s="62"/>
      <c r="EL69" s="62"/>
      <c r="EM69" s="62"/>
      <c r="EN69" s="62"/>
      <c r="EO69" s="62"/>
      <c r="EP69" s="62"/>
      <c r="EQ69" s="62"/>
      <c r="ER69" s="62"/>
      <c r="ES69" s="62"/>
      <c r="ET69" s="62"/>
      <c r="EU69" s="62"/>
      <c r="EV69" s="62"/>
      <c r="EW69" s="62"/>
    </row>
    <row r="70" spans="1:153" s="78" customFormat="1" x14ac:dyDescent="0.25">
      <c r="A70" s="76"/>
      <c r="B70" s="76"/>
      <c r="C70" s="77" t="s">
        <v>106</v>
      </c>
      <c r="D70" s="321">
        <f>+D5+D67</f>
        <v>151139860542</v>
      </c>
      <c r="E70" s="321">
        <f>+E5+E67</f>
        <v>136373284797.73001</v>
      </c>
      <c r="F70" s="322">
        <f t="shared" si="7"/>
        <v>0.90229860149853369</v>
      </c>
      <c r="G70" s="321">
        <f>+G5+G67</f>
        <v>145271398773.89966</v>
      </c>
      <c r="H70" s="323">
        <f t="shared" ref="H70" si="108">+G70/D70</f>
        <v>0.96117197841088675</v>
      </c>
      <c r="I70" s="324">
        <f t="shared" ref="I70:Q70" si="109">+I5+I67</f>
        <v>143572002805.34863</v>
      </c>
      <c r="J70" s="90">
        <f t="shared" ref="J70" si="110">+(I70-G70)/G70</f>
        <v>-1.1698076723250697E-2</v>
      </c>
      <c r="K70" s="88">
        <f t="shared" si="109"/>
        <v>13806496068.421753</v>
      </c>
      <c r="L70" s="98"/>
      <c r="M70" s="88">
        <f t="shared" si="109"/>
        <v>5614497519.9055462</v>
      </c>
      <c r="N70" s="98"/>
      <c r="O70" s="88">
        <f t="shared" si="109"/>
        <v>12363481377.636566</v>
      </c>
      <c r="P70" s="98"/>
      <c r="Q70" s="88">
        <f t="shared" si="109"/>
        <v>111787527839.38477</v>
      </c>
      <c r="R70" s="98"/>
      <c r="S70" s="98"/>
      <c r="T70" s="321">
        <f>+T5+T67</f>
        <v>118958943487.25549</v>
      </c>
      <c r="U70" s="342">
        <f t="shared" ref="U70" si="111">+I70/G70*100-100</f>
        <v>-1.1698076723250779</v>
      </c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  <c r="AM70" s="62"/>
      <c r="AN70" s="62"/>
      <c r="AO70" s="62"/>
      <c r="AP70" s="62"/>
      <c r="AQ70" s="62"/>
      <c r="AR70" s="62"/>
      <c r="AS70" s="62"/>
      <c r="AT70" s="62"/>
      <c r="AU70" s="62"/>
      <c r="AV70" s="62"/>
      <c r="AW70" s="62"/>
      <c r="AX70" s="62"/>
      <c r="AY70" s="62"/>
      <c r="AZ70" s="62"/>
      <c r="BA70" s="62"/>
      <c r="BB70" s="62"/>
      <c r="BC70" s="62"/>
      <c r="BD70" s="62"/>
      <c r="BE70" s="62"/>
      <c r="BF70" s="62"/>
      <c r="BG70" s="62"/>
      <c r="BH70" s="62"/>
      <c r="BI70" s="62"/>
      <c r="BJ70" s="62"/>
      <c r="BK70" s="62"/>
      <c r="BL70" s="62"/>
      <c r="BM70" s="62"/>
      <c r="BN70" s="62"/>
      <c r="BO70" s="62"/>
      <c r="BP70" s="62"/>
      <c r="BQ70" s="62"/>
      <c r="BR70" s="62"/>
      <c r="BS70" s="62"/>
      <c r="BT70" s="62"/>
      <c r="BU70" s="62"/>
      <c r="BV70" s="62"/>
      <c r="BW70" s="62"/>
      <c r="BX70" s="62"/>
      <c r="BY70" s="62"/>
      <c r="BZ70" s="62"/>
      <c r="CA70" s="62"/>
      <c r="CB70" s="62"/>
      <c r="CC70" s="62"/>
      <c r="CD70" s="62"/>
      <c r="CE70" s="62"/>
      <c r="CF70" s="62"/>
      <c r="CG70" s="62"/>
      <c r="CH70" s="62"/>
      <c r="CI70" s="62"/>
      <c r="CJ70" s="62"/>
      <c r="CK70" s="62"/>
      <c r="CL70" s="62"/>
      <c r="CM70" s="62"/>
      <c r="CN70" s="62"/>
      <c r="CO70" s="62"/>
      <c r="CP70" s="62"/>
      <c r="CQ70" s="62"/>
      <c r="CR70" s="62"/>
      <c r="CS70" s="62"/>
      <c r="CT70" s="62"/>
      <c r="CU70" s="62"/>
      <c r="CV70" s="62"/>
      <c r="CW70" s="62"/>
      <c r="CX70" s="62"/>
      <c r="CY70" s="62"/>
      <c r="CZ70" s="62"/>
      <c r="DA70" s="62"/>
      <c r="DB70" s="62"/>
      <c r="DC70" s="62"/>
      <c r="DD70" s="62"/>
      <c r="DE70" s="62"/>
      <c r="DF70" s="62"/>
      <c r="DG70" s="62"/>
      <c r="DH70" s="62"/>
      <c r="DI70" s="62"/>
      <c r="DJ70" s="62"/>
      <c r="DK70" s="62"/>
      <c r="DL70" s="62"/>
      <c r="DM70" s="62"/>
      <c r="DN70" s="62"/>
      <c r="DO70" s="62"/>
      <c r="DP70" s="62"/>
      <c r="DQ70" s="62"/>
      <c r="DR70" s="62"/>
      <c r="DS70" s="62"/>
      <c r="DT70" s="62"/>
      <c r="DU70" s="62"/>
      <c r="DV70" s="62"/>
      <c r="DW70" s="62"/>
      <c r="DX70" s="62"/>
      <c r="DY70" s="62"/>
      <c r="DZ70" s="62"/>
      <c r="EA70" s="62"/>
      <c r="EB70" s="62"/>
      <c r="EC70" s="62"/>
      <c r="ED70" s="62"/>
      <c r="EE70" s="62"/>
      <c r="EF70" s="62"/>
      <c r="EG70" s="62"/>
      <c r="EH70" s="62"/>
      <c r="EI70" s="62"/>
      <c r="EJ70" s="62"/>
      <c r="EK70" s="62"/>
      <c r="EL70" s="62"/>
      <c r="EM70" s="62"/>
      <c r="EN70" s="62"/>
      <c r="EO70" s="62"/>
      <c r="EP70" s="62"/>
      <c r="EQ70" s="62"/>
      <c r="ER70" s="62"/>
      <c r="ES70" s="62"/>
      <c r="ET70" s="62"/>
      <c r="EU70" s="62"/>
      <c r="EV70" s="62"/>
      <c r="EW70" s="62"/>
    </row>
    <row r="71" spans="1:153" x14ac:dyDescent="0.25">
      <c r="G71" s="345">
        <f>+G70/D70</f>
        <v>0.96117197841088675</v>
      </c>
      <c r="I71" s="345"/>
    </row>
    <row r="72" spans="1:153" x14ac:dyDescent="0.25">
      <c r="I72" s="91"/>
    </row>
    <row r="73" spans="1:153" x14ac:dyDescent="0.25">
      <c r="K73" s="91"/>
      <c r="Q73" s="91">
        <f>+K70+M70+O70+Q70</f>
        <v>143572002805.34863</v>
      </c>
    </row>
    <row r="74" spans="1:153" x14ac:dyDescent="0.25">
      <c r="Q74" s="91"/>
    </row>
    <row r="76" spans="1:153" x14ac:dyDescent="0.25">
      <c r="M76" s="62" t="s">
        <v>545</v>
      </c>
      <c r="O76" s="198">
        <f>+'GASTOS DE FTO 2024 - 2027 '!U3</f>
        <v>14162543582</v>
      </c>
    </row>
    <row r="78" spans="1:153" x14ac:dyDescent="0.25">
      <c r="M78" s="62" t="s">
        <v>128</v>
      </c>
      <c r="O78" s="198">
        <f>+O76*0.4</f>
        <v>5665017432.8000002</v>
      </c>
    </row>
    <row r="80" spans="1:153" x14ac:dyDescent="0.25">
      <c r="M80" s="62" t="s">
        <v>126</v>
      </c>
      <c r="O80" s="230">
        <f>+O76-O78</f>
        <v>8497526149.1999998</v>
      </c>
    </row>
    <row r="82" spans="13:15" x14ac:dyDescent="0.25">
      <c r="M82" s="62" t="s">
        <v>546</v>
      </c>
      <c r="O82" s="230">
        <f>+O70-O78</f>
        <v>6698463944.836566</v>
      </c>
    </row>
    <row r="85" spans="13:15" x14ac:dyDescent="0.25">
      <c r="O85" s="91">
        <f>+K70+O70</f>
        <v>26169977446.058319</v>
      </c>
    </row>
    <row r="86" spans="13:15" x14ac:dyDescent="0.25">
      <c r="O86" s="91">
        <f>+'GASTOS DE FTO 2024 - 2027 '!U57</f>
        <v>23378784812</v>
      </c>
    </row>
    <row r="87" spans="13:15" x14ac:dyDescent="0.25">
      <c r="O87" s="91">
        <f>+O85-O86</f>
        <v>2791192634.0583191</v>
      </c>
    </row>
  </sheetData>
  <mergeCells count="22">
    <mergeCell ref="O2:R2"/>
    <mergeCell ref="K1:R1"/>
    <mergeCell ref="K3:K4"/>
    <mergeCell ref="L3:L4"/>
    <mergeCell ref="M3:M4"/>
    <mergeCell ref="N3:N4"/>
    <mergeCell ref="T1:T3"/>
    <mergeCell ref="U1:U3"/>
    <mergeCell ref="A1:A3"/>
    <mergeCell ref="B1:B3"/>
    <mergeCell ref="J1:J3"/>
    <mergeCell ref="K2:L2"/>
    <mergeCell ref="M2:N2"/>
    <mergeCell ref="I1:I3"/>
    <mergeCell ref="H1:H3"/>
    <mergeCell ref="C1:C3"/>
    <mergeCell ref="D1:D3"/>
    <mergeCell ref="E1:E3"/>
    <mergeCell ref="F1:F3"/>
    <mergeCell ref="G1:G3"/>
    <mergeCell ref="O3:P3"/>
    <mergeCell ref="Q3:R3"/>
  </mergeCells>
  <printOptions horizontalCentered="1"/>
  <pageMargins left="0.70866141732283472" right="0.70866141732283472" top="0.74803149606299213" bottom="0.74803149606299213" header="0.31496062992125984" footer="0.31496062992125984"/>
  <pageSetup paperSize="120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B091C-4935-44E2-9B93-A7D47E459DD6}">
  <dimension ref="A1:E84"/>
  <sheetViews>
    <sheetView tabSelected="1" zoomScale="130" zoomScaleNormal="130" workbookViewId="0">
      <selection activeCell="B17" sqref="B17"/>
    </sheetView>
  </sheetViews>
  <sheetFormatPr baseColWidth="10" defaultRowHeight="14.4" x14ac:dyDescent="0.3"/>
  <cols>
    <col min="1" max="1" width="50.33203125" style="79" customWidth="1"/>
    <col min="2" max="2" width="31.109375" customWidth="1"/>
    <col min="3" max="3" width="22.33203125" customWidth="1"/>
    <col min="4" max="4" width="21.88671875" customWidth="1"/>
    <col min="5" max="5" width="22.109375" customWidth="1"/>
  </cols>
  <sheetData>
    <row r="1" spans="1:5" x14ac:dyDescent="0.3">
      <c r="A1" s="535" t="s">
        <v>1</v>
      </c>
      <c r="B1" s="608" t="s">
        <v>621</v>
      </c>
      <c r="C1" s="608" t="s">
        <v>622</v>
      </c>
      <c r="D1" s="608" t="s">
        <v>623</v>
      </c>
    </row>
    <row r="2" spans="1:5" x14ac:dyDescent="0.3">
      <c r="A2" s="535"/>
      <c r="B2" s="609"/>
      <c r="C2" s="609"/>
      <c r="D2" s="609"/>
    </row>
    <row r="3" spans="1:5" x14ac:dyDescent="0.3">
      <c r="A3" s="61" t="s">
        <v>614</v>
      </c>
      <c r="B3" s="347">
        <f>+B4+B59</f>
        <v>149442976415.96631</v>
      </c>
      <c r="C3" s="347">
        <f>+C4+C59</f>
        <v>141260013006</v>
      </c>
      <c r="D3" s="347">
        <f>+D4+D59</f>
        <v>8182963409.9663</v>
      </c>
    </row>
    <row r="4" spans="1:5" x14ac:dyDescent="0.3">
      <c r="A4" s="63" t="s">
        <v>5</v>
      </c>
      <c r="B4" s="373">
        <f>+B5+B10</f>
        <v>148938601096.13751</v>
      </c>
      <c r="C4" s="373">
        <f>+C5+C10</f>
        <v>140755637686</v>
      </c>
      <c r="D4" s="373">
        <f>+D5+D10</f>
        <v>8182963410.1374998</v>
      </c>
    </row>
    <row r="5" spans="1:5" x14ac:dyDescent="0.3">
      <c r="A5" s="66" t="s">
        <v>7</v>
      </c>
      <c r="B5" s="347">
        <f t="shared" ref="B5:D6" si="0">+B6</f>
        <v>21494000000.037502</v>
      </c>
      <c r="C5" s="347">
        <f t="shared" si="0"/>
        <v>16422288760</v>
      </c>
      <c r="D5" s="347">
        <f t="shared" si="0"/>
        <v>5071711240.0375004</v>
      </c>
    </row>
    <row r="6" spans="1:5" x14ac:dyDescent="0.3">
      <c r="A6" s="63" t="s">
        <v>9</v>
      </c>
      <c r="B6" s="373">
        <f t="shared" si="0"/>
        <v>21494000000.037502</v>
      </c>
      <c r="C6" s="373">
        <f t="shared" si="0"/>
        <v>16422288760</v>
      </c>
      <c r="D6" s="373">
        <f t="shared" si="0"/>
        <v>5071711240.0375004</v>
      </c>
    </row>
    <row r="7" spans="1:5" x14ac:dyDescent="0.3">
      <c r="A7" s="66" t="s">
        <v>11</v>
      </c>
      <c r="B7" s="347">
        <f>+B8+B9</f>
        <v>21494000000.037502</v>
      </c>
      <c r="C7" s="347">
        <f>+C8+C9</f>
        <v>16422288760</v>
      </c>
      <c r="D7" s="347">
        <f>+D8+D9</f>
        <v>5071711240.0375004</v>
      </c>
    </row>
    <row r="8" spans="1:5" x14ac:dyDescent="0.3">
      <c r="A8" s="63" t="s">
        <v>13</v>
      </c>
      <c r="B8" s="373">
        <f>+'REAJUSTE DE INGRESOS 2024 (2)'!T10</f>
        <v>17242301572</v>
      </c>
      <c r="C8" s="373">
        <v>12170590332</v>
      </c>
      <c r="D8" s="373">
        <f>+B8-C8</f>
        <v>5071711240</v>
      </c>
      <c r="E8" s="376">
        <f>+D8</f>
        <v>5071711240</v>
      </c>
    </row>
    <row r="9" spans="1:5" x14ac:dyDescent="0.3">
      <c r="A9" s="71" t="s">
        <v>15</v>
      </c>
      <c r="B9" s="347">
        <f>+'REAJUSTE DE INGRESOS 2024 (2)'!T11</f>
        <v>4251698428.0375009</v>
      </c>
      <c r="C9" s="347">
        <v>4251698428</v>
      </c>
      <c r="D9" s="347">
        <f>+B9-C9</f>
        <v>3.7500858306884766E-2</v>
      </c>
    </row>
    <row r="10" spans="1:5" x14ac:dyDescent="0.3">
      <c r="A10" s="63" t="s">
        <v>17</v>
      </c>
      <c r="B10" s="373">
        <f>+B11+B25+B46+B51</f>
        <v>127444601096.10001</v>
      </c>
      <c r="C10" s="373">
        <f>+C11+C25+C46+C51</f>
        <v>124333348926</v>
      </c>
      <c r="D10" s="373">
        <f>+D11+D25+D46+D51</f>
        <v>3111252170.0999994</v>
      </c>
    </row>
    <row r="11" spans="1:5" x14ac:dyDescent="0.3">
      <c r="A11" s="66" t="s">
        <v>19</v>
      </c>
      <c r="B11" s="347">
        <f t="shared" ref="B11:D12" si="1">+B12</f>
        <v>17976333808</v>
      </c>
      <c r="C11" s="347">
        <f t="shared" si="1"/>
        <v>16976626274</v>
      </c>
      <c r="D11" s="347">
        <f t="shared" si="1"/>
        <v>999707534</v>
      </c>
    </row>
    <row r="12" spans="1:5" x14ac:dyDescent="0.3">
      <c r="A12" s="63" t="s">
        <v>21</v>
      </c>
      <c r="B12" s="373">
        <f t="shared" si="1"/>
        <v>17976333808</v>
      </c>
      <c r="C12" s="373">
        <f t="shared" si="1"/>
        <v>16976626274</v>
      </c>
      <c r="D12" s="373">
        <f t="shared" si="1"/>
        <v>999707534</v>
      </c>
    </row>
    <row r="13" spans="1:5" x14ac:dyDescent="0.3">
      <c r="A13" s="66" t="s">
        <v>23</v>
      </c>
      <c r="B13" s="347">
        <f>+B14+B21</f>
        <v>17976333808</v>
      </c>
      <c r="C13" s="347">
        <f>+C14+C21</f>
        <v>16976626274</v>
      </c>
      <c r="D13" s="347">
        <f>+D14+D21</f>
        <v>999707534</v>
      </c>
    </row>
    <row r="14" spans="1:5" x14ac:dyDescent="0.3">
      <c r="A14" s="63" t="s">
        <v>25</v>
      </c>
      <c r="B14" s="373">
        <f>+B15+B18</f>
        <v>17846333808</v>
      </c>
      <c r="C14" s="373">
        <f>+C15+C18</f>
        <v>16846626274</v>
      </c>
      <c r="D14" s="373">
        <f>+D15+D18</f>
        <v>999707534</v>
      </c>
    </row>
    <row r="15" spans="1:5" x14ac:dyDescent="0.3">
      <c r="A15" s="66" t="s">
        <v>27</v>
      </c>
      <c r="B15" s="347">
        <f>+B16+B17</f>
        <v>13673438495</v>
      </c>
      <c r="C15" s="347">
        <f>+C16+C17</f>
        <v>13389634811</v>
      </c>
      <c r="D15" s="347">
        <f>+D16+D17</f>
        <v>283803684</v>
      </c>
      <c r="E15" s="376">
        <f>+D15</f>
        <v>283803684</v>
      </c>
    </row>
    <row r="16" spans="1:5" x14ac:dyDescent="0.3">
      <c r="A16" s="63" t="s">
        <v>30</v>
      </c>
      <c r="B16" s="373">
        <f>+'REAJUSTE DE INGRESOS 2024 (2)'!T18</f>
        <v>12083619655</v>
      </c>
      <c r="C16" s="373">
        <v>12446702782</v>
      </c>
      <c r="D16" s="373">
        <f t="shared" ref="D16:D17" si="2">+B16-C16</f>
        <v>-363083127</v>
      </c>
    </row>
    <row r="17" spans="1:5" x14ac:dyDescent="0.3">
      <c r="A17" s="66" t="s">
        <v>32</v>
      </c>
      <c r="B17" s="347">
        <f>+'REAJUSTE DE INGRESOS 2024 (2)'!T19</f>
        <v>1589818840</v>
      </c>
      <c r="C17" s="347">
        <v>942932029</v>
      </c>
      <c r="D17" s="347">
        <f t="shared" si="2"/>
        <v>646886811</v>
      </c>
    </row>
    <row r="18" spans="1:5" x14ac:dyDescent="0.3">
      <c r="A18" s="63" t="s">
        <v>35</v>
      </c>
      <c r="B18" s="373">
        <f>+B19+B20</f>
        <v>4172895313</v>
      </c>
      <c r="C18" s="373">
        <f>+C19+C20</f>
        <v>3456991463</v>
      </c>
      <c r="D18" s="373">
        <f>+D19+D20</f>
        <v>715903850</v>
      </c>
      <c r="E18" s="376">
        <f>+D18</f>
        <v>715903850</v>
      </c>
    </row>
    <row r="19" spans="1:5" x14ac:dyDescent="0.3">
      <c r="A19" s="66" t="s">
        <v>37</v>
      </c>
      <c r="B19" s="347">
        <f>+'REAJUSTE DE INGRESOS 2024 (2)'!T21</f>
        <v>2725753043</v>
      </c>
      <c r="C19" s="347">
        <v>3213541360</v>
      </c>
      <c r="D19" s="347">
        <f t="shared" ref="D19:D20" si="3">+B19-C19</f>
        <v>-487788317</v>
      </c>
    </row>
    <row r="20" spans="1:5" x14ac:dyDescent="0.3">
      <c r="A20" s="63" t="s">
        <v>39</v>
      </c>
      <c r="B20" s="373">
        <f>+'REAJUSTE DE INGRESOS 2024 (2)'!T22</f>
        <v>1447142270</v>
      </c>
      <c r="C20" s="373">
        <v>243450103</v>
      </c>
      <c r="D20" s="373">
        <f t="shared" si="3"/>
        <v>1203692167</v>
      </c>
    </row>
    <row r="21" spans="1:5" x14ac:dyDescent="0.3">
      <c r="A21" s="66" t="s">
        <v>41</v>
      </c>
      <c r="B21" s="347">
        <f>+B22</f>
        <v>130000000</v>
      </c>
      <c r="C21" s="347">
        <f>+C22</f>
        <v>130000000</v>
      </c>
      <c r="D21" s="347">
        <f>+D22</f>
        <v>0</v>
      </c>
    </row>
    <row r="22" spans="1:5" x14ac:dyDescent="0.3">
      <c r="A22" s="63" t="s">
        <v>43</v>
      </c>
      <c r="B22" s="373">
        <f>+B23+B24</f>
        <v>130000000</v>
      </c>
      <c r="C22" s="373">
        <f>+C23+C24</f>
        <v>130000000</v>
      </c>
      <c r="D22" s="373">
        <f>+D23+D24</f>
        <v>0</v>
      </c>
    </row>
    <row r="23" spans="1:5" x14ac:dyDescent="0.3">
      <c r="A23" s="66" t="s">
        <v>30</v>
      </c>
      <c r="B23" s="347">
        <f>+'REAJUSTE DE INGRESOS 2024 (2)'!T25</f>
        <v>120000000</v>
      </c>
      <c r="C23" s="347">
        <v>120000000</v>
      </c>
      <c r="D23" s="347">
        <f t="shared" ref="D23:D24" si="4">+B23-C23</f>
        <v>0</v>
      </c>
    </row>
    <row r="24" spans="1:5" x14ac:dyDescent="0.3">
      <c r="A24" s="63" t="s">
        <v>32</v>
      </c>
      <c r="B24" s="373">
        <f>+'REAJUSTE DE INGRESOS 2024 (2)'!T26</f>
        <v>10000000</v>
      </c>
      <c r="C24" s="373">
        <v>10000000</v>
      </c>
      <c r="D24" s="373">
        <f t="shared" si="4"/>
        <v>0</v>
      </c>
    </row>
    <row r="25" spans="1:5" x14ac:dyDescent="0.3">
      <c r="A25" s="66" t="s">
        <v>47</v>
      </c>
      <c r="B25" s="347">
        <f>+B26+B28+B31+B34+B37+B40+B43</f>
        <v>21947958454.220001</v>
      </c>
      <c r="C25" s="347">
        <f>+C26+C28+C31+C34+C37+C40+C43</f>
        <v>21836413818</v>
      </c>
      <c r="D25" s="347">
        <f>+D26+D28+D31+D34+D37+D40+D43</f>
        <v>111544636.21999931</v>
      </c>
    </row>
    <row r="26" spans="1:5" x14ac:dyDescent="0.3">
      <c r="A26" s="63" t="s">
        <v>50</v>
      </c>
      <c r="B26" s="373">
        <f>+B27</f>
        <v>240496823</v>
      </c>
      <c r="C26" s="373">
        <f>+C27</f>
        <v>176363974</v>
      </c>
      <c r="D26" s="373">
        <f>+D27</f>
        <v>64132849</v>
      </c>
      <c r="E26" s="376">
        <f>+D26</f>
        <v>64132849</v>
      </c>
    </row>
    <row r="27" spans="1:5" x14ac:dyDescent="0.3">
      <c r="A27" s="66" t="s">
        <v>30</v>
      </c>
      <c r="B27" s="347">
        <f>+'REAJUSTE DE INGRESOS 2024 (2)'!T29</f>
        <v>240496823</v>
      </c>
      <c r="C27" s="347">
        <v>176363974</v>
      </c>
      <c r="D27" s="347">
        <f>+B27-C27</f>
        <v>64132849</v>
      </c>
    </row>
    <row r="28" spans="1:5" x14ac:dyDescent="0.3">
      <c r="A28" s="63" t="s">
        <v>53</v>
      </c>
      <c r="B28" s="373">
        <f>+B29+B30</f>
        <v>2247453257</v>
      </c>
      <c r="C28" s="373">
        <f>+C29+C30</f>
        <v>8106255758</v>
      </c>
      <c r="D28" s="373">
        <f>+D29+D30</f>
        <v>-5858802501</v>
      </c>
    </row>
    <row r="29" spans="1:5" x14ac:dyDescent="0.3">
      <c r="A29" s="66" t="s">
        <v>55</v>
      </c>
      <c r="B29" s="347">
        <f>+'REAJUSTE DE INGRESOS 2024 (2)'!T31</f>
        <v>1926388506</v>
      </c>
      <c r="C29" s="347">
        <v>7482697623</v>
      </c>
      <c r="D29" s="347">
        <f t="shared" ref="D29:D30" si="5">+B29-C29</f>
        <v>-5556309117</v>
      </c>
    </row>
    <row r="30" spans="1:5" x14ac:dyDescent="0.3">
      <c r="A30" s="63" t="s">
        <v>39</v>
      </c>
      <c r="B30" s="373">
        <f>+'REAJUSTE DE INGRESOS 2024 (2)'!T32</f>
        <v>321064751</v>
      </c>
      <c r="C30" s="373">
        <v>623558135</v>
      </c>
      <c r="D30" s="373">
        <f t="shared" si="5"/>
        <v>-302493384</v>
      </c>
    </row>
    <row r="31" spans="1:5" x14ac:dyDescent="0.3">
      <c r="A31" s="66" t="s">
        <v>58</v>
      </c>
      <c r="B31" s="347">
        <f>+B32+B33</f>
        <v>8106255758</v>
      </c>
      <c r="C31" s="347">
        <f>+C32+C33</f>
        <v>2247453257</v>
      </c>
      <c r="D31" s="347">
        <f>+D32+D33</f>
        <v>5858802501</v>
      </c>
    </row>
    <row r="32" spans="1:5" x14ac:dyDescent="0.3">
      <c r="A32" s="63" t="s">
        <v>55</v>
      </c>
      <c r="B32" s="373">
        <f>+'REAJUSTE DE INGRESOS 2024 (2)'!T34</f>
        <v>7482697623</v>
      </c>
      <c r="C32" s="373">
        <v>1926388506</v>
      </c>
      <c r="D32" s="373">
        <f t="shared" ref="D32:D33" si="6">+B32-C32</f>
        <v>5556309117</v>
      </c>
    </row>
    <row r="33" spans="1:5" x14ac:dyDescent="0.3">
      <c r="A33" s="66" t="s">
        <v>39</v>
      </c>
      <c r="B33" s="347">
        <f>+'REAJUSTE DE INGRESOS 2024 (2)'!T35</f>
        <v>623558135</v>
      </c>
      <c r="C33" s="347">
        <v>321064751</v>
      </c>
      <c r="D33" s="347">
        <f t="shared" si="6"/>
        <v>302493384</v>
      </c>
    </row>
    <row r="34" spans="1:5" x14ac:dyDescent="0.3">
      <c r="A34" s="63" t="s">
        <v>62</v>
      </c>
      <c r="B34" s="373">
        <f>+B35+B36</f>
        <v>2299999999.5</v>
      </c>
      <c r="C34" s="373">
        <f>+C35+C36</f>
        <v>2278275218</v>
      </c>
      <c r="D34" s="373">
        <f>+D35+D36</f>
        <v>21724781.500000007</v>
      </c>
      <c r="E34" s="376">
        <f>+D34</f>
        <v>21724781.500000007</v>
      </c>
    </row>
    <row r="35" spans="1:5" x14ac:dyDescent="0.3">
      <c r="A35" s="66" t="s">
        <v>55</v>
      </c>
      <c r="B35" s="347">
        <f>+'REAJUSTE DE INGRESOS 2024 (2)'!T37</f>
        <v>2241078934</v>
      </c>
      <c r="C35" s="347">
        <v>2219354152</v>
      </c>
      <c r="D35" s="347">
        <f t="shared" ref="D35:D36" si="7">+B35-C35</f>
        <v>21724782</v>
      </c>
    </row>
    <row r="36" spans="1:5" x14ac:dyDescent="0.3">
      <c r="A36" s="63" t="s">
        <v>39</v>
      </c>
      <c r="B36" s="373">
        <f>+'REAJUSTE DE INGRESOS 2024 (2)'!T38</f>
        <v>58921065.500000007</v>
      </c>
      <c r="C36" s="373">
        <v>58921066</v>
      </c>
      <c r="D36" s="373">
        <f t="shared" si="7"/>
        <v>-0.4999999925494194</v>
      </c>
    </row>
    <row r="37" spans="1:5" x14ac:dyDescent="0.3">
      <c r="A37" s="66" t="s">
        <v>66</v>
      </c>
      <c r="B37" s="347">
        <f>+B38+B39</f>
        <v>8872752616.7199993</v>
      </c>
      <c r="C37" s="347">
        <f>+C38+C39</f>
        <v>8872752617</v>
      </c>
      <c r="D37" s="347">
        <f>+D38+D39</f>
        <v>-0.28000068664550781</v>
      </c>
    </row>
    <row r="38" spans="1:5" x14ac:dyDescent="0.3">
      <c r="A38" s="63" t="s">
        <v>55</v>
      </c>
      <c r="B38" s="373">
        <f>+'REAJUSTE DE INGRESOS 2024 (2)'!T40</f>
        <v>8729500518.7199993</v>
      </c>
      <c r="C38" s="373">
        <v>8729500519</v>
      </c>
      <c r="D38" s="373">
        <f t="shared" ref="D38:D39" si="8">+B38-C38</f>
        <v>-0.28000068664550781</v>
      </c>
    </row>
    <row r="39" spans="1:5" x14ac:dyDescent="0.3">
      <c r="A39" s="66" t="s">
        <v>39</v>
      </c>
      <c r="B39" s="347">
        <f>+'REAJUSTE DE INGRESOS 2024 (2)'!T41</f>
        <v>143252098</v>
      </c>
      <c r="C39" s="347">
        <v>143252098</v>
      </c>
      <c r="D39" s="347">
        <f t="shared" si="8"/>
        <v>0</v>
      </c>
    </row>
    <row r="40" spans="1:5" x14ac:dyDescent="0.3">
      <c r="A40" s="63" t="s">
        <v>70</v>
      </c>
      <c r="B40" s="373">
        <f>+B41+B42</f>
        <v>180000000</v>
      </c>
      <c r="C40" s="373">
        <f>+C41+C42</f>
        <v>155312994</v>
      </c>
      <c r="D40" s="373">
        <f>+D41+D42</f>
        <v>24687006</v>
      </c>
    </row>
    <row r="41" spans="1:5" x14ac:dyDescent="0.3">
      <c r="A41" s="66" t="s">
        <v>13</v>
      </c>
      <c r="B41" s="347">
        <f>+'REAJUSTE DE INGRESOS 2024 (2)'!T43</f>
        <v>174687006</v>
      </c>
      <c r="C41" s="347">
        <v>150000000</v>
      </c>
      <c r="D41" s="347">
        <f t="shared" ref="D41:D42" si="9">+B41-C41</f>
        <v>24687006</v>
      </c>
      <c r="E41" s="376">
        <f>+D41</f>
        <v>24687006</v>
      </c>
    </row>
    <row r="42" spans="1:5" x14ac:dyDescent="0.3">
      <c r="A42" s="63" t="s">
        <v>15</v>
      </c>
      <c r="B42" s="373">
        <f>+'REAJUSTE DE INGRESOS 2024 (2)'!T44</f>
        <v>5312994</v>
      </c>
      <c r="C42" s="373">
        <v>5312994</v>
      </c>
      <c r="D42" s="373">
        <f t="shared" si="9"/>
        <v>0</v>
      </c>
    </row>
    <row r="43" spans="1:5" x14ac:dyDescent="0.3">
      <c r="A43" s="158" t="s">
        <v>593</v>
      </c>
      <c r="B43" s="347">
        <f>+B44+B45</f>
        <v>1000000</v>
      </c>
      <c r="C43" s="347">
        <f>+C44+C45</f>
        <v>0</v>
      </c>
      <c r="D43" s="347">
        <f>+D44+D45</f>
        <v>1000000</v>
      </c>
      <c r="E43" s="376">
        <f>+D43</f>
        <v>1000000</v>
      </c>
    </row>
    <row r="44" spans="1:5" x14ac:dyDescent="0.3">
      <c r="A44" s="63" t="s">
        <v>13</v>
      </c>
      <c r="B44" s="373">
        <f>+'REAJUSTE DE INGRESOS 2024 (2)'!T46</f>
        <v>1000000</v>
      </c>
      <c r="C44" s="373">
        <v>0</v>
      </c>
      <c r="D44" s="373">
        <f t="shared" ref="D44:D45" si="10">+B44-C44</f>
        <v>1000000</v>
      </c>
    </row>
    <row r="45" spans="1:5" x14ac:dyDescent="0.3">
      <c r="A45" s="158" t="s">
        <v>15</v>
      </c>
      <c r="B45" s="347">
        <v>0</v>
      </c>
      <c r="C45" s="347">
        <v>0</v>
      </c>
      <c r="D45" s="347">
        <f t="shared" si="10"/>
        <v>0</v>
      </c>
    </row>
    <row r="46" spans="1:5" x14ac:dyDescent="0.3">
      <c r="A46" s="63" t="s">
        <v>74</v>
      </c>
      <c r="B46" s="373">
        <f t="shared" ref="B46:D47" si="11">+B47</f>
        <v>355308833.88000011</v>
      </c>
      <c r="C46" s="373">
        <f t="shared" si="11"/>
        <v>355308834</v>
      </c>
      <c r="D46" s="373">
        <f t="shared" si="11"/>
        <v>-0.11999991536140442</v>
      </c>
    </row>
    <row r="47" spans="1:5" x14ac:dyDescent="0.3">
      <c r="A47" s="71" t="s">
        <v>76</v>
      </c>
      <c r="B47" s="347">
        <f t="shared" si="11"/>
        <v>355308833.88000011</v>
      </c>
      <c r="C47" s="347">
        <f t="shared" si="11"/>
        <v>355308834</v>
      </c>
      <c r="D47" s="347">
        <f t="shared" si="11"/>
        <v>-0.11999991536140442</v>
      </c>
    </row>
    <row r="48" spans="1:5" x14ac:dyDescent="0.3">
      <c r="A48" s="63" t="s">
        <v>78</v>
      </c>
      <c r="B48" s="373">
        <f>+B49+B50</f>
        <v>355308833.88000011</v>
      </c>
      <c r="C48" s="373">
        <f>+C49+C50</f>
        <v>355308834</v>
      </c>
      <c r="D48" s="373">
        <f>+D49+D50</f>
        <v>-0.11999991536140442</v>
      </c>
    </row>
    <row r="49" spans="1:5" x14ac:dyDescent="0.3">
      <c r="A49" s="71" t="s">
        <v>30</v>
      </c>
      <c r="B49" s="347">
        <f>+'REAJUSTE DE INGRESOS 2024 (2)'!T50</f>
        <v>300645936.36000007</v>
      </c>
      <c r="C49" s="347">
        <v>300645936</v>
      </c>
      <c r="D49" s="347">
        <f t="shared" ref="D49:D50" si="12">+B49-C49</f>
        <v>0.36000007390975952</v>
      </c>
    </row>
    <row r="50" spans="1:5" x14ac:dyDescent="0.3">
      <c r="A50" s="63" t="s">
        <v>32</v>
      </c>
      <c r="B50" s="373">
        <f>+'REAJUSTE DE INGRESOS 2024 (2)'!T51</f>
        <v>54662897.520000011</v>
      </c>
      <c r="C50" s="373">
        <v>54662898</v>
      </c>
      <c r="D50" s="373">
        <f t="shared" si="12"/>
        <v>-0.47999998927116394</v>
      </c>
    </row>
    <row r="51" spans="1:5" x14ac:dyDescent="0.3">
      <c r="A51" s="71" t="s">
        <v>81</v>
      </c>
      <c r="B51" s="347">
        <f>+B52+B57</f>
        <v>87165000000</v>
      </c>
      <c r="C51" s="347">
        <f>+C52+C57</f>
        <v>85165000000</v>
      </c>
      <c r="D51" s="347">
        <f>+D52+D57</f>
        <v>2000000000</v>
      </c>
    </row>
    <row r="52" spans="1:5" x14ac:dyDescent="0.3">
      <c r="A52" s="63" t="s">
        <v>120</v>
      </c>
      <c r="B52" s="373">
        <f t="shared" ref="B52:D53" si="13">+B53</f>
        <v>87120000000</v>
      </c>
      <c r="C52" s="373">
        <f t="shared" si="13"/>
        <v>85120000000</v>
      </c>
      <c r="D52" s="373">
        <f t="shared" si="13"/>
        <v>2000000000</v>
      </c>
    </row>
    <row r="53" spans="1:5" x14ac:dyDescent="0.3">
      <c r="A53" s="71" t="s">
        <v>83</v>
      </c>
      <c r="B53" s="347">
        <f t="shared" si="13"/>
        <v>87120000000</v>
      </c>
      <c r="C53" s="347">
        <f t="shared" si="13"/>
        <v>85120000000</v>
      </c>
      <c r="D53" s="347">
        <f t="shared" si="13"/>
        <v>2000000000</v>
      </c>
    </row>
    <row r="54" spans="1:5" x14ac:dyDescent="0.3">
      <c r="A54" s="63" t="s">
        <v>84</v>
      </c>
      <c r="B54" s="373">
        <f>+B55+B56</f>
        <v>87120000000</v>
      </c>
      <c r="C54" s="373">
        <f>+C55+C56</f>
        <v>85120000000</v>
      </c>
      <c r="D54" s="373">
        <f>+D55+D56</f>
        <v>2000000000</v>
      </c>
      <c r="E54" s="376"/>
    </row>
    <row r="55" spans="1:5" x14ac:dyDescent="0.3">
      <c r="A55" s="71" t="s">
        <v>30</v>
      </c>
      <c r="B55" s="347">
        <f>+'REAJUSTE DE INGRESOS 2024 (2)'!T56+2000000000</f>
        <v>81001789284</v>
      </c>
      <c r="C55" s="347">
        <v>78120000000</v>
      </c>
      <c r="D55" s="347">
        <f t="shared" ref="D55:D56" si="14">+B55-C55</f>
        <v>2881789284</v>
      </c>
      <c r="E55" s="376">
        <f>+D55</f>
        <v>2881789284</v>
      </c>
    </row>
    <row r="56" spans="1:5" x14ac:dyDescent="0.3">
      <c r="A56" s="63" t="s">
        <v>32</v>
      </c>
      <c r="B56" s="373">
        <f>+'REAJUSTE DE INGRESOS 2024 (2)'!T57</f>
        <v>6118210716</v>
      </c>
      <c r="C56" s="373">
        <v>7000000000</v>
      </c>
      <c r="D56" s="373">
        <f t="shared" si="14"/>
        <v>-881789284</v>
      </c>
      <c r="E56" s="376"/>
    </row>
    <row r="57" spans="1:5" x14ac:dyDescent="0.3">
      <c r="A57" s="71" t="s">
        <v>121</v>
      </c>
      <c r="B57" s="347">
        <f>+B58</f>
        <v>45000000</v>
      </c>
      <c r="C57" s="347">
        <f>+C58</f>
        <v>45000000</v>
      </c>
      <c r="D57" s="347">
        <f>+D58</f>
        <v>0</v>
      </c>
    </row>
    <row r="58" spans="1:5" x14ac:dyDescent="0.3">
      <c r="A58" s="63" t="s">
        <v>599</v>
      </c>
      <c r="B58" s="373">
        <f>+'REAJUSTE DE INGRESOS 2024 (2)'!T59</f>
        <v>45000000</v>
      </c>
      <c r="C58" s="373">
        <v>45000000</v>
      </c>
      <c r="D58" s="373">
        <f>+B58-C58</f>
        <v>0</v>
      </c>
    </row>
    <row r="59" spans="1:5" x14ac:dyDescent="0.3">
      <c r="A59" s="71" t="s">
        <v>86</v>
      </c>
      <c r="B59" s="347">
        <f>+B60+B64+B62</f>
        <v>504375319.82880008</v>
      </c>
      <c r="C59" s="347">
        <f>+C60+C64+C62</f>
        <v>504375320</v>
      </c>
      <c r="D59" s="347">
        <f>+D60+D64+D62</f>
        <v>-0.17119991779327393</v>
      </c>
    </row>
    <row r="60" spans="1:5" x14ac:dyDescent="0.3">
      <c r="A60" s="63" t="s">
        <v>88</v>
      </c>
      <c r="B60" s="373">
        <f>+B61</f>
        <v>504375319.82880008</v>
      </c>
      <c r="C60" s="373">
        <f>+C61</f>
        <v>504375320</v>
      </c>
      <c r="D60" s="373">
        <f>+D61</f>
        <v>-0.17119991779327393</v>
      </c>
    </row>
    <row r="61" spans="1:5" x14ac:dyDescent="0.3">
      <c r="A61" s="71" t="s">
        <v>90</v>
      </c>
      <c r="B61" s="347">
        <f>+'REAJUSTE DE INGRESOS 2024 (2)'!T62</f>
        <v>504375319.82880008</v>
      </c>
      <c r="C61" s="347">
        <v>504375320</v>
      </c>
      <c r="D61" s="347">
        <f>+B61-C61</f>
        <v>-0.17119991779327393</v>
      </c>
    </row>
    <row r="62" spans="1:5" x14ac:dyDescent="0.3">
      <c r="A62" s="63" t="s">
        <v>594</v>
      </c>
      <c r="B62" s="373">
        <f>+B63</f>
        <v>0</v>
      </c>
      <c r="C62" s="373">
        <f t="shared" ref="C62:D62" si="15">+C63</f>
        <v>0</v>
      </c>
      <c r="D62" s="373">
        <f t="shared" si="15"/>
        <v>0</v>
      </c>
    </row>
    <row r="63" spans="1:5" x14ac:dyDescent="0.3">
      <c r="A63" s="71" t="s">
        <v>595</v>
      </c>
      <c r="B63" s="347">
        <v>0</v>
      </c>
      <c r="C63" s="347"/>
      <c r="D63" s="347"/>
    </row>
    <row r="64" spans="1:5" x14ac:dyDescent="0.3">
      <c r="A64" s="63" t="s">
        <v>92</v>
      </c>
      <c r="B64" s="373">
        <f t="shared" ref="B64:D65" si="16">+B65</f>
        <v>0</v>
      </c>
      <c r="C64" s="373">
        <f t="shared" si="16"/>
        <v>0</v>
      </c>
      <c r="D64" s="373">
        <f t="shared" si="16"/>
        <v>0</v>
      </c>
    </row>
    <row r="65" spans="1:5" x14ac:dyDescent="0.3">
      <c r="A65" s="71" t="s">
        <v>96</v>
      </c>
      <c r="B65" s="347">
        <f t="shared" si="16"/>
        <v>0</v>
      </c>
      <c r="C65" s="347">
        <f t="shared" si="16"/>
        <v>0</v>
      </c>
      <c r="D65" s="347">
        <f t="shared" si="16"/>
        <v>0</v>
      </c>
    </row>
    <row r="66" spans="1:5" x14ac:dyDescent="0.3">
      <c r="A66" s="63" t="s">
        <v>98</v>
      </c>
      <c r="B66" s="373">
        <f>+B67+B68</f>
        <v>0</v>
      </c>
      <c r="C66" s="373">
        <f>+C67+C68</f>
        <v>0</v>
      </c>
      <c r="D66" s="373">
        <f>+D67+D68</f>
        <v>0</v>
      </c>
    </row>
    <row r="67" spans="1:5" x14ac:dyDescent="0.3">
      <c r="A67" s="71" t="s">
        <v>30</v>
      </c>
      <c r="B67" s="347">
        <f>+'REAJUSTE DE INGRESOS 2024 (2)'!T67</f>
        <v>0</v>
      </c>
      <c r="C67" s="347"/>
      <c r="D67" s="347">
        <f t="shared" ref="D67:D68" si="17">+B67-C67</f>
        <v>0</v>
      </c>
    </row>
    <row r="68" spans="1:5" x14ac:dyDescent="0.3">
      <c r="A68" s="63" t="s">
        <v>39</v>
      </c>
      <c r="B68" s="373">
        <f>+'REAJUSTE DE INGRESOS 2024 (2)'!T68</f>
        <v>0</v>
      </c>
      <c r="C68" s="373"/>
      <c r="D68" s="373">
        <f t="shared" si="17"/>
        <v>0</v>
      </c>
    </row>
    <row r="69" spans="1:5" x14ac:dyDescent="0.3">
      <c r="A69" s="71" t="s">
        <v>101</v>
      </c>
      <c r="B69" s="347">
        <f>+B70+B71</f>
        <v>2311989800</v>
      </c>
      <c r="C69" s="347">
        <f>+C70+C71</f>
        <v>2311989800</v>
      </c>
      <c r="D69" s="347">
        <f>+D70+D71</f>
        <v>0</v>
      </c>
    </row>
    <row r="70" spans="1:5" x14ac:dyDescent="0.3">
      <c r="A70" s="63" t="s">
        <v>103</v>
      </c>
      <c r="B70" s="373">
        <f>+'REAJUSTE DE INGRESOS 2024 (2)'!T70</f>
        <v>2311989800</v>
      </c>
      <c r="C70" s="373">
        <v>2311989800</v>
      </c>
      <c r="D70" s="373">
        <f t="shared" ref="D70:D71" si="18">+B70-C70</f>
        <v>0</v>
      </c>
    </row>
    <row r="71" spans="1:5" x14ac:dyDescent="0.3">
      <c r="A71" s="71" t="s">
        <v>105</v>
      </c>
      <c r="B71" s="347"/>
      <c r="C71" s="347"/>
      <c r="D71" s="347">
        <f t="shared" si="18"/>
        <v>0</v>
      </c>
    </row>
    <row r="72" spans="1:5" x14ac:dyDescent="0.3">
      <c r="A72" s="77" t="s">
        <v>106</v>
      </c>
      <c r="B72" s="375">
        <f>+B69+B3</f>
        <v>151754966215.96631</v>
      </c>
      <c r="C72" s="375">
        <f>+C69+C3</f>
        <v>143572002806</v>
      </c>
      <c r="D72" s="375">
        <f>+D69+D3</f>
        <v>8182963409.9663</v>
      </c>
      <c r="E72" s="376">
        <f>+E8+E15+E18+E34+E54+E41+E43+E26+E55+E56</f>
        <v>9064752694.5</v>
      </c>
    </row>
    <row r="73" spans="1:5" x14ac:dyDescent="0.3">
      <c r="E73" s="376">
        <f>+D72-E72</f>
        <v>-881789284.53369999</v>
      </c>
    </row>
    <row r="75" spans="1:5" x14ac:dyDescent="0.3">
      <c r="B75" s="376"/>
      <c r="C75" t="s">
        <v>624</v>
      </c>
      <c r="D75" s="299">
        <f>+'DESTINACIONES 2024 '!K61</f>
        <v>13037543654.271999</v>
      </c>
    </row>
    <row r="76" spans="1:5" x14ac:dyDescent="0.3">
      <c r="C76" t="s">
        <v>625</v>
      </c>
      <c r="D76" s="299">
        <v>11143805251</v>
      </c>
    </row>
    <row r="77" spans="1:5" x14ac:dyDescent="0.3">
      <c r="D77" s="299">
        <f>+D75-D76</f>
        <v>1893738403.2719994</v>
      </c>
    </row>
    <row r="79" spans="1:5" x14ac:dyDescent="0.3">
      <c r="D79" s="245">
        <f>+D72-D77</f>
        <v>6289225006.6943007</v>
      </c>
    </row>
    <row r="80" spans="1:5" x14ac:dyDescent="0.3">
      <c r="D80" s="245">
        <v>44123711228.910004</v>
      </c>
    </row>
    <row r="81" spans="2:4" x14ac:dyDescent="0.3">
      <c r="D81" s="245">
        <f>+D79+D80</f>
        <v>50412936235.604301</v>
      </c>
    </row>
    <row r="84" spans="2:4" x14ac:dyDescent="0.3">
      <c r="B84" s="376">
        <f>+B72</f>
        <v>151754966215.96631</v>
      </c>
      <c r="C84" s="376">
        <v>143572002806</v>
      </c>
      <c r="D84" s="376">
        <f>+B84-C84</f>
        <v>8182963409.9663086</v>
      </c>
    </row>
  </sheetData>
  <mergeCells count="4">
    <mergeCell ref="A1:A2"/>
    <mergeCell ref="B1:B2"/>
    <mergeCell ref="C1:C2"/>
    <mergeCell ref="D1:D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E4D1F-D95E-40F8-97F9-1493A21DDA97}">
  <dimension ref="A1:O21"/>
  <sheetViews>
    <sheetView workbookViewId="0">
      <selection activeCell="H4" sqref="H4"/>
    </sheetView>
  </sheetViews>
  <sheetFormatPr baseColWidth="10" defaultRowHeight="14.4" x14ac:dyDescent="0.3"/>
  <cols>
    <col min="1" max="1" width="42.6640625" bestFit="1" customWidth="1"/>
    <col min="2" max="2" width="16.44140625" customWidth="1"/>
    <col min="3" max="3" width="18.88671875" bestFit="1" customWidth="1"/>
    <col min="4" max="4" width="11.88671875" customWidth="1"/>
    <col min="8" max="8" width="26" customWidth="1"/>
    <col min="9" max="10" width="16.33203125" bestFit="1" customWidth="1"/>
    <col min="13" max="13" width="17.6640625" customWidth="1"/>
    <col min="14" max="14" width="17.33203125" hidden="1" customWidth="1"/>
    <col min="15" max="15" width="22.109375" customWidth="1"/>
  </cols>
  <sheetData>
    <row r="1" spans="1:15" x14ac:dyDescent="0.3">
      <c r="A1" s="216" t="s">
        <v>369</v>
      </c>
      <c r="B1" s="216">
        <v>2022</v>
      </c>
      <c r="C1" s="216">
        <v>2023</v>
      </c>
      <c r="D1" s="216" t="s">
        <v>541</v>
      </c>
      <c r="H1" s="216" t="s">
        <v>369</v>
      </c>
      <c r="I1" s="216">
        <v>2022</v>
      </c>
      <c r="J1" s="216">
        <v>2023</v>
      </c>
      <c r="M1" s="216" t="s">
        <v>369</v>
      </c>
      <c r="N1" s="216">
        <v>2022</v>
      </c>
      <c r="O1" s="216">
        <v>2023</v>
      </c>
    </row>
    <row r="2" spans="1:15" x14ac:dyDescent="0.3">
      <c r="A2" s="208" t="s">
        <v>117</v>
      </c>
      <c r="B2" s="209">
        <f>+B3+B6</f>
        <v>144214877487.69</v>
      </c>
      <c r="C2" s="210">
        <f>+C3+C6</f>
        <v>143572002805.34863</v>
      </c>
      <c r="D2" s="213">
        <f>+(C2-B2)/B2</f>
        <v>-4.4577556320168467E-3</v>
      </c>
      <c r="H2" s="138" t="s">
        <v>126</v>
      </c>
      <c r="I2" s="217">
        <f>+B11</f>
        <v>13629982314</v>
      </c>
      <c r="J2" s="218">
        <f>+C11</f>
        <v>23378784812</v>
      </c>
      <c r="M2" s="138" t="s">
        <v>126</v>
      </c>
      <c r="N2" s="217">
        <f t="shared" ref="N2:O5" si="0">+I2</f>
        <v>13629982314</v>
      </c>
      <c r="O2" s="217">
        <f t="shared" si="0"/>
        <v>23378784812</v>
      </c>
    </row>
    <row r="3" spans="1:15" x14ac:dyDescent="0.3">
      <c r="A3" s="208" t="s">
        <v>536</v>
      </c>
      <c r="B3" s="211">
        <f>+B4+B5</f>
        <v>142153777487.69</v>
      </c>
      <c r="C3" s="212">
        <f>+C4+C5</f>
        <v>141260013005.34863</v>
      </c>
      <c r="D3" s="213">
        <f t="shared" ref="D3:D7" si="1">+(C3-B3)/B3</f>
        <v>-6.2873072959230107E-3</v>
      </c>
      <c r="H3" s="138" t="s">
        <v>542</v>
      </c>
      <c r="I3" s="217">
        <f>+B12</f>
        <v>7055715220</v>
      </c>
      <c r="J3" s="218">
        <f>+C12</f>
        <v>11143805251.200001</v>
      </c>
      <c r="M3" s="138" t="s">
        <v>542</v>
      </c>
      <c r="N3" s="217">
        <f t="shared" si="0"/>
        <v>7055715220</v>
      </c>
      <c r="O3" s="217">
        <f t="shared" si="0"/>
        <v>11143805251.200001</v>
      </c>
    </row>
    <row r="4" spans="1:15" x14ac:dyDescent="0.3">
      <c r="A4" s="208" t="s">
        <v>527</v>
      </c>
      <c r="B4" s="211">
        <v>132541201836.23</v>
      </c>
      <c r="C4" s="212">
        <f>+'INGRESOS 2024'!I6</f>
        <v>140755637685.51984</v>
      </c>
      <c r="D4" s="213">
        <f t="shared" si="1"/>
        <v>6.1976470225762158E-2</v>
      </c>
      <c r="H4" s="138" t="s">
        <v>133</v>
      </c>
      <c r="I4" s="217">
        <f>+B16</f>
        <v>19173450000</v>
      </c>
      <c r="J4" s="218">
        <f>+C16</f>
        <v>1052353368</v>
      </c>
      <c r="M4" s="138" t="s">
        <v>133</v>
      </c>
      <c r="N4" s="217">
        <f t="shared" si="0"/>
        <v>19173450000</v>
      </c>
      <c r="O4" s="217">
        <f t="shared" si="0"/>
        <v>1052353368</v>
      </c>
    </row>
    <row r="5" spans="1:15" x14ac:dyDescent="0.3">
      <c r="A5" s="208" t="s">
        <v>528</v>
      </c>
      <c r="B5" s="211">
        <v>9612575651.4599991</v>
      </c>
      <c r="C5" s="212">
        <f>+'INGRESOS 2024'!I58</f>
        <v>504375319.82880008</v>
      </c>
      <c r="D5" s="213">
        <f t="shared" si="1"/>
        <v>-0.94752963845312432</v>
      </c>
      <c r="H5" s="138" t="s">
        <v>128</v>
      </c>
      <c r="I5" s="217">
        <f>+B10-I2-I3-I4</f>
        <v>104355729953.69</v>
      </c>
      <c r="J5" s="218">
        <f>+C10-J2-J3-J4</f>
        <v>102554925128.63655</v>
      </c>
      <c r="M5" s="138" t="s">
        <v>128</v>
      </c>
      <c r="N5" s="217">
        <f t="shared" si="0"/>
        <v>104355729953.69</v>
      </c>
      <c r="O5" s="217">
        <f t="shared" si="0"/>
        <v>102554925128.63655</v>
      </c>
    </row>
    <row r="6" spans="1:15" x14ac:dyDescent="0.3">
      <c r="A6" s="208" t="s">
        <v>529</v>
      </c>
      <c r="B6" s="211">
        <f>+B7+B8</f>
        <v>2061100000</v>
      </c>
      <c r="C6" s="212">
        <f>+C7+C8</f>
        <v>2311989800</v>
      </c>
      <c r="D6" s="213">
        <f t="shared" si="1"/>
        <v>0.12172616563970695</v>
      </c>
      <c r="H6" s="219" t="s">
        <v>174</v>
      </c>
      <c r="I6" s="220">
        <f>SUM(I2:I5)</f>
        <v>144214877487.69</v>
      </c>
      <c r="J6" s="220">
        <f>SUM(J2:J5)</f>
        <v>138129868559.83655</v>
      </c>
      <c r="M6" s="219" t="s">
        <v>174</v>
      </c>
      <c r="N6" s="220">
        <f>SUM(N2:N5)</f>
        <v>144214877487.69</v>
      </c>
      <c r="O6" s="220">
        <f>SUM(O2:O5)</f>
        <v>138129868559.83655</v>
      </c>
    </row>
    <row r="7" spans="1:15" x14ac:dyDescent="0.3">
      <c r="A7" s="208" t="s">
        <v>530</v>
      </c>
      <c r="B7" s="211">
        <v>2061100000</v>
      </c>
      <c r="C7" s="212">
        <f>+'INGRESOS 2024'!I68</f>
        <v>2311989800</v>
      </c>
      <c r="D7" s="213">
        <f t="shared" si="1"/>
        <v>0.12172616563970695</v>
      </c>
    </row>
    <row r="8" spans="1:15" x14ac:dyDescent="0.3">
      <c r="A8" s="208" t="s">
        <v>531</v>
      </c>
      <c r="B8" s="211"/>
      <c r="C8" s="212">
        <f>+'INGRESOS 2024'!I69</f>
        <v>0</v>
      </c>
      <c r="D8" s="214"/>
    </row>
    <row r="9" spans="1:15" x14ac:dyDescent="0.3">
      <c r="A9" s="208"/>
      <c r="B9" s="211"/>
      <c r="C9" s="212"/>
      <c r="D9" s="215"/>
    </row>
    <row r="10" spans="1:15" x14ac:dyDescent="0.3">
      <c r="A10" s="208" t="s">
        <v>532</v>
      </c>
      <c r="B10" s="211">
        <f>+B11+B12+B13</f>
        <v>144214877487.69</v>
      </c>
      <c r="C10" s="212">
        <f>+C11+C12+C13</f>
        <v>138129868559.83655</v>
      </c>
      <c r="D10" s="213">
        <f t="shared" ref="D10:D17" si="2">+(C10-B10)/B10</f>
        <v>-4.2194044289035733E-2</v>
      </c>
    </row>
    <row r="11" spans="1:15" x14ac:dyDescent="0.3">
      <c r="A11" s="208" t="s">
        <v>516</v>
      </c>
      <c r="B11" s="211">
        <v>13629982314</v>
      </c>
      <c r="C11" s="212">
        <f>+'GASTOS DE FTO 2024 - 2027 '!U57</f>
        <v>23378784812</v>
      </c>
      <c r="D11" s="213">
        <f t="shared" si="2"/>
        <v>0.71524689272608544</v>
      </c>
    </row>
    <row r="12" spans="1:15" x14ac:dyDescent="0.3">
      <c r="A12" s="208" t="s">
        <v>533</v>
      </c>
      <c r="B12" s="211">
        <v>7055715220</v>
      </c>
      <c r="C12" s="212">
        <f>+'DESTINACIONES '!K58</f>
        <v>11143805251.200001</v>
      </c>
      <c r="D12" s="213">
        <f t="shared" si="2"/>
        <v>0.57940122350913148</v>
      </c>
    </row>
    <row r="13" spans="1:15" x14ac:dyDescent="0.3">
      <c r="A13" s="208" t="s">
        <v>534</v>
      </c>
      <c r="B13" s="211">
        <f>+B14+B16+B17+B15</f>
        <v>123529179953.69</v>
      </c>
      <c r="C13" s="212">
        <f>+C14+C16+C17+C15</f>
        <v>103607278496.63657</v>
      </c>
      <c r="D13" s="213">
        <f t="shared" si="2"/>
        <v>-0.16127283824374111</v>
      </c>
    </row>
    <row r="14" spans="1:15" x14ac:dyDescent="0.3">
      <c r="A14" s="208" t="s">
        <v>537</v>
      </c>
      <c r="B14" s="211">
        <f>62801316607-B12</f>
        <v>55745601387</v>
      </c>
      <c r="C14" s="212">
        <f>+'DESTINACIONES '!G58+'DESTINACIONES '!H58+'DESTINACIONES '!I58+'DESTINACIONES '!J58</f>
        <v>43390743641</v>
      </c>
      <c r="D14" s="213">
        <f t="shared" si="2"/>
        <v>-0.22162928443859573</v>
      </c>
    </row>
    <row r="15" spans="1:15" x14ac:dyDescent="0.3">
      <c r="A15" s="208" t="s">
        <v>539</v>
      </c>
      <c r="B15" s="211"/>
      <c r="C15" s="212">
        <f>+'GOIS '!P31</f>
        <v>12363481377.636566</v>
      </c>
      <c r="D15" s="213"/>
    </row>
    <row r="16" spans="1:15" x14ac:dyDescent="0.3">
      <c r="A16" s="208" t="s">
        <v>538</v>
      </c>
      <c r="B16" s="211">
        <v>19173450000</v>
      </c>
      <c r="C16" s="212">
        <f>+'DESTINACIONES '!N58</f>
        <v>1052353368</v>
      </c>
      <c r="D16" s="213">
        <f t="shared" si="2"/>
        <v>-0.94511403174702513</v>
      </c>
    </row>
    <row r="17" spans="1:4" x14ac:dyDescent="0.3">
      <c r="A17" s="208" t="s">
        <v>535</v>
      </c>
      <c r="B17" s="211">
        <f>+B2-B11-B12-B14-B16</f>
        <v>48610128566.690002</v>
      </c>
      <c r="C17" s="212">
        <f>+'DESTINACIONES '!Q58</f>
        <v>46800700109.999992</v>
      </c>
      <c r="D17" s="213">
        <f t="shared" si="2"/>
        <v>-3.7223280621601101E-2</v>
      </c>
    </row>
    <row r="19" spans="1:4" x14ac:dyDescent="0.3">
      <c r="C19" s="206"/>
    </row>
    <row r="20" spans="1:4" x14ac:dyDescent="0.3">
      <c r="C20" s="206"/>
    </row>
    <row r="21" spans="1:4" x14ac:dyDescent="0.3">
      <c r="C21" s="206">
        <f>+C10-C2</f>
        <v>-5442134245.512085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1DB2A-F719-4870-8CC2-0520BC62702C}">
  <sheetPr>
    <pageSetUpPr fitToPage="1"/>
  </sheetPr>
  <dimension ref="A1:EW87"/>
  <sheetViews>
    <sheetView topLeftCell="E1" zoomScaleNormal="100" workbookViewId="0">
      <selection activeCell="R81" sqref="R81"/>
    </sheetView>
  </sheetViews>
  <sheetFormatPr baseColWidth="10" defaultRowHeight="13.2" x14ac:dyDescent="0.25"/>
  <cols>
    <col min="1" max="2" width="16.44140625" style="62" hidden="1" customWidth="1"/>
    <col min="3" max="3" width="37.5546875" style="79" customWidth="1"/>
    <col min="4" max="4" width="17.44140625" style="62" customWidth="1"/>
    <col min="5" max="5" width="19.5546875" style="62" customWidth="1"/>
    <col min="6" max="6" width="8.88671875" style="62" customWidth="1"/>
    <col min="7" max="7" width="17.33203125" style="62" customWidth="1"/>
    <col min="8" max="8" width="9.33203125" style="62" customWidth="1"/>
    <col min="9" max="9" width="18.6640625" style="62" bestFit="1" customWidth="1"/>
    <col min="10" max="10" width="18.33203125" style="62" customWidth="1"/>
    <col min="11" max="11" width="8.88671875" style="62" customWidth="1"/>
    <col min="12" max="12" width="19" style="62" customWidth="1"/>
    <col min="13" max="13" width="7.33203125" style="62" customWidth="1"/>
    <col min="14" max="14" width="20.109375" style="62" customWidth="1"/>
    <col min="15" max="15" width="6.33203125" style="62" customWidth="1"/>
    <col min="16" max="16" width="17.5546875" style="62" customWidth="1"/>
    <col min="17" max="17" width="6.33203125" style="62" customWidth="1"/>
    <col min="18" max="18" width="18" style="62" customWidth="1"/>
    <col min="19" max="19" width="7.33203125" style="62" customWidth="1"/>
    <col min="20" max="20" width="18.5546875" style="62" customWidth="1"/>
    <col min="21" max="21" width="16.5546875" style="62" customWidth="1"/>
    <col min="22" max="23" width="11.5546875" style="62" customWidth="1"/>
    <col min="24" max="24" width="19.33203125" style="62" bestFit="1" customWidth="1"/>
    <col min="25" max="72" width="11.5546875" style="62" customWidth="1"/>
    <col min="73" max="251" width="11.5546875" style="62"/>
    <col min="252" max="252" width="0" style="62" hidden="1" customWidth="1"/>
    <col min="253" max="253" width="31.5546875" style="62" customWidth="1"/>
    <col min="254" max="254" width="14.6640625" style="62" customWidth="1"/>
    <col min="255" max="507" width="11.5546875" style="62"/>
    <col min="508" max="508" width="0" style="62" hidden="1" customWidth="1"/>
    <col min="509" max="509" width="31.5546875" style="62" customWidth="1"/>
    <col min="510" max="510" width="14.6640625" style="62" customWidth="1"/>
    <col min="511" max="763" width="11.5546875" style="62"/>
    <col min="764" max="764" width="0" style="62" hidden="1" customWidth="1"/>
    <col min="765" max="765" width="31.5546875" style="62" customWidth="1"/>
    <col min="766" max="766" width="14.6640625" style="62" customWidth="1"/>
    <col min="767" max="1019" width="11.5546875" style="62"/>
    <col min="1020" max="1020" width="0" style="62" hidden="1" customWidth="1"/>
    <col min="1021" max="1021" width="31.5546875" style="62" customWidth="1"/>
    <col min="1022" max="1022" width="14.6640625" style="62" customWidth="1"/>
    <col min="1023" max="1275" width="11.5546875" style="62"/>
    <col min="1276" max="1276" width="0" style="62" hidden="1" customWidth="1"/>
    <col min="1277" max="1277" width="31.5546875" style="62" customWidth="1"/>
    <col min="1278" max="1278" width="14.6640625" style="62" customWidth="1"/>
    <col min="1279" max="1531" width="11.5546875" style="62"/>
    <col min="1532" max="1532" width="0" style="62" hidden="1" customWidth="1"/>
    <col min="1533" max="1533" width="31.5546875" style="62" customWidth="1"/>
    <col min="1534" max="1534" width="14.6640625" style="62" customWidth="1"/>
    <col min="1535" max="1787" width="11.5546875" style="62"/>
    <col min="1788" max="1788" width="0" style="62" hidden="1" customWidth="1"/>
    <col min="1789" max="1789" width="31.5546875" style="62" customWidth="1"/>
    <col min="1790" max="1790" width="14.6640625" style="62" customWidth="1"/>
    <col min="1791" max="2043" width="11.5546875" style="62"/>
    <col min="2044" max="2044" width="0" style="62" hidden="1" customWidth="1"/>
    <col min="2045" max="2045" width="31.5546875" style="62" customWidth="1"/>
    <col min="2046" max="2046" width="14.6640625" style="62" customWidth="1"/>
    <col min="2047" max="2299" width="11.5546875" style="62"/>
    <col min="2300" max="2300" width="0" style="62" hidden="1" customWidth="1"/>
    <col min="2301" max="2301" width="31.5546875" style="62" customWidth="1"/>
    <col min="2302" max="2302" width="14.6640625" style="62" customWidth="1"/>
    <col min="2303" max="2555" width="11.5546875" style="62"/>
    <col min="2556" max="2556" width="0" style="62" hidden="1" customWidth="1"/>
    <col min="2557" max="2557" width="31.5546875" style="62" customWidth="1"/>
    <col min="2558" max="2558" width="14.6640625" style="62" customWidth="1"/>
    <col min="2559" max="2811" width="11.5546875" style="62"/>
    <col min="2812" max="2812" width="0" style="62" hidden="1" customWidth="1"/>
    <col min="2813" max="2813" width="31.5546875" style="62" customWidth="1"/>
    <col min="2814" max="2814" width="14.6640625" style="62" customWidth="1"/>
    <col min="2815" max="3067" width="11.5546875" style="62"/>
    <col min="3068" max="3068" width="0" style="62" hidden="1" customWidth="1"/>
    <col min="3069" max="3069" width="31.5546875" style="62" customWidth="1"/>
    <col min="3070" max="3070" width="14.6640625" style="62" customWidth="1"/>
    <col min="3071" max="3323" width="11.5546875" style="62"/>
    <col min="3324" max="3324" width="0" style="62" hidden="1" customWidth="1"/>
    <col min="3325" max="3325" width="31.5546875" style="62" customWidth="1"/>
    <col min="3326" max="3326" width="14.6640625" style="62" customWidth="1"/>
    <col min="3327" max="3579" width="11.5546875" style="62"/>
    <col min="3580" max="3580" width="0" style="62" hidden="1" customWidth="1"/>
    <col min="3581" max="3581" width="31.5546875" style="62" customWidth="1"/>
    <col min="3582" max="3582" width="14.6640625" style="62" customWidth="1"/>
    <col min="3583" max="3835" width="11.5546875" style="62"/>
    <col min="3836" max="3836" width="0" style="62" hidden="1" customWidth="1"/>
    <col min="3837" max="3837" width="31.5546875" style="62" customWidth="1"/>
    <col min="3838" max="3838" width="14.6640625" style="62" customWidth="1"/>
    <col min="3839" max="4091" width="11.5546875" style="62"/>
    <col min="4092" max="4092" width="0" style="62" hidden="1" customWidth="1"/>
    <col min="4093" max="4093" width="31.5546875" style="62" customWidth="1"/>
    <col min="4094" max="4094" width="14.6640625" style="62" customWidth="1"/>
    <col min="4095" max="4347" width="11.5546875" style="62"/>
    <col min="4348" max="4348" width="0" style="62" hidden="1" customWidth="1"/>
    <col min="4349" max="4349" width="31.5546875" style="62" customWidth="1"/>
    <col min="4350" max="4350" width="14.6640625" style="62" customWidth="1"/>
    <col min="4351" max="4603" width="11.5546875" style="62"/>
    <col min="4604" max="4604" width="0" style="62" hidden="1" customWidth="1"/>
    <col min="4605" max="4605" width="31.5546875" style="62" customWidth="1"/>
    <col min="4606" max="4606" width="14.6640625" style="62" customWidth="1"/>
    <col min="4607" max="4859" width="11.5546875" style="62"/>
    <col min="4860" max="4860" width="0" style="62" hidden="1" customWidth="1"/>
    <col min="4861" max="4861" width="31.5546875" style="62" customWidth="1"/>
    <col min="4862" max="4862" width="14.6640625" style="62" customWidth="1"/>
    <col min="4863" max="5115" width="11.5546875" style="62"/>
    <col min="5116" max="5116" width="0" style="62" hidden="1" customWidth="1"/>
    <col min="5117" max="5117" width="31.5546875" style="62" customWidth="1"/>
    <col min="5118" max="5118" width="14.6640625" style="62" customWidth="1"/>
    <col min="5119" max="5371" width="11.5546875" style="62"/>
    <col min="5372" max="5372" width="0" style="62" hidden="1" customWidth="1"/>
    <col min="5373" max="5373" width="31.5546875" style="62" customWidth="1"/>
    <col min="5374" max="5374" width="14.6640625" style="62" customWidth="1"/>
    <col min="5375" max="5627" width="11.5546875" style="62"/>
    <col min="5628" max="5628" width="0" style="62" hidden="1" customWidth="1"/>
    <col min="5629" max="5629" width="31.5546875" style="62" customWidth="1"/>
    <col min="5630" max="5630" width="14.6640625" style="62" customWidth="1"/>
    <col min="5631" max="5883" width="11.5546875" style="62"/>
    <col min="5884" max="5884" width="0" style="62" hidden="1" customWidth="1"/>
    <col min="5885" max="5885" width="31.5546875" style="62" customWidth="1"/>
    <col min="5886" max="5886" width="14.6640625" style="62" customWidth="1"/>
    <col min="5887" max="6139" width="11.5546875" style="62"/>
    <col min="6140" max="6140" width="0" style="62" hidden="1" customWidth="1"/>
    <col min="6141" max="6141" width="31.5546875" style="62" customWidth="1"/>
    <col min="6142" max="6142" width="14.6640625" style="62" customWidth="1"/>
    <col min="6143" max="6395" width="11.5546875" style="62"/>
    <col min="6396" max="6396" width="0" style="62" hidden="1" customWidth="1"/>
    <col min="6397" max="6397" width="31.5546875" style="62" customWidth="1"/>
    <col min="6398" max="6398" width="14.6640625" style="62" customWidth="1"/>
    <col min="6399" max="6651" width="11.5546875" style="62"/>
    <col min="6652" max="6652" width="0" style="62" hidden="1" customWidth="1"/>
    <col min="6653" max="6653" width="31.5546875" style="62" customWidth="1"/>
    <col min="6654" max="6654" width="14.6640625" style="62" customWidth="1"/>
    <col min="6655" max="6907" width="11.5546875" style="62"/>
    <col min="6908" max="6908" width="0" style="62" hidden="1" customWidth="1"/>
    <col min="6909" max="6909" width="31.5546875" style="62" customWidth="1"/>
    <col min="6910" max="6910" width="14.6640625" style="62" customWidth="1"/>
    <col min="6911" max="7163" width="11.5546875" style="62"/>
    <col min="7164" max="7164" width="0" style="62" hidden="1" customWidth="1"/>
    <col min="7165" max="7165" width="31.5546875" style="62" customWidth="1"/>
    <col min="7166" max="7166" width="14.6640625" style="62" customWidth="1"/>
    <col min="7167" max="7419" width="11.5546875" style="62"/>
    <col min="7420" max="7420" width="0" style="62" hidden="1" customWidth="1"/>
    <col min="7421" max="7421" width="31.5546875" style="62" customWidth="1"/>
    <col min="7422" max="7422" width="14.6640625" style="62" customWidth="1"/>
    <col min="7423" max="7675" width="11.5546875" style="62"/>
    <col min="7676" max="7676" width="0" style="62" hidden="1" customWidth="1"/>
    <col min="7677" max="7677" width="31.5546875" style="62" customWidth="1"/>
    <col min="7678" max="7678" width="14.6640625" style="62" customWidth="1"/>
    <col min="7679" max="7931" width="11.5546875" style="62"/>
    <col min="7932" max="7932" width="0" style="62" hidden="1" customWidth="1"/>
    <col min="7933" max="7933" width="31.5546875" style="62" customWidth="1"/>
    <col min="7934" max="7934" width="14.6640625" style="62" customWidth="1"/>
    <col min="7935" max="8187" width="11.5546875" style="62"/>
    <col min="8188" max="8188" width="0" style="62" hidden="1" customWidth="1"/>
    <col min="8189" max="8189" width="31.5546875" style="62" customWidth="1"/>
    <col min="8190" max="8190" width="14.6640625" style="62" customWidth="1"/>
    <col min="8191" max="8443" width="11.5546875" style="62"/>
    <col min="8444" max="8444" width="0" style="62" hidden="1" customWidth="1"/>
    <col min="8445" max="8445" width="31.5546875" style="62" customWidth="1"/>
    <col min="8446" max="8446" width="14.6640625" style="62" customWidth="1"/>
    <col min="8447" max="8699" width="11.5546875" style="62"/>
    <col min="8700" max="8700" width="0" style="62" hidden="1" customWidth="1"/>
    <col min="8701" max="8701" width="31.5546875" style="62" customWidth="1"/>
    <col min="8702" max="8702" width="14.6640625" style="62" customWidth="1"/>
    <col min="8703" max="8955" width="11.5546875" style="62"/>
    <col min="8956" max="8956" width="0" style="62" hidden="1" customWidth="1"/>
    <col min="8957" max="8957" width="31.5546875" style="62" customWidth="1"/>
    <col min="8958" max="8958" width="14.6640625" style="62" customWidth="1"/>
    <col min="8959" max="9211" width="11.5546875" style="62"/>
    <col min="9212" max="9212" width="0" style="62" hidden="1" customWidth="1"/>
    <col min="9213" max="9213" width="31.5546875" style="62" customWidth="1"/>
    <col min="9214" max="9214" width="14.6640625" style="62" customWidth="1"/>
    <col min="9215" max="9467" width="11.5546875" style="62"/>
    <col min="9468" max="9468" width="0" style="62" hidden="1" customWidth="1"/>
    <col min="9469" max="9469" width="31.5546875" style="62" customWidth="1"/>
    <col min="9470" max="9470" width="14.6640625" style="62" customWidth="1"/>
    <col min="9471" max="9723" width="11.5546875" style="62"/>
    <col min="9724" max="9724" width="0" style="62" hidden="1" customWidth="1"/>
    <col min="9725" max="9725" width="31.5546875" style="62" customWidth="1"/>
    <col min="9726" max="9726" width="14.6640625" style="62" customWidth="1"/>
    <col min="9727" max="9979" width="11.5546875" style="62"/>
    <col min="9980" max="9980" width="0" style="62" hidden="1" customWidth="1"/>
    <col min="9981" max="9981" width="31.5546875" style="62" customWidth="1"/>
    <col min="9982" max="9982" width="14.6640625" style="62" customWidth="1"/>
    <col min="9983" max="10235" width="11.5546875" style="62"/>
    <col min="10236" max="10236" width="0" style="62" hidden="1" customWidth="1"/>
    <col min="10237" max="10237" width="31.5546875" style="62" customWidth="1"/>
    <col min="10238" max="10238" width="14.6640625" style="62" customWidth="1"/>
    <col min="10239" max="10491" width="11.5546875" style="62"/>
    <col min="10492" max="10492" width="0" style="62" hidden="1" customWidth="1"/>
    <col min="10493" max="10493" width="31.5546875" style="62" customWidth="1"/>
    <col min="10494" max="10494" width="14.6640625" style="62" customWidth="1"/>
    <col min="10495" max="10747" width="11.5546875" style="62"/>
    <col min="10748" max="10748" width="0" style="62" hidden="1" customWidth="1"/>
    <col min="10749" max="10749" width="31.5546875" style="62" customWidth="1"/>
    <col min="10750" max="10750" width="14.6640625" style="62" customWidth="1"/>
    <col min="10751" max="11003" width="11.5546875" style="62"/>
    <col min="11004" max="11004" width="0" style="62" hidden="1" customWidth="1"/>
    <col min="11005" max="11005" width="31.5546875" style="62" customWidth="1"/>
    <col min="11006" max="11006" width="14.6640625" style="62" customWidth="1"/>
    <col min="11007" max="11259" width="11.5546875" style="62"/>
    <col min="11260" max="11260" width="0" style="62" hidden="1" customWidth="1"/>
    <col min="11261" max="11261" width="31.5546875" style="62" customWidth="1"/>
    <col min="11262" max="11262" width="14.6640625" style="62" customWidth="1"/>
    <col min="11263" max="11515" width="11.5546875" style="62"/>
    <col min="11516" max="11516" width="0" style="62" hidden="1" customWidth="1"/>
    <col min="11517" max="11517" width="31.5546875" style="62" customWidth="1"/>
    <col min="11518" max="11518" width="14.6640625" style="62" customWidth="1"/>
    <col min="11519" max="11771" width="11.5546875" style="62"/>
    <col min="11772" max="11772" width="0" style="62" hidden="1" customWidth="1"/>
    <col min="11773" max="11773" width="31.5546875" style="62" customWidth="1"/>
    <col min="11774" max="11774" width="14.6640625" style="62" customWidth="1"/>
    <col min="11775" max="12027" width="11.5546875" style="62"/>
    <col min="12028" max="12028" width="0" style="62" hidden="1" customWidth="1"/>
    <col min="12029" max="12029" width="31.5546875" style="62" customWidth="1"/>
    <col min="12030" max="12030" width="14.6640625" style="62" customWidth="1"/>
    <col min="12031" max="12283" width="11.5546875" style="62"/>
    <col min="12284" max="12284" width="0" style="62" hidden="1" customWidth="1"/>
    <col min="12285" max="12285" width="31.5546875" style="62" customWidth="1"/>
    <col min="12286" max="12286" width="14.6640625" style="62" customWidth="1"/>
    <col min="12287" max="12539" width="11.5546875" style="62"/>
    <col min="12540" max="12540" width="0" style="62" hidden="1" customWidth="1"/>
    <col min="12541" max="12541" width="31.5546875" style="62" customWidth="1"/>
    <col min="12542" max="12542" width="14.6640625" style="62" customWidth="1"/>
    <col min="12543" max="12795" width="11.5546875" style="62"/>
    <col min="12796" max="12796" width="0" style="62" hidden="1" customWidth="1"/>
    <col min="12797" max="12797" width="31.5546875" style="62" customWidth="1"/>
    <col min="12798" max="12798" width="14.6640625" style="62" customWidth="1"/>
    <col min="12799" max="13051" width="11.5546875" style="62"/>
    <col min="13052" max="13052" width="0" style="62" hidden="1" customWidth="1"/>
    <col min="13053" max="13053" width="31.5546875" style="62" customWidth="1"/>
    <col min="13054" max="13054" width="14.6640625" style="62" customWidth="1"/>
    <col min="13055" max="13307" width="11.5546875" style="62"/>
    <col min="13308" max="13308" width="0" style="62" hidden="1" customWidth="1"/>
    <col min="13309" max="13309" width="31.5546875" style="62" customWidth="1"/>
    <col min="13310" max="13310" width="14.6640625" style="62" customWidth="1"/>
    <col min="13311" max="13563" width="11.5546875" style="62"/>
    <col min="13564" max="13564" width="0" style="62" hidden="1" customWidth="1"/>
    <col min="13565" max="13565" width="31.5546875" style="62" customWidth="1"/>
    <col min="13566" max="13566" width="14.6640625" style="62" customWidth="1"/>
    <col min="13567" max="13819" width="11.5546875" style="62"/>
    <col min="13820" max="13820" width="0" style="62" hidden="1" customWidth="1"/>
    <col min="13821" max="13821" width="31.5546875" style="62" customWidth="1"/>
    <col min="13822" max="13822" width="14.6640625" style="62" customWidth="1"/>
    <col min="13823" max="14075" width="11.5546875" style="62"/>
    <col min="14076" max="14076" width="0" style="62" hidden="1" customWidth="1"/>
    <col min="14077" max="14077" width="31.5546875" style="62" customWidth="1"/>
    <col min="14078" max="14078" width="14.6640625" style="62" customWidth="1"/>
    <col min="14079" max="14331" width="11.5546875" style="62"/>
    <col min="14332" max="14332" width="0" style="62" hidden="1" customWidth="1"/>
    <col min="14333" max="14333" width="31.5546875" style="62" customWidth="1"/>
    <col min="14334" max="14334" width="14.6640625" style="62" customWidth="1"/>
    <col min="14335" max="14587" width="11.5546875" style="62"/>
    <col min="14588" max="14588" width="0" style="62" hidden="1" customWidth="1"/>
    <col min="14589" max="14589" width="31.5546875" style="62" customWidth="1"/>
    <col min="14590" max="14590" width="14.6640625" style="62" customWidth="1"/>
    <col min="14591" max="14843" width="11.5546875" style="62"/>
    <col min="14844" max="14844" width="0" style="62" hidden="1" customWidth="1"/>
    <col min="14845" max="14845" width="31.5546875" style="62" customWidth="1"/>
    <col min="14846" max="14846" width="14.6640625" style="62" customWidth="1"/>
    <col min="14847" max="15099" width="11.5546875" style="62"/>
    <col min="15100" max="15100" width="0" style="62" hidden="1" customWidth="1"/>
    <col min="15101" max="15101" width="31.5546875" style="62" customWidth="1"/>
    <col min="15102" max="15102" width="14.6640625" style="62" customWidth="1"/>
    <col min="15103" max="15355" width="11.5546875" style="62"/>
    <col min="15356" max="15356" width="0" style="62" hidden="1" customWidth="1"/>
    <col min="15357" max="15357" width="31.5546875" style="62" customWidth="1"/>
    <col min="15358" max="15358" width="14.6640625" style="62" customWidth="1"/>
    <col min="15359" max="15611" width="11.5546875" style="62"/>
    <col min="15612" max="15612" width="0" style="62" hidden="1" customWidth="1"/>
    <col min="15613" max="15613" width="31.5546875" style="62" customWidth="1"/>
    <col min="15614" max="15614" width="14.6640625" style="62" customWidth="1"/>
    <col min="15615" max="15867" width="11.5546875" style="62"/>
    <col min="15868" max="15868" width="0" style="62" hidden="1" customWidth="1"/>
    <col min="15869" max="15869" width="31.5546875" style="62" customWidth="1"/>
    <col min="15870" max="15870" width="14.6640625" style="62" customWidth="1"/>
    <col min="15871" max="16123" width="11.5546875" style="62"/>
    <col min="16124" max="16124" width="0" style="62" hidden="1" customWidth="1"/>
    <col min="16125" max="16125" width="31.5546875" style="62" customWidth="1"/>
    <col min="16126" max="16126" width="14.6640625" style="62" customWidth="1"/>
    <col min="16127" max="16384" width="11.5546875" style="62"/>
  </cols>
  <sheetData>
    <row r="1" spans="1:153" s="94" customFormat="1" ht="22.5" customHeight="1" x14ac:dyDescent="0.2">
      <c r="A1" s="527" t="s">
        <v>0</v>
      </c>
      <c r="B1" s="527" t="s">
        <v>543</v>
      </c>
      <c r="C1" s="535" t="s">
        <v>1</v>
      </c>
      <c r="D1" s="526" t="s">
        <v>584</v>
      </c>
      <c r="E1" s="526" t="s">
        <v>547</v>
      </c>
      <c r="F1" s="536" t="s">
        <v>122</v>
      </c>
      <c r="G1" s="526" t="s">
        <v>568</v>
      </c>
      <c r="H1" s="534" t="s">
        <v>122</v>
      </c>
      <c r="I1" s="526" t="s">
        <v>592</v>
      </c>
      <c r="J1" s="526" t="s">
        <v>548</v>
      </c>
      <c r="K1" s="530" t="s">
        <v>124</v>
      </c>
      <c r="L1" s="537" t="s">
        <v>125</v>
      </c>
      <c r="M1" s="538"/>
      <c r="N1" s="538"/>
      <c r="O1" s="538"/>
      <c r="P1" s="538"/>
      <c r="Q1" s="538"/>
      <c r="R1" s="538"/>
      <c r="S1" s="539"/>
      <c r="T1" s="526" t="s">
        <v>591</v>
      </c>
      <c r="U1" s="526" t="s">
        <v>588</v>
      </c>
      <c r="V1" s="334"/>
      <c r="W1" s="334"/>
      <c r="X1" s="334"/>
      <c r="Y1" s="334"/>
      <c r="Z1" s="334"/>
      <c r="AA1" s="334"/>
      <c r="AB1" s="334"/>
      <c r="AC1" s="334"/>
      <c r="AD1" s="334"/>
      <c r="AE1" s="334"/>
      <c r="AF1" s="334"/>
      <c r="AG1" s="334"/>
      <c r="AH1" s="334"/>
      <c r="AI1" s="334"/>
      <c r="AJ1" s="334"/>
      <c r="AK1" s="334"/>
      <c r="AL1" s="334"/>
      <c r="AM1" s="334"/>
      <c r="AN1" s="334"/>
      <c r="AO1" s="334"/>
      <c r="AP1" s="334"/>
      <c r="AQ1" s="334"/>
      <c r="AR1" s="334"/>
      <c r="AS1" s="334"/>
      <c r="AT1" s="334"/>
      <c r="AU1" s="334"/>
      <c r="AV1" s="334"/>
      <c r="AW1" s="334"/>
      <c r="AX1" s="334"/>
      <c r="AY1" s="334"/>
      <c r="AZ1" s="334"/>
      <c r="BA1" s="334"/>
      <c r="BB1" s="334"/>
      <c r="BC1" s="334"/>
      <c r="BD1" s="334"/>
      <c r="BE1" s="334"/>
      <c r="BF1" s="334"/>
      <c r="BG1" s="334"/>
      <c r="BH1" s="334"/>
      <c r="BI1" s="334"/>
      <c r="BJ1" s="334"/>
      <c r="BK1" s="334"/>
      <c r="BL1" s="334"/>
      <c r="BM1" s="334"/>
      <c r="BN1" s="334"/>
      <c r="BO1" s="334"/>
      <c r="BP1" s="334"/>
      <c r="BQ1" s="334"/>
      <c r="BR1" s="334"/>
      <c r="BS1" s="334"/>
      <c r="BT1" s="334"/>
      <c r="BU1" s="334"/>
      <c r="BV1" s="334"/>
      <c r="BW1" s="334"/>
      <c r="BX1" s="334"/>
      <c r="BY1" s="334"/>
      <c r="BZ1" s="334"/>
      <c r="CA1" s="334"/>
      <c r="CB1" s="334"/>
      <c r="CC1" s="334"/>
      <c r="CD1" s="334"/>
      <c r="CE1" s="334"/>
      <c r="CF1" s="334"/>
      <c r="CG1" s="334"/>
      <c r="CH1" s="334"/>
      <c r="CI1" s="334"/>
      <c r="CJ1" s="334"/>
      <c r="CK1" s="334"/>
      <c r="CL1" s="334"/>
      <c r="CM1" s="334"/>
      <c r="CN1" s="334"/>
      <c r="CO1" s="334"/>
      <c r="CP1" s="334"/>
      <c r="CQ1" s="334"/>
      <c r="CR1" s="334"/>
      <c r="CS1" s="334"/>
      <c r="CT1" s="334"/>
      <c r="CU1" s="334"/>
      <c r="CV1" s="334"/>
      <c r="CW1" s="334"/>
      <c r="CX1" s="334"/>
      <c r="CY1" s="334"/>
      <c r="CZ1" s="334"/>
      <c r="DA1" s="334"/>
      <c r="DB1" s="334"/>
      <c r="DC1" s="334"/>
      <c r="DD1" s="334"/>
      <c r="DE1" s="334"/>
      <c r="DF1" s="334"/>
      <c r="DG1" s="334"/>
      <c r="DH1" s="334"/>
      <c r="DI1" s="334"/>
      <c r="DJ1" s="334"/>
      <c r="DK1" s="334"/>
      <c r="DL1" s="334"/>
      <c r="DM1" s="334"/>
      <c r="DN1" s="334"/>
      <c r="DO1" s="334"/>
      <c r="DP1" s="334"/>
      <c r="DQ1" s="334"/>
      <c r="DR1" s="334"/>
      <c r="DS1" s="334"/>
      <c r="DT1" s="334"/>
      <c r="DU1" s="334"/>
      <c r="DV1" s="334"/>
      <c r="DW1" s="334"/>
      <c r="DX1" s="334"/>
      <c r="DY1" s="334"/>
      <c r="DZ1" s="334"/>
      <c r="EA1" s="334"/>
      <c r="EB1" s="334"/>
      <c r="EC1" s="334"/>
      <c r="ED1" s="334"/>
      <c r="EE1" s="334"/>
      <c r="EF1" s="334"/>
      <c r="EG1" s="334"/>
      <c r="EH1" s="334"/>
      <c r="EI1" s="334"/>
      <c r="EJ1" s="334"/>
      <c r="EK1" s="334"/>
      <c r="EL1" s="334"/>
      <c r="EM1" s="334"/>
      <c r="EN1" s="334"/>
      <c r="EO1" s="334"/>
      <c r="EP1" s="334"/>
      <c r="EQ1" s="334"/>
      <c r="ER1" s="334"/>
      <c r="ES1" s="334"/>
      <c r="ET1" s="334"/>
      <c r="EU1" s="334"/>
      <c r="EV1" s="334"/>
      <c r="EW1" s="334"/>
    </row>
    <row r="2" spans="1:153" s="94" customFormat="1" ht="22.5" customHeight="1" x14ac:dyDescent="0.2">
      <c r="A2" s="528"/>
      <c r="B2" s="528"/>
      <c r="C2" s="535"/>
      <c r="D2" s="526"/>
      <c r="E2" s="526"/>
      <c r="F2" s="536"/>
      <c r="G2" s="526"/>
      <c r="H2" s="534"/>
      <c r="I2" s="526"/>
      <c r="J2" s="526"/>
      <c r="K2" s="531"/>
      <c r="L2" s="533" t="s">
        <v>126</v>
      </c>
      <c r="M2" s="533"/>
      <c r="N2" s="533" t="s">
        <v>127</v>
      </c>
      <c r="O2" s="533"/>
      <c r="P2" s="533" t="s">
        <v>128</v>
      </c>
      <c r="Q2" s="533"/>
      <c r="R2" s="533"/>
      <c r="S2" s="533"/>
      <c r="T2" s="526"/>
      <c r="U2" s="526"/>
      <c r="V2" s="334"/>
      <c r="W2" s="334"/>
      <c r="X2" s="334"/>
      <c r="Y2" s="334"/>
      <c r="Z2" s="334"/>
      <c r="AA2" s="334"/>
      <c r="AB2" s="334"/>
      <c r="AC2" s="334"/>
      <c r="AD2" s="334"/>
      <c r="AE2" s="334"/>
      <c r="AF2" s="334"/>
      <c r="AG2" s="334"/>
      <c r="AH2" s="334"/>
      <c r="AI2" s="334"/>
      <c r="AJ2" s="334"/>
      <c r="AK2" s="334"/>
      <c r="AL2" s="334"/>
      <c r="AM2" s="334"/>
      <c r="AN2" s="334"/>
      <c r="AO2" s="334"/>
      <c r="AP2" s="334"/>
      <c r="AQ2" s="334"/>
      <c r="AR2" s="334"/>
      <c r="AS2" s="334"/>
      <c r="AT2" s="334"/>
      <c r="AU2" s="334"/>
      <c r="AV2" s="334"/>
      <c r="AW2" s="334"/>
      <c r="AX2" s="334"/>
      <c r="AY2" s="334"/>
      <c r="AZ2" s="334"/>
      <c r="BA2" s="334"/>
      <c r="BB2" s="334"/>
      <c r="BC2" s="334"/>
      <c r="BD2" s="334"/>
      <c r="BE2" s="334"/>
      <c r="BF2" s="334"/>
      <c r="BG2" s="334"/>
      <c r="BH2" s="334"/>
      <c r="BI2" s="334"/>
      <c r="BJ2" s="334"/>
      <c r="BK2" s="334"/>
      <c r="BL2" s="334"/>
      <c r="BM2" s="334"/>
      <c r="BN2" s="334"/>
      <c r="BO2" s="334"/>
      <c r="BP2" s="334"/>
      <c r="BQ2" s="334"/>
      <c r="BR2" s="334"/>
      <c r="BS2" s="334"/>
      <c r="BT2" s="334"/>
      <c r="BU2" s="334"/>
      <c r="BV2" s="334"/>
      <c r="BW2" s="334"/>
      <c r="BX2" s="334"/>
      <c r="BY2" s="334"/>
      <c r="BZ2" s="334"/>
      <c r="CA2" s="334"/>
      <c r="CB2" s="334"/>
      <c r="CC2" s="334"/>
      <c r="CD2" s="334"/>
      <c r="CE2" s="334"/>
      <c r="CF2" s="334"/>
      <c r="CG2" s="334"/>
      <c r="CH2" s="334"/>
      <c r="CI2" s="334"/>
      <c r="CJ2" s="334"/>
      <c r="CK2" s="334"/>
      <c r="CL2" s="334"/>
      <c r="CM2" s="334"/>
      <c r="CN2" s="334"/>
      <c r="CO2" s="334"/>
      <c r="CP2" s="334"/>
      <c r="CQ2" s="334"/>
      <c r="CR2" s="334"/>
      <c r="CS2" s="334"/>
      <c r="CT2" s="334"/>
      <c r="CU2" s="334"/>
      <c r="CV2" s="334"/>
      <c r="CW2" s="334"/>
      <c r="CX2" s="334"/>
      <c r="CY2" s="334"/>
      <c r="CZ2" s="334"/>
      <c r="DA2" s="334"/>
      <c r="DB2" s="334"/>
      <c r="DC2" s="334"/>
      <c r="DD2" s="334"/>
      <c r="DE2" s="334"/>
      <c r="DF2" s="334"/>
      <c r="DG2" s="334"/>
      <c r="DH2" s="334"/>
      <c r="DI2" s="334"/>
      <c r="DJ2" s="334"/>
      <c r="DK2" s="334"/>
      <c r="DL2" s="334"/>
      <c r="DM2" s="334"/>
      <c r="DN2" s="334"/>
      <c r="DO2" s="334"/>
      <c r="DP2" s="334"/>
      <c r="DQ2" s="334"/>
      <c r="DR2" s="334"/>
      <c r="DS2" s="334"/>
      <c r="DT2" s="334"/>
      <c r="DU2" s="334"/>
      <c r="DV2" s="334"/>
      <c r="DW2" s="334"/>
      <c r="DX2" s="334"/>
      <c r="DY2" s="334"/>
      <c r="DZ2" s="334"/>
      <c r="EA2" s="334"/>
      <c r="EB2" s="334"/>
      <c r="EC2" s="334"/>
      <c r="ED2" s="334"/>
      <c r="EE2" s="334"/>
      <c r="EF2" s="334"/>
      <c r="EG2" s="334"/>
      <c r="EH2" s="334"/>
      <c r="EI2" s="334"/>
      <c r="EJ2" s="334"/>
      <c r="EK2" s="334"/>
      <c r="EL2" s="334"/>
      <c r="EM2" s="334"/>
      <c r="EN2" s="334"/>
      <c r="EO2" s="334"/>
      <c r="EP2" s="334"/>
      <c r="EQ2" s="334"/>
      <c r="ER2" s="334"/>
      <c r="ES2" s="334"/>
      <c r="ET2" s="334"/>
      <c r="EU2" s="334"/>
      <c r="EV2" s="334"/>
      <c r="EW2" s="334"/>
    </row>
    <row r="3" spans="1:153" s="94" customFormat="1" ht="18.75" customHeight="1" x14ac:dyDescent="0.2">
      <c r="A3" s="529"/>
      <c r="B3" s="529"/>
      <c r="C3" s="535"/>
      <c r="D3" s="526"/>
      <c r="E3" s="526"/>
      <c r="F3" s="536"/>
      <c r="G3" s="526"/>
      <c r="H3" s="534"/>
      <c r="I3" s="526"/>
      <c r="J3" s="526"/>
      <c r="K3" s="532"/>
      <c r="L3" s="527" t="s">
        <v>129</v>
      </c>
      <c r="M3" s="540" t="s">
        <v>122</v>
      </c>
      <c r="N3" s="527" t="s">
        <v>129</v>
      </c>
      <c r="O3" s="540" t="s">
        <v>122</v>
      </c>
      <c r="P3" s="533" t="s">
        <v>130</v>
      </c>
      <c r="Q3" s="533"/>
      <c r="R3" s="533" t="s">
        <v>131</v>
      </c>
      <c r="S3" s="533"/>
      <c r="T3" s="526"/>
      <c r="U3" s="526"/>
      <c r="V3" s="334"/>
      <c r="W3" s="334"/>
      <c r="X3" s="334"/>
      <c r="Y3" s="334"/>
      <c r="Z3" s="334"/>
      <c r="AA3" s="334"/>
      <c r="AB3" s="334"/>
      <c r="AC3" s="334"/>
      <c r="AD3" s="334"/>
      <c r="AE3" s="334"/>
      <c r="AF3" s="334"/>
      <c r="AG3" s="334"/>
      <c r="AH3" s="334"/>
      <c r="AI3" s="334"/>
      <c r="AJ3" s="334"/>
      <c r="AK3" s="334"/>
      <c r="AL3" s="334"/>
      <c r="AM3" s="334"/>
      <c r="AN3" s="334"/>
      <c r="AO3" s="334"/>
      <c r="AP3" s="334"/>
      <c r="AQ3" s="334"/>
      <c r="AR3" s="334"/>
      <c r="AS3" s="334"/>
      <c r="AT3" s="334"/>
      <c r="AU3" s="334"/>
      <c r="AV3" s="334"/>
      <c r="AW3" s="334"/>
      <c r="AX3" s="334"/>
      <c r="AY3" s="334"/>
      <c r="AZ3" s="334"/>
      <c r="BA3" s="334"/>
      <c r="BB3" s="334"/>
      <c r="BC3" s="334"/>
      <c r="BD3" s="334"/>
      <c r="BE3" s="334"/>
      <c r="BF3" s="334"/>
      <c r="BG3" s="334"/>
      <c r="BH3" s="334"/>
      <c r="BI3" s="334"/>
      <c r="BJ3" s="334"/>
      <c r="BK3" s="334"/>
      <c r="BL3" s="334"/>
      <c r="BM3" s="334"/>
      <c r="BN3" s="334"/>
      <c r="BO3" s="334"/>
      <c r="BP3" s="334"/>
      <c r="BQ3" s="334"/>
      <c r="BR3" s="334"/>
      <c r="BS3" s="334"/>
      <c r="BT3" s="334"/>
      <c r="BU3" s="334"/>
      <c r="BV3" s="334"/>
      <c r="BW3" s="334"/>
      <c r="BX3" s="334"/>
      <c r="BY3" s="334"/>
      <c r="BZ3" s="334"/>
      <c r="CA3" s="334"/>
      <c r="CB3" s="334"/>
      <c r="CC3" s="334"/>
      <c r="CD3" s="334"/>
      <c r="CE3" s="334"/>
      <c r="CF3" s="334"/>
      <c r="CG3" s="334"/>
      <c r="CH3" s="334"/>
      <c r="CI3" s="334"/>
      <c r="CJ3" s="334"/>
      <c r="CK3" s="334"/>
      <c r="CL3" s="334"/>
      <c r="CM3" s="334"/>
      <c r="CN3" s="334"/>
      <c r="CO3" s="334"/>
      <c r="CP3" s="334"/>
      <c r="CQ3" s="334"/>
      <c r="CR3" s="334"/>
      <c r="CS3" s="334"/>
      <c r="CT3" s="334"/>
      <c r="CU3" s="334"/>
      <c r="CV3" s="334"/>
      <c r="CW3" s="334"/>
      <c r="CX3" s="334"/>
      <c r="CY3" s="334"/>
      <c r="CZ3" s="334"/>
      <c r="DA3" s="334"/>
      <c r="DB3" s="334"/>
      <c r="DC3" s="334"/>
      <c r="DD3" s="334"/>
      <c r="DE3" s="334"/>
      <c r="DF3" s="334"/>
      <c r="DG3" s="334"/>
      <c r="DH3" s="334"/>
      <c r="DI3" s="334"/>
      <c r="DJ3" s="334"/>
      <c r="DK3" s="334"/>
      <c r="DL3" s="334"/>
      <c r="DM3" s="334"/>
      <c r="DN3" s="334"/>
      <c r="DO3" s="334"/>
      <c r="DP3" s="334"/>
      <c r="DQ3" s="334"/>
      <c r="DR3" s="334"/>
      <c r="DS3" s="334"/>
      <c r="DT3" s="334"/>
      <c r="DU3" s="334"/>
      <c r="DV3" s="334"/>
      <c r="DW3" s="334"/>
      <c r="DX3" s="334"/>
      <c r="DY3" s="334"/>
      <c r="DZ3" s="334"/>
      <c r="EA3" s="334"/>
      <c r="EB3" s="334"/>
      <c r="EC3" s="334"/>
      <c r="ED3" s="334"/>
      <c r="EE3" s="334"/>
      <c r="EF3" s="334"/>
      <c r="EG3" s="334"/>
      <c r="EH3" s="334"/>
      <c r="EI3" s="334"/>
      <c r="EJ3" s="334"/>
      <c r="EK3" s="334"/>
      <c r="EL3" s="334"/>
      <c r="EM3" s="334"/>
      <c r="EN3" s="334"/>
      <c r="EO3" s="334"/>
      <c r="EP3" s="334"/>
      <c r="EQ3" s="334"/>
      <c r="ER3" s="334"/>
      <c r="ES3" s="334"/>
      <c r="ET3" s="334"/>
      <c r="EU3" s="334"/>
      <c r="EV3" s="334"/>
      <c r="EW3" s="334"/>
    </row>
    <row r="4" spans="1:153" s="94" customFormat="1" ht="18.75" hidden="1" customHeight="1" x14ac:dyDescent="0.2">
      <c r="A4" s="93"/>
      <c r="B4" s="221"/>
      <c r="C4" s="251"/>
      <c r="D4" s="252"/>
      <c r="E4" s="252"/>
      <c r="F4" s="253"/>
      <c r="G4" s="252"/>
      <c r="H4" s="254"/>
      <c r="I4" s="99"/>
      <c r="J4" s="252"/>
      <c r="K4" s="96"/>
      <c r="L4" s="529"/>
      <c r="M4" s="541"/>
      <c r="N4" s="529"/>
      <c r="O4" s="541"/>
      <c r="P4" s="95" t="s">
        <v>129</v>
      </c>
      <c r="Q4" s="99" t="s">
        <v>122</v>
      </c>
      <c r="R4" s="95" t="s">
        <v>129</v>
      </c>
      <c r="S4" s="99" t="s">
        <v>122</v>
      </c>
      <c r="T4" s="252"/>
      <c r="U4" s="93"/>
      <c r="V4" s="334"/>
      <c r="W4" s="334"/>
      <c r="X4" s="334"/>
      <c r="Y4" s="334"/>
      <c r="Z4" s="334"/>
      <c r="AA4" s="334"/>
      <c r="AB4" s="334"/>
      <c r="AC4" s="334"/>
      <c r="AD4" s="334"/>
      <c r="AE4" s="334"/>
      <c r="AF4" s="334"/>
      <c r="AG4" s="334"/>
      <c r="AH4" s="334"/>
      <c r="AI4" s="334"/>
      <c r="AJ4" s="334"/>
      <c r="AK4" s="334"/>
      <c r="AL4" s="334"/>
      <c r="AM4" s="334"/>
      <c r="AN4" s="334"/>
      <c r="AO4" s="334"/>
      <c r="AP4" s="334"/>
      <c r="AQ4" s="334"/>
      <c r="AR4" s="334"/>
      <c r="AS4" s="334"/>
      <c r="AT4" s="334"/>
      <c r="AU4" s="334"/>
      <c r="AV4" s="334"/>
      <c r="AW4" s="334"/>
      <c r="AX4" s="334"/>
      <c r="AY4" s="334"/>
      <c r="AZ4" s="334"/>
      <c r="BA4" s="334"/>
      <c r="BB4" s="334"/>
      <c r="BC4" s="334"/>
      <c r="BD4" s="334"/>
      <c r="BE4" s="334"/>
      <c r="BF4" s="334"/>
      <c r="BG4" s="334"/>
      <c r="BH4" s="334"/>
      <c r="BI4" s="334"/>
      <c r="BJ4" s="334"/>
      <c r="BK4" s="334"/>
      <c r="BL4" s="334"/>
      <c r="BM4" s="334"/>
      <c r="BN4" s="334"/>
      <c r="BO4" s="334"/>
      <c r="BP4" s="334"/>
      <c r="BQ4" s="334"/>
      <c r="BR4" s="334"/>
      <c r="BS4" s="334"/>
      <c r="BT4" s="334"/>
      <c r="BU4" s="334"/>
      <c r="BV4" s="334"/>
      <c r="BW4" s="334"/>
      <c r="BX4" s="334"/>
      <c r="BY4" s="334"/>
      <c r="BZ4" s="334"/>
      <c r="CA4" s="334"/>
      <c r="CB4" s="334"/>
      <c r="CC4" s="334"/>
      <c r="CD4" s="334"/>
      <c r="CE4" s="334"/>
      <c r="CF4" s="334"/>
      <c r="CG4" s="334"/>
      <c r="CH4" s="334"/>
      <c r="CI4" s="334"/>
      <c r="CJ4" s="334"/>
      <c r="CK4" s="334"/>
      <c r="CL4" s="334"/>
      <c r="CM4" s="334"/>
      <c r="CN4" s="334"/>
      <c r="CO4" s="334"/>
      <c r="CP4" s="334"/>
      <c r="CQ4" s="334"/>
      <c r="CR4" s="334"/>
      <c r="CS4" s="334"/>
      <c r="CT4" s="334"/>
      <c r="CU4" s="334"/>
      <c r="CV4" s="334"/>
      <c r="CW4" s="334"/>
      <c r="CX4" s="334"/>
      <c r="CY4" s="334"/>
      <c r="CZ4" s="334"/>
      <c r="DA4" s="334"/>
      <c r="DB4" s="334"/>
      <c r="DC4" s="334"/>
      <c r="DD4" s="334"/>
      <c r="DE4" s="334"/>
      <c r="DF4" s="334"/>
      <c r="DG4" s="334"/>
      <c r="DH4" s="334"/>
      <c r="DI4" s="334"/>
      <c r="DJ4" s="334"/>
      <c r="DK4" s="334"/>
      <c r="DL4" s="334"/>
      <c r="DM4" s="334"/>
      <c r="DN4" s="334"/>
      <c r="DO4" s="334"/>
      <c r="DP4" s="334"/>
      <c r="DQ4" s="334"/>
      <c r="DR4" s="334"/>
      <c r="DS4" s="334"/>
      <c r="DT4" s="334"/>
      <c r="DU4" s="334"/>
      <c r="DV4" s="334"/>
      <c r="DW4" s="334"/>
      <c r="DX4" s="334"/>
      <c r="DY4" s="334"/>
      <c r="DZ4" s="334"/>
      <c r="EA4" s="334"/>
      <c r="EB4" s="334"/>
      <c r="EC4" s="334"/>
      <c r="ED4" s="334"/>
      <c r="EE4" s="334"/>
      <c r="EF4" s="334"/>
      <c r="EG4" s="334"/>
      <c r="EH4" s="334"/>
      <c r="EI4" s="334"/>
      <c r="EJ4" s="334"/>
      <c r="EK4" s="334"/>
      <c r="EL4" s="334"/>
      <c r="EM4" s="334"/>
      <c r="EN4" s="334"/>
      <c r="EO4" s="334"/>
      <c r="EP4" s="334"/>
      <c r="EQ4" s="334"/>
      <c r="ER4" s="334"/>
      <c r="ES4" s="334"/>
      <c r="ET4" s="334"/>
      <c r="EU4" s="334"/>
      <c r="EV4" s="334"/>
      <c r="EW4" s="334"/>
    </row>
    <row r="5" spans="1:153" x14ac:dyDescent="0.25">
      <c r="A5" s="60" t="s">
        <v>2</v>
      </c>
      <c r="B5" s="223"/>
      <c r="C5" s="61" t="s">
        <v>3</v>
      </c>
      <c r="D5" s="310">
        <f>+D6+D58</f>
        <v>148929289342</v>
      </c>
      <c r="E5" s="310">
        <f>+E6+E58</f>
        <v>134173484797.73001</v>
      </c>
      <c r="F5" s="311">
        <f>+E5/D5</f>
        <v>0.90092073487045998</v>
      </c>
      <c r="G5" s="310">
        <f>+G6+G58</f>
        <v>142576598773.89966</v>
      </c>
      <c r="H5" s="312">
        <f>+G5/D5</f>
        <v>0.95734424977002286</v>
      </c>
      <c r="I5" s="313">
        <f>+I6+I58</f>
        <v>145220109236.64001</v>
      </c>
      <c r="J5" s="313">
        <f>+J6+J58</f>
        <v>141260013005.34863</v>
      </c>
      <c r="K5" s="89">
        <f>+(J5-G5)/G5</f>
        <v>-9.2342346491157985E-3</v>
      </c>
      <c r="L5" s="86">
        <f>+L6+L58</f>
        <v>11494506268.421753</v>
      </c>
      <c r="M5" s="97"/>
      <c r="N5" s="86">
        <f>+N6+N58</f>
        <v>5614497519.9055462</v>
      </c>
      <c r="O5" s="97"/>
      <c r="P5" s="86">
        <f>+P6+P58</f>
        <v>12363481377.636566</v>
      </c>
      <c r="Q5" s="97"/>
      <c r="R5" s="86">
        <f>+R6+R58</f>
        <v>111787527839.38477</v>
      </c>
      <c r="S5" s="97"/>
      <c r="T5" s="310">
        <f>+T6+T58</f>
        <v>147441976415.96631</v>
      </c>
      <c r="U5" s="339">
        <f t="shared" ref="U5:U25" si="0">+J5/G5*100-100</f>
        <v>-0.92342346491157912</v>
      </c>
    </row>
    <row r="6" spans="1:153" s="64" customFormat="1" x14ac:dyDescent="0.25">
      <c r="A6" s="63" t="s">
        <v>4</v>
      </c>
      <c r="B6" s="224"/>
      <c r="C6" s="63" t="s">
        <v>5</v>
      </c>
      <c r="D6" s="314">
        <f>D7+D12</f>
        <v>131210369257</v>
      </c>
      <c r="E6" s="314">
        <f t="shared" ref="E6:G6" si="1">E7+E12</f>
        <v>113166935770.85001</v>
      </c>
      <c r="F6" s="311">
        <f t="shared" ref="F6:F70" si="2">+E6/D6</f>
        <v>0.86248469851640641</v>
      </c>
      <c r="G6" s="314">
        <f t="shared" si="1"/>
        <v>119689977122.44366</v>
      </c>
      <c r="H6" s="312">
        <f t="shared" ref="H6:H68" si="3">+G6/D6</f>
        <v>0.91219907237673037</v>
      </c>
      <c r="I6" s="315">
        <f t="shared" ref="I6:L6" si="4">I7+I12</f>
        <v>122237690494.58</v>
      </c>
      <c r="J6" s="315">
        <f t="shared" si="4"/>
        <v>140755637685.51984</v>
      </c>
      <c r="K6" s="89">
        <f t="shared" ref="K6:K68" si="5">+(J6-G6)/G6</f>
        <v>0.17600187642717868</v>
      </c>
      <c r="L6" s="84">
        <f t="shared" si="4"/>
        <v>11494506268.421753</v>
      </c>
      <c r="M6" s="97"/>
      <c r="N6" s="84">
        <f t="shared" ref="N6" si="6">N7+N12</f>
        <v>5614497519.9055462</v>
      </c>
      <c r="O6" s="97"/>
      <c r="P6" s="84">
        <f t="shared" ref="P6" si="7">P7+P12</f>
        <v>12313043845.653687</v>
      </c>
      <c r="Q6" s="97"/>
      <c r="R6" s="84">
        <f t="shared" ref="R6" si="8">R7+R12</f>
        <v>111333590051.53885</v>
      </c>
      <c r="S6" s="97"/>
      <c r="T6" s="314">
        <f t="shared" ref="T6" si="9">T7+T12</f>
        <v>146937601096.13751</v>
      </c>
      <c r="U6" s="340">
        <f t="shared" si="0"/>
        <v>17.60018764271787</v>
      </c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</row>
    <row r="7" spans="1:153" x14ac:dyDescent="0.25">
      <c r="A7" s="65" t="s">
        <v>6</v>
      </c>
      <c r="B7" s="225"/>
      <c r="C7" s="66" t="s">
        <v>7</v>
      </c>
      <c r="D7" s="316">
        <f>+D8</f>
        <v>15911638600</v>
      </c>
      <c r="E7" s="316">
        <f t="shared" ref="E7:T8" si="10">+E8</f>
        <v>11965599195.58</v>
      </c>
      <c r="F7" s="311">
        <f t="shared" si="2"/>
        <v>0.75200295182546439</v>
      </c>
      <c r="G7" s="316">
        <f t="shared" si="10"/>
        <v>14007338999.320999</v>
      </c>
      <c r="H7" s="312">
        <f t="shared" si="3"/>
        <v>0.88032033352749728</v>
      </c>
      <c r="I7" s="317">
        <f t="shared" si="10"/>
        <v>14459473207.58</v>
      </c>
      <c r="J7" s="317">
        <f t="shared" si="10"/>
        <v>16422288760.272699</v>
      </c>
      <c r="K7" s="89">
        <f t="shared" si="5"/>
        <v>0.17240603379905092</v>
      </c>
      <c r="L7" s="85">
        <f t="shared" si="10"/>
        <v>0</v>
      </c>
      <c r="M7" s="97"/>
      <c r="N7" s="85">
        <f t="shared" si="10"/>
        <v>0</v>
      </c>
      <c r="O7" s="97"/>
      <c r="P7" s="85">
        <f t="shared" si="10"/>
        <v>1642228876.0272701</v>
      </c>
      <c r="Q7" s="97"/>
      <c r="R7" s="85">
        <f t="shared" si="10"/>
        <v>14780059884.24543</v>
      </c>
      <c r="S7" s="97"/>
      <c r="T7" s="316">
        <f t="shared" si="10"/>
        <v>21494000000.037502</v>
      </c>
      <c r="U7" s="339">
        <f t="shared" si="0"/>
        <v>17.240603379905096</v>
      </c>
    </row>
    <row r="8" spans="1:153" s="64" customFormat="1" x14ac:dyDescent="0.25">
      <c r="A8" s="67" t="s">
        <v>8</v>
      </c>
      <c r="B8" s="222"/>
      <c r="C8" s="63" t="s">
        <v>9</v>
      </c>
      <c r="D8" s="314">
        <f>+D9</f>
        <v>15911638600</v>
      </c>
      <c r="E8" s="314">
        <f t="shared" si="10"/>
        <v>11965599195.58</v>
      </c>
      <c r="F8" s="311">
        <f t="shared" si="2"/>
        <v>0.75200295182546439</v>
      </c>
      <c r="G8" s="314">
        <f t="shared" si="10"/>
        <v>14007338999.320999</v>
      </c>
      <c r="H8" s="312">
        <f t="shared" si="3"/>
        <v>0.88032033352749728</v>
      </c>
      <c r="I8" s="315">
        <f>+I9</f>
        <v>14459473207.58</v>
      </c>
      <c r="J8" s="315">
        <f t="shared" si="10"/>
        <v>16422288760.272699</v>
      </c>
      <c r="K8" s="89">
        <f t="shared" si="5"/>
        <v>0.17240603379905092</v>
      </c>
      <c r="L8" s="84">
        <f t="shared" si="10"/>
        <v>0</v>
      </c>
      <c r="M8" s="97"/>
      <c r="N8" s="84">
        <f t="shared" si="10"/>
        <v>0</v>
      </c>
      <c r="O8" s="97"/>
      <c r="P8" s="84">
        <f t="shared" si="10"/>
        <v>1642228876.0272701</v>
      </c>
      <c r="Q8" s="97"/>
      <c r="R8" s="84">
        <f t="shared" si="10"/>
        <v>14780059884.24543</v>
      </c>
      <c r="S8" s="97"/>
      <c r="T8" s="314">
        <f t="shared" si="10"/>
        <v>21494000000.037502</v>
      </c>
      <c r="U8" s="340">
        <f t="shared" si="0"/>
        <v>17.240603379905096</v>
      </c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2"/>
      <c r="CA8" s="62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2"/>
      <c r="CS8" s="62"/>
      <c r="CT8" s="62"/>
      <c r="CU8" s="62"/>
      <c r="CV8" s="62"/>
      <c r="CW8" s="62"/>
      <c r="CX8" s="62"/>
      <c r="CY8" s="62"/>
      <c r="CZ8" s="62"/>
      <c r="DA8" s="62"/>
      <c r="DB8" s="62"/>
      <c r="DC8" s="62"/>
      <c r="DD8" s="62"/>
      <c r="DE8" s="62"/>
      <c r="DF8" s="62"/>
      <c r="DG8" s="62"/>
      <c r="DH8" s="62"/>
      <c r="DI8" s="62"/>
      <c r="DJ8" s="62"/>
      <c r="DK8" s="62"/>
      <c r="DL8" s="62"/>
      <c r="DM8" s="62"/>
      <c r="DN8" s="62"/>
      <c r="DO8" s="62"/>
      <c r="DP8" s="62"/>
      <c r="DQ8" s="62"/>
      <c r="DR8" s="62"/>
      <c r="DS8" s="62"/>
      <c r="DT8" s="62"/>
      <c r="DU8" s="62"/>
      <c r="DV8" s="62"/>
      <c r="DW8" s="62"/>
      <c r="DX8" s="62"/>
      <c r="DY8" s="62"/>
      <c r="DZ8" s="62"/>
      <c r="EA8" s="62"/>
      <c r="EB8" s="62"/>
      <c r="EC8" s="62"/>
      <c r="ED8" s="62"/>
      <c r="EE8" s="62"/>
      <c r="EF8" s="62"/>
      <c r="EG8" s="62"/>
      <c r="EH8" s="62"/>
      <c r="EI8" s="62"/>
      <c r="EJ8" s="62"/>
      <c r="EK8" s="62"/>
      <c r="EL8" s="62"/>
      <c r="EM8" s="62"/>
      <c r="EN8" s="62"/>
      <c r="EO8" s="62"/>
      <c r="EP8" s="62"/>
      <c r="EQ8" s="62"/>
      <c r="ER8" s="62"/>
      <c r="ES8" s="62"/>
      <c r="ET8" s="62"/>
      <c r="EU8" s="62"/>
      <c r="EV8" s="62"/>
      <c r="EW8" s="62"/>
    </row>
    <row r="9" spans="1:153" x14ac:dyDescent="0.25">
      <c r="A9" s="68" t="s">
        <v>10</v>
      </c>
      <c r="B9" s="226">
        <v>31</v>
      </c>
      <c r="C9" s="66" t="s">
        <v>11</v>
      </c>
      <c r="D9" s="316">
        <f>+D10+D11</f>
        <v>15911638600</v>
      </c>
      <c r="E9" s="316">
        <f t="shared" ref="E9:G9" si="11">+E10+E11</f>
        <v>11965599195.58</v>
      </c>
      <c r="F9" s="311">
        <f t="shared" si="2"/>
        <v>0.75200295182546439</v>
      </c>
      <c r="G9" s="316">
        <f t="shared" si="11"/>
        <v>14007338999.320999</v>
      </c>
      <c r="H9" s="312">
        <f t="shared" si="3"/>
        <v>0.88032033352749728</v>
      </c>
      <c r="I9" s="317">
        <f t="shared" ref="I9" si="12">+I10+I11</f>
        <v>14459473207.58</v>
      </c>
      <c r="J9" s="317">
        <f t="shared" ref="J9:L9" si="13">+J10+J11</f>
        <v>16422288760.272699</v>
      </c>
      <c r="K9" s="89">
        <f t="shared" si="5"/>
        <v>0.17240603379905092</v>
      </c>
      <c r="L9" s="85">
        <f t="shared" si="13"/>
        <v>0</v>
      </c>
      <c r="M9" s="97"/>
      <c r="N9" s="85">
        <f t="shared" ref="N9" si="14">+N10+N11</f>
        <v>0</v>
      </c>
      <c r="O9" s="97"/>
      <c r="P9" s="85">
        <f t="shared" ref="P9" si="15">+P10+P11</f>
        <v>1642228876.0272701</v>
      </c>
      <c r="Q9" s="97"/>
      <c r="R9" s="85">
        <f t="shared" ref="R9" si="16">+R10+R11</f>
        <v>14780059884.24543</v>
      </c>
      <c r="S9" s="97"/>
      <c r="T9" s="316">
        <f t="shared" ref="T9" si="17">+T10+T11</f>
        <v>21494000000.037502</v>
      </c>
      <c r="U9" s="339">
        <f t="shared" si="0"/>
        <v>17.240603379905096</v>
      </c>
      <c r="X9" s="354"/>
    </row>
    <row r="10" spans="1:153" s="64" customFormat="1" x14ac:dyDescent="0.25">
      <c r="A10" s="69" t="s">
        <v>12</v>
      </c>
      <c r="B10" s="222"/>
      <c r="C10" s="63" t="s">
        <v>13</v>
      </c>
      <c r="D10" s="314">
        <v>14074650894</v>
      </c>
      <c r="E10" s="314">
        <v>8451798841.8299999</v>
      </c>
      <c r="F10" s="311">
        <f t="shared" si="2"/>
        <v>0.60049793813592833</v>
      </c>
      <c r="G10" s="314">
        <f>+E10*1.2</f>
        <v>10142158610.195999</v>
      </c>
      <c r="H10" s="312">
        <f t="shared" si="3"/>
        <v>0.72059752576311387</v>
      </c>
      <c r="I10" s="315">
        <f>+'[2]COMPARATIVO RECAUDOS'!$F$10</f>
        <v>14459473207.58</v>
      </c>
      <c r="J10" s="315">
        <f>+G10*1.2</f>
        <v>12170590332.235199</v>
      </c>
      <c r="K10" s="89">
        <f t="shared" si="5"/>
        <v>0.2</v>
      </c>
      <c r="L10" s="80"/>
      <c r="M10" s="97"/>
      <c r="N10" s="80"/>
      <c r="O10" s="97"/>
      <c r="P10" s="80">
        <f>+J10*Q10</f>
        <v>1217059033.22352</v>
      </c>
      <c r="Q10" s="97">
        <v>0.1</v>
      </c>
      <c r="R10" s="80">
        <f>+J10*S10</f>
        <v>10953531299.011679</v>
      </c>
      <c r="S10" s="97">
        <v>0.9</v>
      </c>
      <c r="T10" s="314">
        <v>17242301572</v>
      </c>
      <c r="U10" s="340">
        <f t="shared" si="0"/>
        <v>20</v>
      </c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DW10" s="62"/>
      <c r="DX10" s="62"/>
      <c r="DY10" s="62"/>
      <c r="DZ10" s="62"/>
      <c r="EA10" s="62"/>
      <c r="EB10" s="62"/>
      <c r="EC10" s="62"/>
      <c r="ED10" s="62"/>
      <c r="EE10" s="62"/>
      <c r="EF10" s="62"/>
      <c r="EG10" s="62"/>
      <c r="EH10" s="62"/>
      <c r="EI10" s="62"/>
      <c r="EJ10" s="62"/>
      <c r="EK10" s="62"/>
      <c r="EL10" s="62"/>
      <c r="EM10" s="62"/>
      <c r="EN10" s="62"/>
      <c r="EO10" s="62"/>
      <c r="EP10" s="62"/>
      <c r="EQ10" s="62"/>
      <c r="ER10" s="62"/>
      <c r="ES10" s="62"/>
      <c r="ET10" s="62"/>
      <c r="EU10" s="62"/>
      <c r="EV10" s="62"/>
      <c r="EW10" s="62"/>
    </row>
    <row r="11" spans="1:153" x14ac:dyDescent="0.25">
      <c r="A11" s="70" t="s">
        <v>14</v>
      </c>
      <c r="B11" s="227"/>
      <c r="C11" s="71" t="s">
        <v>15</v>
      </c>
      <c r="D11" s="316">
        <v>1836987706</v>
      </c>
      <c r="E11" s="316">
        <v>3513800353.75</v>
      </c>
      <c r="F11" s="311">
        <f t="shared" si="2"/>
        <v>1.912805590518198</v>
      </c>
      <c r="G11" s="316">
        <f>+E11*1.1</f>
        <v>3865180389.1250005</v>
      </c>
      <c r="H11" s="312">
        <f t="shared" si="3"/>
        <v>2.1040861495700183</v>
      </c>
      <c r="I11" s="317"/>
      <c r="J11" s="317">
        <f>+G11*1.1</f>
        <v>4251698428.0375009</v>
      </c>
      <c r="K11" s="89">
        <f t="shared" si="5"/>
        <v>0.10000000000000009</v>
      </c>
      <c r="L11" s="81"/>
      <c r="M11" s="97"/>
      <c r="N11" s="81"/>
      <c r="O11" s="97"/>
      <c r="P11" s="81">
        <f>+J11*Q11</f>
        <v>425169842.8037501</v>
      </c>
      <c r="Q11" s="97">
        <v>0.1</v>
      </c>
      <c r="R11" s="81">
        <f>+J11*S11</f>
        <v>3826528585.2337508</v>
      </c>
      <c r="S11" s="97">
        <v>0.9</v>
      </c>
      <c r="T11" s="316">
        <f>+J11</f>
        <v>4251698428.0375009</v>
      </c>
      <c r="U11" s="339">
        <f t="shared" si="0"/>
        <v>10.000000000000014</v>
      </c>
      <c r="X11" s="356"/>
    </row>
    <row r="12" spans="1:153" s="64" customFormat="1" x14ac:dyDescent="0.25">
      <c r="A12" s="69" t="s">
        <v>16</v>
      </c>
      <c r="B12" s="222"/>
      <c r="C12" s="63" t="s">
        <v>17</v>
      </c>
      <c r="D12" s="314">
        <f>+D13+D27+D45+D50</f>
        <v>115298730657</v>
      </c>
      <c r="E12" s="314">
        <f>+E13+E27+E45+E50</f>
        <v>101201336575.27</v>
      </c>
      <c r="F12" s="311">
        <f t="shared" si="2"/>
        <v>0.87773157604251462</v>
      </c>
      <c r="G12" s="314">
        <f>+G13+G27+G45+G50</f>
        <v>105682638123.12267</v>
      </c>
      <c r="H12" s="312">
        <f t="shared" si="3"/>
        <v>0.91659845274026419</v>
      </c>
      <c r="I12" s="315">
        <f>+I13+I27+I45+I50</f>
        <v>107778217287</v>
      </c>
      <c r="J12" s="315">
        <f>+J13+J27+J45+J50</f>
        <v>124333348925.24713</v>
      </c>
      <c r="K12" s="89">
        <f t="shared" si="5"/>
        <v>0.17647847492599461</v>
      </c>
      <c r="L12" s="84">
        <f>+L13+L27+L45+L50</f>
        <v>11494506268.421753</v>
      </c>
      <c r="M12" s="97"/>
      <c r="N12" s="84">
        <f>+N13+N27+N45+N50</f>
        <v>5614497519.9055462</v>
      </c>
      <c r="O12" s="97"/>
      <c r="P12" s="84">
        <f>+P13+P27+P45+P50</f>
        <v>10670814969.626417</v>
      </c>
      <c r="Q12" s="97"/>
      <c r="R12" s="84">
        <f>+R13+R27+R45+R50</f>
        <v>96553530167.293427</v>
      </c>
      <c r="S12" s="97"/>
      <c r="T12" s="314">
        <f>+T13+T27+T45+T50</f>
        <v>125443601096.10001</v>
      </c>
      <c r="U12" s="340">
        <f t="shared" si="0"/>
        <v>17.647847492599468</v>
      </c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2"/>
      <c r="DK12" s="62"/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2"/>
      <c r="DW12" s="62"/>
      <c r="DX12" s="62"/>
      <c r="DY12" s="62"/>
      <c r="DZ12" s="62"/>
      <c r="EA12" s="62"/>
      <c r="EB12" s="62"/>
      <c r="EC12" s="62"/>
      <c r="ED12" s="62"/>
      <c r="EE12" s="62"/>
      <c r="EF12" s="62"/>
      <c r="EG12" s="62"/>
      <c r="EH12" s="62"/>
      <c r="EI12" s="62"/>
      <c r="EJ12" s="62"/>
      <c r="EK12" s="62"/>
      <c r="EL12" s="62"/>
      <c r="EM12" s="62"/>
      <c r="EN12" s="62"/>
      <c r="EO12" s="62"/>
      <c r="EP12" s="62"/>
      <c r="EQ12" s="62"/>
      <c r="ER12" s="62"/>
      <c r="ES12" s="62"/>
      <c r="ET12" s="62"/>
      <c r="EU12" s="62"/>
      <c r="EV12" s="62"/>
      <c r="EW12" s="62"/>
    </row>
    <row r="13" spans="1:153" x14ac:dyDescent="0.25">
      <c r="A13" s="72" t="s">
        <v>18</v>
      </c>
      <c r="B13" s="227"/>
      <c r="C13" s="66" t="s">
        <v>19</v>
      </c>
      <c r="D13" s="316">
        <f>+D14</f>
        <v>14424839860</v>
      </c>
      <c r="E13" s="316">
        <f t="shared" ref="E13:T14" si="18">+E14</f>
        <v>13324895573.67</v>
      </c>
      <c r="F13" s="311">
        <f t="shared" si="2"/>
        <v>0.92374651663342622</v>
      </c>
      <c r="G13" s="316">
        <f t="shared" si="18"/>
        <v>14849541058.836666</v>
      </c>
      <c r="H13" s="312">
        <f t="shared" si="3"/>
        <v>1.0294423510388049</v>
      </c>
      <c r="I13" s="317">
        <f t="shared" si="18"/>
        <v>17891714098</v>
      </c>
      <c r="J13" s="317">
        <f t="shared" si="18"/>
        <v>16976626273.808336</v>
      </c>
      <c r="K13" s="89">
        <f t="shared" si="5"/>
        <v>0.1432424885418182</v>
      </c>
      <c r="L13" s="85">
        <f t="shared" si="18"/>
        <v>1697662627.3808334</v>
      </c>
      <c r="M13" s="97"/>
      <c r="N13" s="85">
        <f t="shared" si="18"/>
        <v>3395325254.7616668</v>
      </c>
      <c r="O13" s="97"/>
      <c r="P13" s="85">
        <f t="shared" si="18"/>
        <v>1028180886.8204167</v>
      </c>
      <c r="Q13" s="97"/>
      <c r="R13" s="85">
        <f t="shared" si="18"/>
        <v>10855457504.845417</v>
      </c>
      <c r="S13" s="97"/>
      <c r="T13" s="316">
        <f t="shared" si="18"/>
        <v>17976333808</v>
      </c>
      <c r="U13" s="339">
        <f t="shared" si="0"/>
        <v>14.324248854181818</v>
      </c>
    </row>
    <row r="14" spans="1:153" s="64" customFormat="1" ht="12.75" customHeight="1" x14ac:dyDescent="0.25">
      <c r="A14" s="63" t="s">
        <v>20</v>
      </c>
      <c r="B14" s="224"/>
      <c r="C14" s="63" t="s">
        <v>21</v>
      </c>
      <c r="D14" s="314">
        <f>+D15</f>
        <v>14424839860</v>
      </c>
      <c r="E14" s="314">
        <f t="shared" si="18"/>
        <v>13324895573.67</v>
      </c>
      <c r="F14" s="311">
        <f t="shared" si="2"/>
        <v>0.92374651663342622</v>
      </c>
      <c r="G14" s="314">
        <f t="shared" si="18"/>
        <v>14849541058.836666</v>
      </c>
      <c r="H14" s="312">
        <f t="shared" si="3"/>
        <v>1.0294423510388049</v>
      </c>
      <c r="I14" s="315">
        <f t="shared" si="18"/>
        <v>17891714098</v>
      </c>
      <c r="J14" s="315">
        <f t="shared" si="18"/>
        <v>16976626273.808336</v>
      </c>
      <c r="K14" s="89">
        <f t="shared" si="5"/>
        <v>0.1432424885418182</v>
      </c>
      <c r="L14" s="84">
        <f t="shared" si="18"/>
        <v>1697662627.3808334</v>
      </c>
      <c r="M14" s="97"/>
      <c r="N14" s="84">
        <f t="shared" si="18"/>
        <v>3395325254.7616668</v>
      </c>
      <c r="O14" s="97"/>
      <c r="P14" s="84">
        <f t="shared" si="18"/>
        <v>1028180886.8204167</v>
      </c>
      <c r="Q14" s="97"/>
      <c r="R14" s="84">
        <f t="shared" si="18"/>
        <v>10855457504.845417</v>
      </c>
      <c r="S14" s="97"/>
      <c r="T14" s="314">
        <f t="shared" si="18"/>
        <v>17976333808</v>
      </c>
      <c r="U14" s="340">
        <f t="shared" si="0"/>
        <v>14.324248854181818</v>
      </c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62"/>
      <c r="CX14" s="62"/>
      <c r="CY14" s="62"/>
      <c r="CZ14" s="62"/>
      <c r="DA14" s="62"/>
      <c r="DB14" s="62"/>
      <c r="DC14" s="62"/>
      <c r="DD14" s="62"/>
      <c r="DE14" s="62"/>
      <c r="DF14" s="62"/>
      <c r="DG14" s="62"/>
      <c r="DH14" s="62"/>
      <c r="DI14" s="62"/>
      <c r="DJ14" s="62"/>
      <c r="DK14" s="62"/>
      <c r="DL14" s="62"/>
      <c r="DM14" s="62"/>
      <c r="DN14" s="62"/>
      <c r="DO14" s="62"/>
      <c r="DP14" s="62"/>
      <c r="DQ14" s="62"/>
      <c r="DR14" s="62"/>
      <c r="DS14" s="62"/>
      <c r="DT14" s="62"/>
      <c r="DU14" s="62"/>
      <c r="DV14" s="62"/>
      <c r="DW14" s="62"/>
      <c r="DX14" s="62"/>
      <c r="DY14" s="62"/>
      <c r="DZ14" s="62"/>
      <c r="EA14" s="62"/>
      <c r="EB14" s="62"/>
      <c r="EC14" s="62"/>
      <c r="ED14" s="62"/>
      <c r="EE14" s="62"/>
      <c r="EF14" s="62"/>
      <c r="EG14" s="62"/>
      <c r="EH14" s="62"/>
      <c r="EI14" s="62"/>
      <c r="EJ14" s="62"/>
      <c r="EK14" s="62"/>
      <c r="EL14" s="62"/>
      <c r="EM14" s="62"/>
      <c r="EN14" s="62"/>
      <c r="EO14" s="62"/>
      <c r="EP14" s="62"/>
      <c r="EQ14" s="62"/>
      <c r="ER14" s="62"/>
      <c r="ES14" s="62"/>
      <c r="ET14" s="62"/>
      <c r="EU14" s="62"/>
      <c r="EV14" s="62"/>
      <c r="EW14" s="62"/>
    </row>
    <row r="15" spans="1:153" x14ac:dyDescent="0.25">
      <c r="A15" s="73" t="s">
        <v>22</v>
      </c>
      <c r="B15" s="228"/>
      <c r="C15" s="66" t="s">
        <v>23</v>
      </c>
      <c r="D15" s="316">
        <f>+D16+D23</f>
        <v>14424839860</v>
      </c>
      <c r="E15" s="316">
        <f t="shared" ref="E15:G15" si="19">+E16+E23</f>
        <v>13324895573.67</v>
      </c>
      <c r="F15" s="311">
        <f t="shared" si="2"/>
        <v>0.92374651663342622</v>
      </c>
      <c r="G15" s="316">
        <f t="shared" si="19"/>
        <v>14849541058.836666</v>
      </c>
      <c r="H15" s="312">
        <f t="shared" si="3"/>
        <v>1.0294423510388049</v>
      </c>
      <c r="I15" s="317">
        <f t="shared" ref="I15:L15" si="20">+I16+I23</f>
        <v>17891714098</v>
      </c>
      <c r="J15" s="317">
        <f t="shared" si="20"/>
        <v>16976626273.808336</v>
      </c>
      <c r="K15" s="89">
        <f t="shared" si="5"/>
        <v>0.1432424885418182</v>
      </c>
      <c r="L15" s="85">
        <f t="shared" si="20"/>
        <v>1697662627.3808334</v>
      </c>
      <c r="M15" s="97"/>
      <c r="N15" s="85">
        <f t="shared" ref="N15" si="21">+N16+N23</f>
        <v>3395325254.7616668</v>
      </c>
      <c r="O15" s="97"/>
      <c r="P15" s="85">
        <f t="shared" ref="P15" si="22">+P16+P23</f>
        <v>1028180886.8204167</v>
      </c>
      <c r="Q15" s="97"/>
      <c r="R15" s="85">
        <f t="shared" ref="R15" si="23">+R16+R23</f>
        <v>10855457504.845417</v>
      </c>
      <c r="S15" s="97"/>
      <c r="T15" s="316">
        <f t="shared" ref="T15" si="24">+T16+T23</f>
        <v>17976333808</v>
      </c>
      <c r="U15" s="339">
        <f t="shared" si="0"/>
        <v>14.324248854181818</v>
      </c>
    </row>
    <row r="16" spans="1:153" s="64" customFormat="1" x14ac:dyDescent="0.25">
      <c r="A16" s="74" t="s">
        <v>24</v>
      </c>
      <c r="B16" s="222"/>
      <c r="C16" s="63" t="s">
        <v>25</v>
      </c>
      <c r="D16" s="314">
        <f>+D17+D20</f>
        <v>14302168579</v>
      </c>
      <c r="E16" s="314">
        <f t="shared" ref="E16:G16" si="25">+E17+E20</f>
        <v>13297619103.67</v>
      </c>
      <c r="F16" s="311">
        <f t="shared" si="2"/>
        <v>0.92976243638989209</v>
      </c>
      <c r="G16" s="314">
        <f t="shared" si="25"/>
        <v>14813172432.17</v>
      </c>
      <c r="H16" s="312">
        <f t="shared" si="3"/>
        <v>1.0357291169061111</v>
      </c>
      <c r="I16" s="315">
        <f t="shared" ref="I16:L16" si="26">+I17+I20</f>
        <v>17846333808</v>
      </c>
      <c r="J16" s="315">
        <f t="shared" si="26"/>
        <v>16846626273.808336</v>
      </c>
      <c r="K16" s="89">
        <f t="shared" si="5"/>
        <v>0.1372733525481856</v>
      </c>
      <c r="L16" s="84">
        <f t="shared" si="26"/>
        <v>1684662627.3808334</v>
      </c>
      <c r="M16" s="97"/>
      <c r="N16" s="84">
        <f t="shared" ref="N16" si="27">+N17+N20</f>
        <v>3369325254.7616668</v>
      </c>
      <c r="O16" s="97"/>
      <c r="P16" s="84">
        <f t="shared" ref="P16" si="28">+P17+P20</f>
        <v>1015180886.8204167</v>
      </c>
      <c r="Q16" s="97"/>
      <c r="R16" s="84">
        <f t="shared" ref="R16" si="29">+R17+R20</f>
        <v>10777457504.845417</v>
      </c>
      <c r="S16" s="97"/>
      <c r="T16" s="314">
        <f t="shared" ref="T16" si="30">+T17+T20</f>
        <v>17846333808</v>
      </c>
      <c r="U16" s="340">
        <f t="shared" si="0"/>
        <v>13.727335254818556</v>
      </c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62"/>
      <c r="CO16" s="62"/>
      <c r="CP16" s="62"/>
      <c r="CQ16" s="62"/>
      <c r="CR16" s="62"/>
      <c r="CS16" s="62"/>
      <c r="CT16" s="62"/>
      <c r="CU16" s="62"/>
      <c r="CV16" s="62"/>
      <c r="CW16" s="62"/>
      <c r="CX16" s="62"/>
      <c r="CY16" s="62"/>
      <c r="CZ16" s="62"/>
      <c r="DA16" s="62"/>
      <c r="DB16" s="62"/>
      <c r="DC16" s="62"/>
      <c r="DD16" s="62"/>
      <c r="DE16" s="62"/>
      <c r="DF16" s="62"/>
      <c r="DG16" s="62"/>
      <c r="DH16" s="62"/>
      <c r="DI16" s="62"/>
      <c r="DJ16" s="62"/>
      <c r="DK16" s="62"/>
      <c r="DL16" s="62"/>
      <c r="DM16" s="62"/>
      <c r="DN16" s="62"/>
      <c r="DO16" s="62"/>
      <c r="DP16" s="62"/>
      <c r="DQ16" s="62"/>
      <c r="DR16" s="62"/>
      <c r="DS16" s="62"/>
      <c r="DT16" s="62"/>
      <c r="DU16" s="62"/>
      <c r="DV16" s="62"/>
      <c r="DW16" s="62"/>
      <c r="DX16" s="62"/>
      <c r="DY16" s="62"/>
      <c r="DZ16" s="62"/>
      <c r="EA16" s="62"/>
      <c r="EB16" s="62"/>
      <c r="EC16" s="62"/>
      <c r="ED16" s="62"/>
      <c r="EE16" s="62"/>
      <c r="EF16" s="62"/>
      <c r="EG16" s="62"/>
      <c r="EH16" s="62"/>
      <c r="EI16" s="62"/>
      <c r="EJ16" s="62"/>
      <c r="EK16" s="62"/>
      <c r="EL16" s="62"/>
      <c r="EM16" s="62"/>
      <c r="EN16" s="62"/>
      <c r="EO16" s="62"/>
      <c r="EP16" s="62"/>
      <c r="EQ16" s="62"/>
      <c r="ER16" s="62"/>
      <c r="ES16" s="62"/>
      <c r="ET16" s="62"/>
      <c r="EU16" s="62"/>
      <c r="EV16" s="62"/>
      <c r="EW16" s="62"/>
    </row>
    <row r="17" spans="1:153" x14ac:dyDescent="0.25">
      <c r="A17" s="75" t="s">
        <v>26</v>
      </c>
      <c r="B17" s="227">
        <v>41</v>
      </c>
      <c r="C17" s="66" t="s">
        <v>27</v>
      </c>
      <c r="D17" s="316">
        <f>+D18+D19</f>
        <v>12075022817</v>
      </c>
      <c r="E17" s="316">
        <f t="shared" ref="E17:G17" si="31">+E18+E19</f>
        <v>10560318551.67</v>
      </c>
      <c r="F17" s="311">
        <f t="shared" si="2"/>
        <v>0.8745588900090937</v>
      </c>
      <c r="G17" s="316">
        <f t="shared" si="31"/>
        <v>11588971674.17</v>
      </c>
      <c r="H17" s="312">
        <f t="shared" si="3"/>
        <v>0.95974739342556725</v>
      </c>
      <c r="I17" s="317">
        <f t="shared" ref="I17:L17" si="32">+I18+I19</f>
        <v>13673438495</v>
      </c>
      <c r="J17" s="317">
        <f t="shared" si="32"/>
        <v>13389634811.208336</v>
      </c>
      <c r="K17" s="89">
        <f t="shared" si="5"/>
        <v>0.15537730073598605</v>
      </c>
      <c r="L17" s="85">
        <f t="shared" si="32"/>
        <v>1338963481.1208334</v>
      </c>
      <c r="M17" s="97"/>
      <c r="N17" s="85">
        <f t="shared" ref="N17" si="33">+N18+N19</f>
        <v>2677926962.2416668</v>
      </c>
      <c r="O17" s="97"/>
      <c r="P17" s="85">
        <f t="shared" ref="P17" si="34">+P18+P19</f>
        <v>669481740.5604167</v>
      </c>
      <c r="Q17" s="97"/>
      <c r="R17" s="85">
        <f t="shared" ref="R17" si="35">+R18+R19</f>
        <v>8703262627.2854176</v>
      </c>
      <c r="S17" s="97"/>
      <c r="T17" s="316">
        <f t="shared" ref="T17" si="36">+T18+T19</f>
        <v>13673438495</v>
      </c>
      <c r="U17" s="339">
        <f t="shared" si="0"/>
        <v>15.537730073598595</v>
      </c>
    </row>
    <row r="18" spans="1:153" s="64" customFormat="1" x14ac:dyDescent="0.25">
      <c r="A18" s="74" t="s">
        <v>29</v>
      </c>
      <c r="B18" s="222"/>
      <c r="C18" s="63" t="s">
        <v>30</v>
      </c>
      <c r="D18" s="314">
        <v>11224669097</v>
      </c>
      <c r="E18" s="314">
        <v>10286531225</v>
      </c>
      <c r="F18" s="311">
        <f t="shared" si="2"/>
        <v>0.91642177921746182</v>
      </c>
      <c r="G18" s="314">
        <f>+(E18/10)*11</f>
        <v>11315184347.5</v>
      </c>
      <c r="H18" s="312">
        <f t="shared" si="3"/>
        <v>1.008063957139208</v>
      </c>
      <c r="I18" s="315">
        <f>+'[2]COMPARATIVO RECAUDOS'!$F$14</f>
        <v>13673438495</v>
      </c>
      <c r="J18" s="315">
        <f>+G18*1.1</f>
        <v>12446702782.250002</v>
      </c>
      <c r="K18" s="89">
        <f t="shared" si="5"/>
        <v>0.10000000000000017</v>
      </c>
      <c r="L18" s="80">
        <f>+J18*M18</f>
        <v>1244670278.2250001</v>
      </c>
      <c r="M18" s="97">
        <v>0.1</v>
      </c>
      <c r="N18" s="80">
        <f>+J18*O18</f>
        <v>2489340556.4500003</v>
      </c>
      <c r="O18" s="97">
        <v>0.2</v>
      </c>
      <c r="P18" s="80">
        <f>+J18*Q18</f>
        <v>622335139.11250007</v>
      </c>
      <c r="Q18" s="97">
        <v>0.05</v>
      </c>
      <c r="R18" s="80">
        <f>+J18*S18</f>
        <v>8090356808.4625006</v>
      </c>
      <c r="S18" s="97">
        <f>100%-M18-O18-Q18</f>
        <v>0.64999999999999991</v>
      </c>
      <c r="T18" s="314">
        <f>13673438495-1589818840</f>
        <v>12083619655</v>
      </c>
      <c r="U18" s="340">
        <f t="shared" si="0"/>
        <v>10.000000000000014</v>
      </c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/>
      <c r="CD18" s="62"/>
      <c r="CE18" s="62"/>
      <c r="CF18" s="62"/>
      <c r="CG18" s="62"/>
      <c r="CH18" s="62"/>
      <c r="CI18" s="62"/>
      <c r="CJ18" s="62"/>
      <c r="CK18" s="62"/>
      <c r="CL18" s="62"/>
      <c r="CM18" s="62"/>
      <c r="CN18" s="62"/>
      <c r="CO18" s="62"/>
      <c r="CP18" s="62"/>
      <c r="CQ18" s="62"/>
      <c r="CR18" s="62"/>
      <c r="CS18" s="62"/>
      <c r="CT18" s="62"/>
      <c r="CU18" s="62"/>
      <c r="CV18" s="62"/>
      <c r="CW18" s="62"/>
      <c r="CX18" s="62"/>
      <c r="CY18" s="62"/>
      <c r="CZ18" s="62"/>
      <c r="DA18" s="62"/>
      <c r="DB18" s="62"/>
      <c r="DC18" s="62"/>
      <c r="DD18" s="62"/>
      <c r="DE18" s="62"/>
      <c r="DF18" s="62"/>
      <c r="DG18" s="62"/>
      <c r="DH18" s="62"/>
      <c r="DI18" s="62"/>
      <c r="DJ18" s="62"/>
      <c r="DK18" s="62"/>
      <c r="DL18" s="62"/>
      <c r="DM18" s="62"/>
      <c r="DN18" s="62"/>
      <c r="DO18" s="62"/>
      <c r="DP18" s="62"/>
      <c r="DQ18" s="62"/>
      <c r="DR18" s="62"/>
      <c r="DS18" s="62"/>
      <c r="DT18" s="62"/>
      <c r="DU18" s="62"/>
      <c r="DV18" s="62"/>
      <c r="DW18" s="62"/>
      <c r="DX18" s="62"/>
      <c r="DY18" s="62"/>
      <c r="DZ18" s="62"/>
      <c r="EA18" s="62"/>
      <c r="EB18" s="62"/>
      <c r="EC18" s="62"/>
      <c r="ED18" s="62"/>
      <c r="EE18" s="62"/>
      <c r="EF18" s="62"/>
      <c r="EG18" s="62"/>
      <c r="EH18" s="62"/>
      <c r="EI18" s="62"/>
      <c r="EJ18" s="62"/>
      <c r="EK18" s="62"/>
      <c r="EL18" s="62"/>
      <c r="EM18" s="62"/>
      <c r="EN18" s="62"/>
      <c r="EO18" s="62"/>
      <c r="EP18" s="62"/>
      <c r="EQ18" s="62"/>
      <c r="ER18" s="62"/>
      <c r="ES18" s="62"/>
      <c r="ET18" s="62"/>
      <c r="EU18" s="62"/>
      <c r="EV18" s="62"/>
      <c r="EW18" s="62"/>
    </row>
    <row r="19" spans="1:153" x14ac:dyDescent="0.25">
      <c r="A19" s="75" t="s">
        <v>31</v>
      </c>
      <c r="B19" s="227"/>
      <c r="C19" s="66" t="s">
        <v>32</v>
      </c>
      <c r="D19" s="316">
        <v>850353720</v>
      </c>
      <c r="E19" s="316">
        <v>273787326.67000002</v>
      </c>
      <c r="F19" s="311">
        <f t="shared" si="2"/>
        <v>0.32196875280324522</v>
      </c>
      <c r="G19" s="316">
        <f>+E19</f>
        <v>273787326.67000002</v>
      </c>
      <c r="H19" s="312">
        <f t="shared" si="3"/>
        <v>0.32196875280324522</v>
      </c>
      <c r="I19" s="317"/>
      <c r="J19" s="317">
        <f>+G18/12</f>
        <v>942932028.95833337</v>
      </c>
      <c r="K19" s="89">
        <f t="shared" si="5"/>
        <v>2.4440309579955963</v>
      </c>
      <c r="L19" s="81">
        <f>+J19*M19</f>
        <v>94293202.895833343</v>
      </c>
      <c r="M19" s="97">
        <v>0.1</v>
      </c>
      <c r="N19" s="81">
        <f>+J19*O19</f>
        <v>188586405.79166669</v>
      </c>
      <c r="O19" s="97">
        <v>0.2</v>
      </c>
      <c r="P19" s="81">
        <f>+J19*Q19</f>
        <v>47146601.447916672</v>
      </c>
      <c r="Q19" s="97">
        <v>0.05</v>
      </c>
      <c r="R19" s="81">
        <f>+J19*S19</f>
        <v>612905818.82291663</v>
      </c>
      <c r="S19" s="97">
        <f>100%-M19-O19-Q19</f>
        <v>0.64999999999999991</v>
      </c>
      <c r="T19" s="316">
        <f>476945652+1112873188</f>
        <v>1589818840</v>
      </c>
      <c r="U19" s="339">
        <f t="shared" si="0"/>
        <v>244.40309579955959</v>
      </c>
    </row>
    <row r="20" spans="1:153" s="64" customFormat="1" x14ac:dyDescent="0.25">
      <c r="A20" s="74" t="s">
        <v>34</v>
      </c>
      <c r="B20" s="222">
        <v>42</v>
      </c>
      <c r="C20" s="63" t="s">
        <v>35</v>
      </c>
      <c r="D20" s="314">
        <f>+D21+D22</f>
        <v>2227145762</v>
      </c>
      <c r="E20" s="314">
        <f t="shared" ref="E20:G20" si="37">+E21+E22</f>
        <v>2737300552</v>
      </c>
      <c r="F20" s="311">
        <f t="shared" si="2"/>
        <v>1.229062147033374</v>
      </c>
      <c r="G20" s="314">
        <f t="shared" si="37"/>
        <v>3224200758</v>
      </c>
      <c r="H20" s="312">
        <f t="shared" si="3"/>
        <v>1.4476828652223617</v>
      </c>
      <c r="I20" s="315">
        <f t="shared" ref="I20:R20" si="38">+I21+I22</f>
        <v>4172895313</v>
      </c>
      <c r="J20" s="315">
        <f t="shared" si="38"/>
        <v>3456991462.6000004</v>
      </c>
      <c r="K20" s="89">
        <f t="shared" si="5"/>
        <v>7.2201057586873868E-2</v>
      </c>
      <c r="L20" s="84">
        <f t="shared" si="38"/>
        <v>345699146.26000005</v>
      </c>
      <c r="M20" s="97"/>
      <c r="N20" s="84">
        <f t="shared" si="38"/>
        <v>691398292.5200001</v>
      </c>
      <c r="O20" s="97"/>
      <c r="P20" s="84">
        <f t="shared" si="38"/>
        <v>345699146.26000005</v>
      </c>
      <c r="Q20" s="97"/>
      <c r="R20" s="84">
        <f t="shared" si="38"/>
        <v>2074194877.5600002</v>
      </c>
      <c r="S20" s="97"/>
      <c r="T20" s="314">
        <f t="shared" ref="T20" si="39">+T21+T22</f>
        <v>4172895313</v>
      </c>
      <c r="U20" s="340">
        <f t="shared" si="0"/>
        <v>7.2201057586873958</v>
      </c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/>
      <c r="CG20" s="62"/>
      <c r="CH20" s="62"/>
      <c r="CI20" s="62"/>
      <c r="CJ20" s="62"/>
      <c r="CK20" s="62"/>
      <c r="CL20" s="62"/>
      <c r="CM20" s="62"/>
      <c r="CN20" s="62"/>
      <c r="CO20" s="62"/>
      <c r="CP20" s="62"/>
      <c r="CQ20" s="62"/>
      <c r="CR20" s="62"/>
      <c r="CS20" s="62"/>
      <c r="CT20" s="62"/>
      <c r="CU20" s="62"/>
      <c r="CV20" s="62"/>
      <c r="CW20" s="62"/>
      <c r="CX20" s="62"/>
      <c r="CY20" s="62"/>
      <c r="CZ20" s="62"/>
      <c r="DA20" s="62"/>
      <c r="DB20" s="62"/>
      <c r="DC20" s="62"/>
      <c r="DD20" s="62"/>
      <c r="DE20" s="62"/>
      <c r="DF20" s="62"/>
      <c r="DG20" s="62"/>
      <c r="DH20" s="62"/>
      <c r="DI20" s="62"/>
      <c r="DJ20" s="62"/>
      <c r="DK20" s="62"/>
      <c r="DL20" s="62"/>
      <c r="DM20" s="62"/>
      <c r="DN20" s="62"/>
      <c r="DO20" s="62"/>
      <c r="DP20" s="62"/>
      <c r="DQ20" s="62"/>
      <c r="DR20" s="62"/>
      <c r="DS20" s="62"/>
      <c r="DT20" s="62"/>
      <c r="DU20" s="62"/>
      <c r="DV20" s="62"/>
      <c r="DW20" s="62"/>
      <c r="DX20" s="62"/>
      <c r="DY20" s="62"/>
      <c r="DZ20" s="62"/>
      <c r="EA20" s="62"/>
      <c r="EB20" s="62"/>
      <c r="EC20" s="62"/>
      <c r="ED20" s="62"/>
      <c r="EE20" s="62"/>
      <c r="EF20" s="62"/>
      <c r="EG20" s="62"/>
      <c r="EH20" s="62"/>
      <c r="EI20" s="62"/>
      <c r="EJ20" s="62"/>
      <c r="EK20" s="62"/>
      <c r="EL20" s="62"/>
      <c r="EM20" s="62"/>
      <c r="EN20" s="62"/>
      <c r="EO20" s="62"/>
      <c r="EP20" s="62"/>
      <c r="EQ20" s="62"/>
      <c r="ER20" s="62"/>
      <c r="ES20" s="62"/>
      <c r="ET20" s="62"/>
      <c r="EU20" s="62"/>
      <c r="EV20" s="62"/>
      <c r="EW20" s="62"/>
    </row>
    <row r="21" spans="1:153" x14ac:dyDescent="0.25">
      <c r="A21" s="75" t="s">
        <v>36</v>
      </c>
      <c r="B21" s="227"/>
      <c r="C21" s="66" t="s">
        <v>37</v>
      </c>
      <c r="D21" s="316">
        <v>2070304512</v>
      </c>
      <c r="E21" s="316">
        <v>2434501030</v>
      </c>
      <c r="F21" s="311">
        <f t="shared" si="2"/>
        <v>1.1759144685668346</v>
      </c>
      <c r="G21" s="316">
        <f>+(E21/10)*12</f>
        <v>2921401236</v>
      </c>
      <c r="H21" s="312">
        <f t="shared" si="3"/>
        <v>1.4110973622802017</v>
      </c>
      <c r="I21" s="317">
        <f>+'[2]COMPARATIVO RECAUDOS'!$F$15</f>
        <v>4172895313</v>
      </c>
      <c r="J21" s="317">
        <f>+G21*1.1</f>
        <v>3213541359.6000004</v>
      </c>
      <c r="K21" s="89">
        <f t="shared" si="5"/>
        <v>0.10000000000000013</v>
      </c>
      <c r="L21" s="81">
        <f>+J21*M21</f>
        <v>321354135.96000004</v>
      </c>
      <c r="M21" s="97">
        <v>0.1</v>
      </c>
      <c r="N21" s="81">
        <f>+J21*O21</f>
        <v>642708271.92000008</v>
      </c>
      <c r="O21" s="97">
        <v>0.2</v>
      </c>
      <c r="P21" s="81">
        <f>+J21*Q21</f>
        <v>321354135.96000004</v>
      </c>
      <c r="Q21" s="97">
        <v>0.1</v>
      </c>
      <c r="R21" s="81">
        <f>+J21*S21</f>
        <v>1928124815.7600002</v>
      </c>
      <c r="S21" s="97">
        <v>0.6</v>
      </c>
      <c r="T21" s="316">
        <f>4172895313-1447142270</f>
        <v>2725753043</v>
      </c>
      <c r="U21" s="339">
        <f t="shared" si="0"/>
        <v>10.000000000000014</v>
      </c>
    </row>
    <row r="22" spans="1:153" s="64" customFormat="1" x14ac:dyDescent="0.25">
      <c r="A22" s="74" t="s">
        <v>38</v>
      </c>
      <c r="B22" s="222"/>
      <c r="C22" s="63" t="s">
        <v>39</v>
      </c>
      <c r="D22" s="314">
        <v>156841250</v>
      </c>
      <c r="E22" s="314">
        <v>302799522</v>
      </c>
      <c r="F22" s="311">
        <f t="shared" si="2"/>
        <v>1.9306115068580492</v>
      </c>
      <c r="G22" s="314">
        <f>+E22</f>
        <v>302799522</v>
      </c>
      <c r="H22" s="312">
        <f t="shared" si="3"/>
        <v>1.9306115068580492</v>
      </c>
      <c r="I22" s="315"/>
      <c r="J22" s="315">
        <f>+G21/12</f>
        <v>243450103</v>
      </c>
      <c r="K22" s="89">
        <f t="shared" si="5"/>
        <v>-0.19600235366289648</v>
      </c>
      <c r="L22" s="80">
        <f>+J22*M22</f>
        <v>24345010.300000001</v>
      </c>
      <c r="M22" s="97">
        <v>0.1</v>
      </c>
      <c r="N22" s="80">
        <f>+J22*O22</f>
        <v>48690020.600000001</v>
      </c>
      <c r="O22" s="97">
        <v>0.2</v>
      </c>
      <c r="P22" s="80">
        <f>+J22*Q22</f>
        <v>24345010.300000001</v>
      </c>
      <c r="Q22" s="97">
        <v>0.1</v>
      </c>
      <c r="R22" s="80">
        <f>+S22*J22</f>
        <v>146070061.79999998</v>
      </c>
      <c r="S22" s="97">
        <v>0.6</v>
      </c>
      <c r="T22" s="314">
        <v>1447142270</v>
      </c>
      <c r="U22" s="340">
        <f t="shared" si="0"/>
        <v>-19.600235366289638</v>
      </c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/>
      <c r="CG22" s="62"/>
      <c r="CH22" s="62"/>
      <c r="CI22" s="62"/>
      <c r="CJ22" s="62"/>
      <c r="CK22" s="62"/>
      <c r="CL22" s="62"/>
      <c r="CM22" s="62"/>
      <c r="CN22" s="62"/>
      <c r="CO22" s="62"/>
      <c r="CP22" s="62"/>
      <c r="CQ22" s="62"/>
      <c r="CR22" s="62"/>
      <c r="CS22" s="62"/>
      <c r="CT22" s="62"/>
      <c r="CU22" s="62"/>
      <c r="CV22" s="62"/>
      <c r="CW22" s="62"/>
      <c r="CX22" s="62"/>
      <c r="CY22" s="62"/>
      <c r="CZ22" s="62"/>
      <c r="DA22" s="62"/>
      <c r="DB22" s="62"/>
      <c r="DC22" s="62"/>
      <c r="DD22" s="62"/>
      <c r="DE22" s="62"/>
      <c r="DF22" s="62"/>
      <c r="DG22" s="62"/>
      <c r="DH22" s="62"/>
      <c r="DI22" s="62"/>
      <c r="DJ22" s="62"/>
      <c r="DK22" s="62"/>
      <c r="DL22" s="62"/>
      <c r="DM22" s="62"/>
      <c r="DN22" s="62"/>
      <c r="DO22" s="62"/>
      <c r="DP22" s="62"/>
      <c r="DQ22" s="62"/>
      <c r="DR22" s="62"/>
      <c r="DS22" s="62"/>
      <c r="DT22" s="62"/>
      <c r="DU22" s="62"/>
      <c r="DV22" s="62"/>
      <c r="DW22" s="62"/>
      <c r="DX22" s="62"/>
      <c r="DY22" s="62"/>
      <c r="DZ22" s="62"/>
      <c r="EA22" s="62"/>
      <c r="EB22" s="62"/>
      <c r="EC22" s="62"/>
      <c r="ED22" s="62"/>
      <c r="EE22" s="62"/>
      <c r="EF22" s="62"/>
      <c r="EG22" s="62"/>
      <c r="EH22" s="62"/>
      <c r="EI22" s="62"/>
      <c r="EJ22" s="62"/>
      <c r="EK22" s="62"/>
      <c r="EL22" s="62"/>
      <c r="EM22" s="62"/>
      <c r="EN22" s="62"/>
      <c r="EO22" s="62"/>
      <c r="EP22" s="62"/>
      <c r="EQ22" s="62"/>
      <c r="ER22" s="62"/>
      <c r="ES22" s="62"/>
      <c r="ET22" s="62"/>
      <c r="EU22" s="62"/>
      <c r="EV22" s="62"/>
      <c r="EW22" s="62"/>
    </row>
    <row r="23" spans="1:153" x14ac:dyDescent="0.25">
      <c r="A23" s="75" t="s">
        <v>40</v>
      </c>
      <c r="B23" s="227"/>
      <c r="C23" s="66" t="s">
        <v>41</v>
      </c>
      <c r="D23" s="316">
        <f>+D24</f>
        <v>122671281</v>
      </c>
      <c r="E23" s="316">
        <f t="shared" ref="E23:T23" si="40">+E24</f>
        <v>27276470</v>
      </c>
      <c r="F23" s="311">
        <f t="shared" si="2"/>
        <v>0.22235416291120333</v>
      </c>
      <c r="G23" s="316">
        <f t="shared" si="40"/>
        <v>36368626.666666672</v>
      </c>
      <c r="H23" s="312">
        <f t="shared" si="3"/>
        <v>0.29647221721493777</v>
      </c>
      <c r="I23" s="317">
        <f t="shared" si="40"/>
        <v>45380290</v>
      </c>
      <c r="J23" s="317">
        <f t="shared" si="40"/>
        <v>130000000</v>
      </c>
      <c r="K23" s="89">
        <f t="shared" si="5"/>
        <v>2.5745094581520256</v>
      </c>
      <c r="L23" s="85">
        <f t="shared" si="40"/>
        <v>13000000</v>
      </c>
      <c r="M23" s="97"/>
      <c r="N23" s="85">
        <f t="shared" si="40"/>
        <v>26000000</v>
      </c>
      <c r="O23" s="97"/>
      <c r="P23" s="85">
        <f t="shared" si="40"/>
        <v>13000000</v>
      </c>
      <c r="Q23" s="97"/>
      <c r="R23" s="85">
        <f t="shared" si="40"/>
        <v>78000000</v>
      </c>
      <c r="S23" s="97"/>
      <c r="T23" s="316">
        <f t="shared" si="40"/>
        <v>130000000</v>
      </c>
      <c r="U23" s="339">
        <f t="shared" si="0"/>
        <v>257.45094581520254</v>
      </c>
    </row>
    <row r="24" spans="1:153" s="64" customFormat="1" x14ac:dyDescent="0.25">
      <c r="A24" s="74" t="s">
        <v>42</v>
      </c>
      <c r="B24" s="222">
        <v>43</v>
      </c>
      <c r="C24" s="63" t="s">
        <v>43</v>
      </c>
      <c r="D24" s="314">
        <f>+D25+D26</f>
        <v>122671281</v>
      </c>
      <c r="E24" s="314">
        <f t="shared" ref="E24:G24" si="41">+E25+E26</f>
        <v>27276470</v>
      </c>
      <c r="F24" s="311">
        <f t="shared" si="2"/>
        <v>0.22235416291120333</v>
      </c>
      <c r="G24" s="314">
        <f t="shared" si="41"/>
        <v>36368626.666666672</v>
      </c>
      <c r="H24" s="312">
        <f t="shared" si="3"/>
        <v>0.29647221721493777</v>
      </c>
      <c r="I24" s="315">
        <f t="shared" ref="I24:L24" si="42">+I25+I26</f>
        <v>45380290</v>
      </c>
      <c r="J24" s="315">
        <f t="shared" si="42"/>
        <v>130000000</v>
      </c>
      <c r="K24" s="89">
        <f t="shared" si="5"/>
        <v>2.5745094581520256</v>
      </c>
      <c r="L24" s="84">
        <f t="shared" si="42"/>
        <v>13000000</v>
      </c>
      <c r="M24" s="97"/>
      <c r="N24" s="84">
        <f t="shared" ref="N24" si="43">+N25+N26</f>
        <v>26000000</v>
      </c>
      <c r="O24" s="97"/>
      <c r="P24" s="84">
        <f t="shared" ref="P24" si="44">+P25+P26</f>
        <v>13000000</v>
      </c>
      <c r="Q24" s="97"/>
      <c r="R24" s="84">
        <f t="shared" ref="R24" si="45">+R25+R26</f>
        <v>78000000</v>
      </c>
      <c r="S24" s="97"/>
      <c r="T24" s="314">
        <f t="shared" ref="T24" si="46">+T25+T26</f>
        <v>130000000</v>
      </c>
      <c r="U24" s="340">
        <f t="shared" si="0"/>
        <v>257.45094581520254</v>
      </c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62"/>
      <c r="CH24" s="62"/>
      <c r="CI24" s="62"/>
      <c r="CJ24" s="62"/>
      <c r="CK24" s="62"/>
      <c r="CL24" s="62"/>
      <c r="CM24" s="62"/>
      <c r="CN24" s="62"/>
      <c r="CO24" s="62"/>
      <c r="CP24" s="62"/>
      <c r="CQ24" s="62"/>
      <c r="CR24" s="62"/>
      <c r="CS24" s="62"/>
      <c r="CT24" s="62"/>
      <c r="CU24" s="62"/>
      <c r="CV24" s="62"/>
      <c r="CW24" s="62"/>
      <c r="CX24" s="62"/>
      <c r="CY24" s="62"/>
      <c r="CZ24" s="62"/>
      <c r="DA24" s="62"/>
      <c r="DB24" s="62"/>
      <c r="DC24" s="62"/>
      <c r="DD24" s="62"/>
      <c r="DE24" s="62"/>
      <c r="DF24" s="62"/>
      <c r="DG24" s="62"/>
      <c r="DH24" s="62"/>
      <c r="DI24" s="62"/>
      <c r="DJ24" s="62"/>
      <c r="DK24" s="62"/>
      <c r="DL24" s="62"/>
      <c r="DM24" s="62"/>
      <c r="DN24" s="62"/>
      <c r="DO24" s="62"/>
      <c r="DP24" s="62"/>
      <c r="DQ24" s="62"/>
      <c r="DR24" s="62"/>
      <c r="DS24" s="62"/>
      <c r="DT24" s="62"/>
      <c r="DU24" s="62"/>
      <c r="DV24" s="62"/>
      <c r="DW24" s="62"/>
      <c r="DX24" s="62"/>
      <c r="DY24" s="62"/>
      <c r="DZ24" s="62"/>
      <c r="EA24" s="62"/>
      <c r="EB24" s="62"/>
      <c r="EC24" s="62"/>
      <c r="ED24" s="62"/>
      <c r="EE24" s="62"/>
      <c r="EF24" s="62"/>
      <c r="EG24" s="62"/>
      <c r="EH24" s="62"/>
      <c r="EI24" s="62"/>
      <c r="EJ24" s="62"/>
      <c r="EK24" s="62"/>
      <c r="EL24" s="62"/>
      <c r="EM24" s="62"/>
      <c r="EN24" s="62"/>
      <c r="EO24" s="62"/>
      <c r="EP24" s="62"/>
      <c r="EQ24" s="62"/>
      <c r="ER24" s="62"/>
      <c r="ES24" s="62"/>
      <c r="ET24" s="62"/>
      <c r="EU24" s="62"/>
      <c r="EV24" s="62"/>
      <c r="EW24" s="62"/>
    </row>
    <row r="25" spans="1:153" x14ac:dyDescent="0.25">
      <c r="A25" s="75" t="s">
        <v>44</v>
      </c>
      <c r="B25" s="227"/>
      <c r="C25" s="66" t="s">
        <v>30</v>
      </c>
      <c r="D25" s="316">
        <v>122671281</v>
      </c>
      <c r="E25" s="316">
        <v>27276470</v>
      </c>
      <c r="F25" s="311">
        <f t="shared" si="2"/>
        <v>0.22235416291120333</v>
      </c>
      <c r="G25" s="316">
        <f>+(E25/9)*12</f>
        <v>36368626.666666672</v>
      </c>
      <c r="H25" s="312">
        <f t="shared" si="3"/>
        <v>0.29647221721493777</v>
      </c>
      <c r="I25" s="317">
        <f>+'[2]COMPARATIVO RECAUDOS'!$F$17</f>
        <v>45380290</v>
      </c>
      <c r="J25" s="317">
        <v>120000000</v>
      </c>
      <c r="K25" s="89">
        <f t="shared" si="5"/>
        <v>2.2995471921403317</v>
      </c>
      <c r="L25" s="81">
        <f>+J25*M25</f>
        <v>12000000</v>
      </c>
      <c r="M25" s="97">
        <v>0.1</v>
      </c>
      <c r="N25" s="81">
        <f>+J25*O25</f>
        <v>24000000</v>
      </c>
      <c r="O25" s="97">
        <v>0.2</v>
      </c>
      <c r="P25" s="81">
        <f>+Q25*J25</f>
        <v>12000000</v>
      </c>
      <c r="Q25" s="97">
        <v>0.1</v>
      </c>
      <c r="R25" s="81">
        <f>+S25*J25</f>
        <v>72000000</v>
      </c>
      <c r="S25" s="97">
        <v>0.6</v>
      </c>
      <c r="T25" s="316">
        <f>+J25</f>
        <v>120000000</v>
      </c>
      <c r="U25" s="339">
        <f t="shared" si="0"/>
        <v>229.95471921403316</v>
      </c>
    </row>
    <row r="26" spans="1:153" s="64" customFormat="1" x14ac:dyDescent="0.25">
      <c r="A26" s="74" t="s">
        <v>45</v>
      </c>
      <c r="B26" s="222"/>
      <c r="C26" s="63" t="s">
        <v>32</v>
      </c>
      <c r="D26" s="314">
        <v>0</v>
      </c>
      <c r="E26" s="314">
        <v>0</v>
      </c>
      <c r="F26" s="311">
        <v>0</v>
      </c>
      <c r="G26" s="314">
        <f>+E26</f>
        <v>0</v>
      </c>
      <c r="H26" s="312">
        <v>0</v>
      </c>
      <c r="I26" s="315"/>
      <c r="J26" s="315">
        <v>10000000</v>
      </c>
      <c r="K26" s="89">
        <v>0</v>
      </c>
      <c r="L26" s="80">
        <f>+J26*M26</f>
        <v>1000000</v>
      </c>
      <c r="M26" s="97">
        <v>0.1</v>
      </c>
      <c r="N26" s="80">
        <f>+O26*J26</f>
        <v>2000000</v>
      </c>
      <c r="O26" s="97">
        <v>0.2</v>
      </c>
      <c r="P26" s="80">
        <f>+Q26*J26</f>
        <v>1000000</v>
      </c>
      <c r="Q26" s="97">
        <v>0.1</v>
      </c>
      <c r="R26" s="80">
        <f>+S26*J26</f>
        <v>6000000</v>
      </c>
      <c r="S26" s="97">
        <v>0.6</v>
      </c>
      <c r="T26" s="314">
        <f>+J26</f>
        <v>10000000</v>
      </c>
      <c r="U26" s="340">
        <v>0</v>
      </c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/>
      <c r="CG26" s="62"/>
      <c r="CH26" s="62"/>
      <c r="CI26" s="62"/>
      <c r="CJ26" s="62"/>
      <c r="CK26" s="62"/>
      <c r="CL26" s="62"/>
      <c r="CM26" s="62"/>
      <c r="CN26" s="62"/>
      <c r="CO26" s="62"/>
      <c r="CP26" s="62"/>
      <c r="CQ26" s="62"/>
      <c r="CR26" s="62"/>
      <c r="CS26" s="62"/>
      <c r="CT26" s="62"/>
      <c r="CU26" s="62"/>
      <c r="CV26" s="62"/>
      <c r="CW26" s="62"/>
      <c r="CX26" s="62"/>
      <c r="CY26" s="62"/>
      <c r="CZ26" s="62"/>
      <c r="DA26" s="62"/>
      <c r="DB26" s="62"/>
      <c r="DC26" s="62"/>
      <c r="DD26" s="62"/>
      <c r="DE26" s="62"/>
      <c r="DF26" s="62"/>
      <c r="DG26" s="62"/>
      <c r="DH26" s="62"/>
      <c r="DI26" s="62"/>
      <c r="DJ26" s="62"/>
      <c r="DK26" s="62"/>
      <c r="DL26" s="62"/>
      <c r="DM26" s="62"/>
      <c r="DN26" s="62"/>
      <c r="DO26" s="62"/>
      <c r="DP26" s="62"/>
      <c r="DQ26" s="62"/>
      <c r="DR26" s="62"/>
      <c r="DS26" s="62"/>
      <c r="DT26" s="62"/>
      <c r="DU26" s="62"/>
      <c r="DV26" s="62"/>
      <c r="DW26" s="62"/>
      <c r="DX26" s="62"/>
      <c r="DY26" s="62"/>
      <c r="DZ26" s="62"/>
      <c r="EA26" s="62"/>
      <c r="EB26" s="62"/>
      <c r="EC26" s="62"/>
      <c r="ED26" s="62"/>
      <c r="EE26" s="62"/>
      <c r="EF26" s="62"/>
      <c r="EG26" s="62"/>
      <c r="EH26" s="62"/>
      <c r="EI26" s="62"/>
      <c r="EJ26" s="62"/>
      <c r="EK26" s="62"/>
      <c r="EL26" s="62"/>
      <c r="EM26" s="62"/>
      <c r="EN26" s="62"/>
      <c r="EO26" s="62"/>
      <c r="EP26" s="62"/>
      <c r="EQ26" s="62"/>
      <c r="ER26" s="62"/>
      <c r="ES26" s="62"/>
      <c r="ET26" s="62"/>
      <c r="EU26" s="62"/>
      <c r="EV26" s="62"/>
      <c r="EW26" s="62"/>
    </row>
    <row r="27" spans="1:153" x14ac:dyDescent="0.25">
      <c r="A27" s="75" t="s">
        <v>46</v>
      </c>
      <c r="B27" s="227"/>
      <c r="C27" s="66" t="s">
        <v>47</v>
      </c>
      <c r="D27" s="316">
        <f>+D28+D30+D33+D36+D39+D42</f>
        <v>16867132558</v>
      </c>
      <c r="E27" s="316">
        <f t="shared" ref="E27:G27" si="47">+E28+E30+E33+E36+E39+E42</f>
        <v>15515622634.6</v>
      </c>
      <c r="F27" s="311">
        <f t="shared" si="2"/>
        <v>0.91987316642276673</v>
      </c>
      <c r="G27" s="316">
        <f t="shared" si="47"/>
        <v>18374263721.685997</v>
      </c>
      <c r="H27" s="312">
        <f t="shared" si="3"/>
        <v>1.0893531344763856</v>
      </c>
      <c r="I27" s="317">
        <f>+I28+I30+I33+I36+I39+I42</f>
        <v>17494582340</v>
      </c>
      <c r="J27" s="317">
        <f>+J28+J30+J33+J36+J39+J42</f>
        <v>21836413817.5588</v>
      </c>
      <c r="K27" s="89">
        <f t="shared" si="5"/>
        <v>0.18842388181174535</v>
      </c>
      <c r="L27" s="85">
        <f t="shared" ref="L27" si="48">+L28+L30+L33+L36+L39+L42</f>
        <v>9477065690.5489197</v>
      </c>
      <c r="M27" s="97"/>
      <c r="N27" s="85">
        <f t="shared" ref="N27" si="49">+N28+N30+N33+N36+N39+N42</f>
        <v>2183641381.7558799</v>
      </c>
      <c r="O27" s="97"/>
      <c r="P27" s="85">
        <f t="shared" ref="P27" si="50">+P28+P30+P33+P36+P39+P42</f>
        <v>1130634082.806</v>
      </c>
      <c r="Q27" s="97"/>
      <c r="R27" s="85">
        <f t="shared" ref="R27" si="51">+R28+R30+R33+R36+R39+R42</f>
        <v>9045072662.448</v>
      </c>
      <c r="S27" s="97"/>
      <c r="T27" s="316">
        <f t="shared" ref="T27" si="52">+T28+T30+T33+T36+T39+T42</f>
        <v>21946958454.220001</v>
      </c>
      <c r="U27" s="339">
        <f t="shared" ref="U27:U69" si="53">+J27/G27*100-100</f>
        <v>18.842388181174542</v>
      </c>
    </row>
    <row r="28" spans="1:153" s="64" customFormat="1" x14ac:dyDescent="0.25">
      <c r="A28" s="74" t="s">
        <v>49</v>
      </c>
      <c r="B28" s="222">
        <v>21</v>
      </c>
      <c r="C28" s="63" t="s">
        <v>50</v>
      </c>
      <c r="D28" s="314">
        <f>+D29</f>
        <v>78564081</v>
      </c>
      <c r="E28" s="314">
        <f t="shared" ref="E28:T28" si="54">+E29</f>
        <v>133609071.59</v>
      </c>
      <c r="F28" s="311">
        <f t="shared" si="2"/>
        <v>1.7006381273650997</v>
      </c>
      <c r="G28" s="314">
        <f t="shared" si="54"/>
        <v>160330885.90799999</v>
      </c>
      <c r="H28" s="312">
        <f t="shared" si="3"/>
        <v>2.0407657528381193</v>
      </c>
      <c r="I28" s="315">
        <f t="shared" si="54"/>
        <v>240496823</v>
      </c>
      <c r="J28" s="315">
        <f t="shared" si="54"/>
        <v>176363974.49880001</v>
      </c>
      <c r="K28" s="89">
        <f t="shared" si="5"/>
        <v>0.10000000000000012</v>
      </c>
      <c r="L28" s="84">
        <f t="shared" si="54"/>
        <v>158727577.04892001</v>
      </c>
      <c r="M28" s="97"/>
      <c r="N28" s="84">
        <f t="shared" si="54"/>
        <v>17636397.44988</v>
      </c>
      <c r="O28" s="97"/>
      <c r="P28" s="84">
        <f t="shared" si="54"/>
        <v>0</v>
      </c>
      <c r="Q28" s="97"/>
      <c r="R28" s="84">
        <f t="shared" si="54"/>
        <v>0</v>
      </c>
      <c r="S28" s="97"/>
      <c r="T28" s="314">
        <f t="shared" si="54"/>
        <v>240496823</v>
      </c>
      <c r="U28" s="340">
        <f t="shared" si="53"/>
        <v>10.000000000000014</v>
      </c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/>
      <c r="CG28" s="62"/>
      <c r="CH28" s="62"/>
      <c r="CI28" s="62"/>
      <c r="CJ28" s="62"/>
      <c r="CK28" s="62"/>
      <c r="CL28" s="62"/>
      <c r="CM28" s="62"/>
      <c r="CN28" s="62"/>
      <c r="CO28" s="62"/>
      <c r="CP28" s="62"/>
      <c r="CQ28" s="62"/>
      <c r="CR28" s="62"/>
      <c r="CS28" s="62"/>
      <c r="CT28" s="62"/>
      <c r="CU28" s="62"/>
      <c r="CV28" s="62"/>
      <c r="CW28" s="62"/>
      <c r="CX28" s="62"/>
      <c r="CY28" s="62"/>
      <c r="CZ28" s="62"/>
      <c r="DA28" s="62"/>
      <c r="DB28" s="62"/>
      <c r="DC28" s="62"/>
      <c r="DD28" s="62"/>
      <c r="DE28" s="62"/>
      <c r="DF28" s="62"/>
      <c r="DG28" s="62"/>
      <c r="DH28" s="62"/>
      <c r="DI28" s="62"/>
      <c r="DJ28" s="62"/>
      <c r="DK28" s="62"/>
      <c r="DL28" s="62"/>
      <c r="DM28" s="62"/>
      <c r="DN28" s="62"/>
      <c r="DO28" s="62"/>
      <c r="DP28" s="62"/>
      <c r="DQ28" s="62"/>
      <c r="DR28" s="62"/>
      <c r="DS28" s="62"/>
      <c r="DT28" s="62"/>
      <c r="DU28" s="62"/>
      <c r="DV28" s="62"/>
      <c r="DW28" s="62"/>
      <c r="DX28" s="62"/>
      <c r="DY28" s="62"/>
      <c r="DZ28" s="62"/>
      <c r="EA28" s="62"/>
      <c r="EB28" s="62"/>
      <c r="EC28" s="62"/>
      <c r="ED28" s="62"/>
      <c r="EE28" s="62"/>
      <c r="EF28" s="62"/>
      <c r="EG28" s="62"/>
      <c r="EH28" s="62"/>
      <c r="EI28" s="62"/>
      <c r="EJ28" s="62"/>
      <c r="EK28" s="62"/>
      <c r="EL28" s="62"/>
      <c r="EM28" s="62"/>
      <c r="EN28" s="62"/>
      <c r="EO28" s="62"/>
      <c r="EP28" s="62"/>
      <c r="EQ28" s="62"/>
      <c r="ER28" s="62"/>
      <c r="ES28" s="62"/>
      <c r="ET28" s="62"/>
      <c r="EU28" s="62"/>
      <c r="EV28" s="62"/>
      <c r="EW28" s="62"/>
    </row>
    <row r="29" spans="1:153" x14ac:dyDescent="0.25">
      <c r="A29" s="75" t="s">
        <v>51</v>
      </c>
      <c r="B29" s="227"/>
      <c r="C29" s="66" t="s">
        <v>30</v>
      </c>
      <c r="D29" s="316">
        <v>78564081</v>
      </c>
      <c r="E29" s="316">
        <v>133609071.59</v>
      </c>
      <c r="F29" s="311">
        <f t="shared" si="2"/>
        <v>1.7006381273650997</v>
      </c>
      <c r="G29" s="316">
        <f>+(E29/10)*12</f>
        <v>160330885.90799999</v>
      </c>
      <c r="H29" s="312">
        <f t="shared" si="3"/>
        <v>2.0407657528381193</v>
      </c>
      <c r="I29" s="317">
        <f>+'[2]COMPARATIVO RECAUDOS'!$F$19</f>
        <v>240496823</v>
      </c>
      <c r="J29" s="317">
        <f>+G29*1.1</f>
        <v>176363974.49880001</v>
      </c>
      <c r="K29" s="89">
        <f t="shared" si="5"/>
        <v>0.10000000000000012</v>
      </c>
      <c r="L29" s="81">
        <f>+J29*M29</f>
        <v>158727577.04892001</v>
      </c>
      <c r="M29" s="97">
        <v>0.9</v>
      </c>
      <c r="N29" s="81">
        <f>+O29*J29</f>
        <v>17636397.44988</v>
      </c>
      <c r="O29" s="97">
        <v>0.1</v>
      </c>
      <c r="P29" s="81"/>
      <c r="Q29" s="97"/>
      <c r="R29" s="81"/>
      <c r="S29" s="97"/>
      <c r="T29" s="316">
        <f>+I29</f>
        <v>240496823</v>
      </c>
      <c r="U29" s="339">
        <f t="shared" si="53"/>
        <v>10.000000000000014</v>
      </c>
    </row>
    <row r="30" spans="1:153" s="64" customFormat="1" x14ac:dyDescent="0.25">
      <c r="A30" s="74" t="s">
        <v>52</v>
      </c>
      <c r="B30" s="222">
        <v>22</v>
      </c>
      <c r="C30" s="63" t="s">
        <v>53</v>
      </c>
      <c r="D30" s="314">
        <f>+D31+D32</f>
        <v>2793096170</v>
      </c>
      <c r="E30" s="314">
        <f t="shared" ref="E30:G30" si="55">+E31+E32</f>
        <v>5934379560.9899998</v>
      </c>
      <c r="F30" s="311">
        <f t="shared" si="2"/>
        <v>2.1246599471689511</v>
      </c>
      <c r="G30" s="314">
        <f t="shared" si="55"/>
        <v>6973643119.789999</v>
      </c>
      <c r="H30" s="312">
        <f t="shared" si="3"/>
        <v>2.4967429316227228</v>
      </c>
      <c r="I30" s="315">
        <f t="shared" ref="I30:J30" si="56">+I31+I32</f>
        <v>2033632445</v>
      </c>
      <c r="J30" s="315">
        <f t="shared" si="56"/>
        <v>2247453257</v>
      </c>
      <c r="K30" s="89">
        <f t="shared" si="5"/>
        <v>-0.67772178495597024</v>
      </c>
      <c r="L30" s="84">
        <f t="shared" ref="L30:R30" si="57">+L31+L32</f>
        <v>2022707931.3000002</v>
      </c>
      <c r="M30" s="97"/>
      <c r="N30" s="84">
        <f t="shared" si="57"/>
        <v>224745325.70000002</v>
      </c>
      <c r="O30" s="97"/>
      <c r="P30" s="84">
        <f t="shared" si="57"/>
        <v>0</v>
      </c>
      <c r="Q30" s="97"/>
      <c r="R30" s="84">
        <f t="shared" si="57"/>
        <v>0</v>
      </c>
      <c r="S30" s="97"/>
      <c r="T30" s="314">
        <f t="shared" ref="T30" si="58">+T31+T32</f>
        <v>2247453257</v>
      </c>
      <c r="U30" s="340">
        <f t="shared" si="53"/>
        <v>-67.772178495597018</v>
      </c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/>
      <c r="CG30" s="62"/>
      <c r="CH30" s="62"/>
      <c r="CI30" s="62"/>
      <c r="CJ30" s="62"/>
      <c r="CK30" s="62"/>
      <c r="CL30" s="62"/>
      <c r="CM30" s="62"/>
      <c r="CN30" s="62"/>
      <c r="CO30" s="62"/>
      <c r="CP30" s="62"/>
      <c r="CQ30" s="62"/>
      <c r="CR30" s="62"/>
      <c r="CS30" s="62"/>
      <c r="CT30" s="62"/>
      <c r="CU30" s="62"/>
      <c r="CV30" s="62"/>
      <c r="CW30" s="62"/>
      <c r="CX30" s="62"/>
      <c r="CY30" s="62"/>
      <c r="CZ30" s="62"/>
      <c r="DA30" s="62"/>
      <c r="DB30" s="62"/>
      <c r="DC30" s="62"/>
      <c r="DD30" s="62"/>
      <c r="DE30" s="62"/>
      <c r="DF30" s="62"/>
      <c r="DG30" s="62"/>
      <c r="DH30" s="62"/>
      <c r="DI30" s="62"/>
      <c r="DJ30" s="62"/>
      <c r="DK30" s="62"/>
      <c r="DL30" s="62"/>
      <c r="DM30" s="62"/>
      <c r="DN30" s="62"/>
      <c r="DO30" s="62"/>
      <c r="DP30" s="62"/>
      <c r="DQ30" s="62"/>
      <c r="DR30" s="62"/>
      <c r="DS30" s="62"/>
      <c r="DT30" s="62"/>
      <c r="DU30" s="62"/>
      <c r="DV30" s="62"/>
      <c r="DW30" s="62"/>
      <c r="DX30" s="62"/>
      <c r="DY30" s="62"/>
      <c r="DZ30" s="62"/>
      <c r="EA30" s="62"/>
      <c r="EB30" s="62"/>
      <c r="EC30" s="62"/>
      <c r="ED30" s="62"/>
      <c r="EE30" s="62"/>
      <c r="EF30" s="62"/>
      <c r="EG30" s="62"/>
      <c r="EH30" s="62"/>
      <c r="EI30" s="62"/>
      <c r="EJ30" s="62"/>
      <c r="EK30" s="62"/>
      <c r="EL30" s="62"/>
      <c r="EM30" s="62"/>
      <c r="EN30" s="62"/>
      <c r="EO30" s="62"/>
      <c r="EP30" s="62"/>
      <c r="EQ30" s="62"/>
      <c r="ER30" s="62"/>
      <c r="ES30" s="62"/>
      <c r="ET30" s="62"/>
      <c r="EU30" s="62"/>
      <c r="EV30" s="62"/>
      <c r="EW30" s="62"/>
    </row>
    <row r="31" spans="1:153" x14ac:dyDescent="0.25">
      <c r="A31" s="73" t="s">
        <v>54</v>
      </c>
      <c r="B31" s="228"/>
      <c r="C31" s="66" t="s">
        <v>55</v>
      </c>
      <c r="D31" s="316">
        <v>2129269875</v>
      </c>
      <c r="E31" s="316">
        <v>5196317794</v>
      </c>
      <c r="F31" s="311">
        <f t="shared" si="2"/>
        <v>2.4404223508774341</v>
      </c>
      <c r="G31" s="316">
        <f>+(E31/10)*12</f>
        <v>6235581352.7999992</v>
      </c>
      <c r="H31" s="312">
        <f t="shared" si="3"/>
        <v>2.9285068210529204</v>
      </c>
      <c r="I31" s="317">
        <f>+'[2]COMPARATIVO RECAUDOS'!$F$20</f>
        <v>2033632445</v>
      </c>
      <c r="J31" s="317">
        <v>1926388506</v>
      </c>
      <c r="K31" s="89">
        <f t="shared" si="5"/>
        <v>-0.69106513137945313</v>
      </c>
      <c r="L31" s="81">
        <f>+J31*M31</f>
        <v>1733749655.4000001</v>
      </c>
      <c r="M31" s="97">
        <v>0.9</v>
      </c>
      <c r="N31" s="81">
        <f>+J31*O31</f>
        <v>192638850.60000002</v>
      </c>
      <c r="O31" s="97">
        <v>0.1</v>
      </c>
      <c r="P31" s="81"/>
      <c r="Q31" s="97"/>
      <c r="R31" s="81"/>
      <c r="S31" s="97"/>
      <c r="T31" s="316">
        <f>+J31</f>
        <v>1926388506</v>
      </c>
      <c r="U31" s="339">
        <f t="shared" si="53"/>
        <v>-69.106513137945313</v>
      </c>
    </row>
    <row r="32" spans="1:153" s="64" customFormat="1" x14ac:dyDescent="0.25">
      <c r="A32" s="74" t="s">
        <v>56</v>
      </c>
      <c r="B32" s="222"/>
      <c r="C32" s="63" t="s">
        <v>39</v>
      </c>
      <c r="D32" s="314">
        <v>663826295</v>
      </c>
      <c r="E32" s="314">
        <v>738061766.99000001</v>
      </c>
      <c r="F32" s="311">
        <f t="shared" si="2"/>
        <v>1.1118296647016672</v>
      </c>
      <c r="G32" s="314">
        <f>+E32</f>
        <v>738061766.99000001</v>
      </c>
      <c r="H32" s="312">
        <f t="shared" si="3"/>
        <v>1.1118296647016672</v>
      </c>
      <c r="I32" s="315"/>
      <c r="J32" s="315">
        <v>321064751</v>
      </c>
      <c r="K32" s="89">
        <f t="shared" si="5"/>
        <v>-0.5649893201901216</v>
      </c>
      <c r="L32" s="80">
        <f>+J32*M32</f>
        <v>288958275.90000004</v>
      </c>
      <c r="M32" s="97">
        <v>0.9</v>
      </c>
      <c r="N32" s="80">
        <f>+J32*O32</f>
        <v>32106475.100000001</v>
      </c>
      <c r="O32" s="97">
        <v>0.1</v>
      </c>
      <c r="P32" s="80"/>
      <c r="Q32" s="97"/>
      <c r="R32" s="80"/>
      <c r="S32" s="97"/>
      <c r="T32" s="314">
        <f>+J32</f>
        <v>321064751</v>
      </c>
      <c r="U32" s="340">
        <f t="shared" si="53"/>
        <v>-56.498932019012152</v>
      </c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2"/>
      <c r="CH32" s="62"/>
      <c r="CI32" s="62"/>
      <c r="CJ32" s="62"/>
      <c r="CK32" s="62"/>
      <c r="CL32" s="62"/>
      <c r="CM32" s="62"/>
      <c r="CN32" s="62"/>
      <c r="CO32" s="62"/>
      <c r="CP32" s="62"/>
      <c r="CQ32" s="62"/>
      <c r="CR32" s="62"/>
      <c r="CS32" s="62"/>
      <c r="CT32" s="62"/>
      <c r="CU32" s="62"/>
      <c r="CV32" s="62"/>
      <c r="CW32" s="62"/>
      <c r="CX32" s="62"/>
      <c r="CY32" s="62"/>
      <c r="CZ32" s="62"/>
      <c r="DA32" s="62"/>
      <c r="DB32" s="62"/>
      <c r="DC32" s="62"/>
      <c r="DD32" s="62"/>
      <c r="DE32" s="62"/>
      <c r="DF32" s="62"/>
      <c r="DG32" s="62"/>
      <c r="DH32" s="62"/>
      <c r="DI32" s="62"/>
      <c r="DJ32" s="62"/>
      <c r="DK32" s="62"/>
      <c r="DL32" s="62"/>
      <c r="DM32" s="62"/>
      <c r="DN32" s="62"/>
      <c r="DO32" s="62"/>
      <c r="DP32" s="62"/>
      <c r="DQ32" s="62"/>
      <c r="DR32" s="62"/>
      <c r="DS32" s="62"/>
      <c r="DT32" s="62"/>
      <c r="DU32" s="62"/>
      <c r="DV32" s="62"/>
      <c r="DW32" s="62"/>
      <c r="DX32" s="62"/>
      <c r="DY32" s="62"/>
      <c r="DZ32" s="62"/>
      <c r="EA32" s="62"/>
      <c r="EB32" s="62"/>
      <c r="EC32" s="62"/>
      <c r="ED32" s="62"/>
      <c r="EE32" s="62"/>
      <c r="EF32" s="62"/>
      <c r="EG32" s="62"/>
      <c r="EH32" s="62"/>
      <c r="EI32" s="62"/>
      <c r="EJ32" s="62"/>
      <c r="EK32" s="62"/>
      <c r="EL32" s="62"/>
      <c r="EM32" s="62"/>
      <c r="EN32" s="62"/>
      <c r="EO32" s="62"/>
      <c r="EP32" s="62"/>
      <c r="EQ32" s="62"/>
      <c r="ER32" s="62"/>
      <c r="ES32" s="62"/>
      <c r="ET32" s="62"/>
      <c r="EU32" s="62"/>
      <c r="EV32" s="62"/>
      <c r="EW32" s="62"/>
    </row>
    <row r="33" spans="1:153" x14ac:dyDescent="0.25">
      <c r="A33" s="75" t="s">
        <v>57</v>
      </c>
      <c r="B33" s="227">
        <v>23</v>
      </c>
      <c r="C33" s="66" t="s">
        <v>58</v>
      </c>
      <c r="D33" s="316">
        <f>+D34+D35</f>
        <v>5213166714</v>
      </c>
      <c r="E33" s="316">
        <f t="shared" ref="E33:G33" si="59">+E34+E35</f>
        <v>1617828035.02</v>
      </c>
      <c r="F33" s="311">
        <f t="shared" si="2"/>
        <v>0.31033498903369233</v>
      </c>
      <c r="G33" s="316">
        <f t="shared" si="59"/>
        <v>1885381994.188</v>
      </c>
      <c r="H33" s="312">
        <f t="shared" si="3"/>
        <v>0.36165772123204726</v>
      </c>
      <c r="I33" s="317">
        <f t="shared" ref="I33:J33" si="60">+I34+I35</f>
        <v>7098025775</v>
      </c>
      <c r="J33" s="317">
        <f t="shared" si="60"/>
        <v>8106255758</v>
      </c>
      <c r="K33" s="89">
        <f t="shared" si="5"/>
        <v>3.2995296353677221</v>
      </c>
      <c r="L33" s="85">
        <f t="shared" ref="L33:R33" si="61">+L34+L35</f>
        <v>7295630182.1999998</v>
      </c>
      <c r="M33" s="97"/>
      <c r="N33" s="85">
        <f t="shared" si="61"/>
        <v>810625575.80000007</v>
      </c>
      <c r="O33" s="97"/>
      <c r="P33" s="85">
        <f t="shared" si="61"/>
        <v>0</v>
      </c>
      <c r="Q33" s="97"/>
      <c r="R33" s="85">
        <f t="shared" si="61"/>
        <v>0</v>
      </c>
      <c r="S33" s="97"/>
      <c r="T33" s="316">
        <f t="shared" ref="T33" si="62">+T34+T35</f>
        <v>8106255758</v>
      </c>
      <c r="U33" s="339">
        <f t="shared" si="53"/>
        <v>329.95296353677219</v>
      </c>
    </row>
    <row r="34" spans="1:153" s="64" customFormat="1" x14ac:dyDescent="0.25">
      <c r="A34" s="74" t="s">
        <v>59</v>
      </c>
      <c r="B34" s="222"/>
      <c r="C34" s="63" t="s">
        <v>55</v>
      </c>
      <c r="D34" s="314">
        <v>5067947331</v>
      </c>
      <c r="E34" s="314">
        <v>1337769795.8399999</v>
      </c>
      <c r="F34" s="311">
        <f t="shared" si="2"/>
        <v>0.26396679137863754</v>
      </c>
      <c r="G34" s="314">
        <f>+(E34/10)*12</f>
        <v>1605323755.0079999</v>
      </c>
      <c r="H34" s="312">
        <f t="shared" si="3"/>
        <v>0.31676014965436505</v>
      </c>
      <c r="I34" s="315">
        <f>+'[2]COMPARATIVO RECAUDOS'!$F$21</f>
        <v>7098025775</v>
      </c>
      <c r="J34" s="315">
        <v>7482697623</v>
      </c>
      <c r="K34" s="89">
        <f t="shared" si="5"/>
        <v>3.6611766627490736</v>
      </c>
      <c r="L34" s="80">
        <f>+J34*M34</f>
        <v>6734427860.6999998</v>
      </c>
      <c r="M34" s="97">
        <v>0.9</v>
      </c>
      <c r="N34" s="80">
        <f>+J34*O34</f>
        <v>748269762.30000007</v>
      </c>
      <c r="O34" s="97">
        <v>0.1</v>
      </c>
      <c r="P34" s="80"/>
      <c r="Q34" s="97"/>
      <c r="R34" s="80"/>
      <c r="S34" s="97"/>
      <c r="T34" s="314">
        <f>+J34</f>
        <v>7482697623</v>
      </c>
      <c r="U34" s="340">
        <f t="shared" si="53"/>
        <v>366.11766627490738</v>
      </c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/>
      <c r="CG34" s="62"/>
      <c r="CH34" s="62"/>
      <c r="CI34" s="62"/>
      <c r="CJ34" s="62"/>
      <c r="CK34" s="62"/>
      <c r="CL34" s="62"/>
      <c r="CM34" s="62"/>
      <c r="CN34" s="62"/>
      <c r="CO34" s="62"/>
      <c r="CP34" s="62"/>
      <c r="CQ34" s="62"/>
      <c r="CR34" s="62"/>
      <c r="CS34" s="62"/>
      <c r="CT34" s="62"/>
      <c r="CU34" s="62"/>
      <c r="CV34" s="62"/>
      <c r="CW34" s="62"/>
      <c r="CX34" s="62"/>
      <c r="CY34" s="62"/>
      <c r="CZ34" s="62"/>
      <c r="DA34" s="62"/>
      <c r="DB34" s="62"/>
      <c r="DC34" s="62"/>
      <c r="DD34" s="62"/>
      <c r="DE34" s="62"/>
      <c r="DF34" s="62"/>
      <c r="DG34" s="62"/>
      <c r="DH34" s="62"/>
      <c r="DI34" s="62"/>
      <c r="DJ34" s="62"/>
      <c r="DK34" s="62"/>
      <c r="DL34" s="62"/>
      <c r="DM34" s="62"/>
      <c r="DN34" s="62"/>
      <c r="DO34" s="62"/>
      <c r="DP34" s="62"/>
      <c r="DQ34" s="62"/>
      <c r="DR34" s="62"/>
      <c r="DS34" s="62"/>
      <c r="DT34" s="62"/>
      <c r="DU34" s="62"/>
      <c r="DV34" s="62"/>
      <c r="DW34" s="62"/>
      <c r="DX34" s="62"/>
      <c r="DY34" s="62"/>
      <c r="DZ34" s="62"/>
      <c r="EA34" s="62"/>
      <c r="EB34" s="62"/>
      <c r="EC34" s="62"/>
      <c r="ED34" s="62"/>
      <c r="EE34" s="62"/>
      <c r="EF34" s="62"/>
      <c r="EG34" s="62"/>
      <c r="EH34" s="62"/>
      <c r="EI34" s="62"/>
      <c r="EJ34" s="62"/>
      <c r="EK34" s="62"/>
      <c r="EL34" s="62"/>
      <c r="EM34" s="62"/>
      <c r="EN34" s="62"/>
      <c r="EO34" s="62"/>
      <c r="EP34" s="62"/>
      <c r="EQ34" s="62"/>
      <c r="ER34" s="62"/>
      <c r="ES34" s="62"/>
      <c r="ET34" s="62"/>
      <c r="EU34" s="62"/>
      <c r="EV34" s="62"/>
      <c r="EW34" s="62"/>
    </row>
    <row r="35" spans="1:153" x14ac:dyDescent="0.25">
      <c r="A35" s="75" t="s">
        <v>60</v>
      </c>
      <c r="B35" s="227"/>
      <c r="C35" s="66" t="s">
        <v>39</v>
      </c>
      <c r="D35" s="316">
        <v>145219383</v>
      </c>
      <c r="E35" s="316">
        <v>280058239.18000001</v>
      </c>
      <c r="F35" s="311">
        <f t="shared" si="2"/>
        <v>1.9285183106720678</v>
      </c>
      <c r="G35" s="316">
        <f>+E35</f>
        <v>280058239.18000001</v>
      </c>
      <c r="H35" s="312">
        <f t="shared" si="3"/>
        <v>1.9285183106720678</v>
      </c>
      <c r="I35" s="317"/>
      <c r="J35" s="317">
        <v>623558135</v>
      </c>
      <c r="K35" s="89">
        <f t="shared" si="5"/>
        <v>1.2265302275189431</v>
      </c>
      <c r="L35" s="81">
        <f>+J35*M35</f>
        <v>561202321.5</v>
      </c>
      <c r="M35" s="97">
        <v>0.9</v>
      </c>
      <c r="N35" s="81">
        <f>+J35*O35</f>
        <v>62355813.5</v>
      </c>
      <c r="O35" s="97">
        <v>0.1</v>
      </c>
      <c r="P35" s="81"/>
      <c r="Q35" s="97"/>
      <c r="R35" s="81"/>
      <c r="S35" s="97"/>
      <c r="T35" s="316">
        <f>+J35</f>
        <v>623558135</v>
      </c>
      <c r="U35" s="339">
        <f t="shared" si="53"/>
        <v>122.65302275189433</v>
      </c>
    </row>
    <row r="36" spans="1:153" s="64" customFormat="1" x14ac:dyDescent="0.25">
      <c r="A36" s="74" t="s">
        <v>61</v>
      </c>
      <c r="B36" s="222">
        <v>51</v>
      </c>
      <c r="C36" s="63" t="s">
        <v>62</v>
      </c>
      <c r="D36" s="314">
        <f>+D37+D38</f>
        <v>1424686900</v>
      </c>
      <c r="E36" s="314">
        <f t="shared" ref="E36:G36" si="63">+E37+E38</f>
        <v>1594782766</v>
      </c>
      <c r="F36" s="311">
        <f t="shared" si="2"/>
        <v>1.1193917526721133</v>
      </c>
      <c r="G36" s="314">
        <f t="shared" si="63"/>
        <v>1903026398.1999998</v>
      </c>
      <c r="H36" s="312">
        <f t="shared" si="3"/>
        <v>1.3357506117309002</v>
      </c>
      <c r="I36" s="315">
        <f t="shared" ref="I36:R36" si="64">+I37+I38</f>
        <v>1802435123</v>
      </c>
      <c r="J36" s="315">
        <f t="shared" si="64"/>
        <v>2278275217.3399997</v>
      </c>
      <c r="K36" s="89">
        <f t="shared" si="5"/>
        <v>0.19718529364329021</v>
      </c>
      <c r="L36" s="84">
        <f t="shared" si="64"/>
        <v>0</v>
      </c>
      <c r="M36" s="97"/>
      <c r="N36" s="84">
        <f t="shared" si="64"/>
        <v>227827521.734</v>
      </c>
      <c r="O36" s="97"/>
      <c r="P36" s="84">
        <f t="shared" si="64"/>
        <v>227827521.734</v>
      </c>
      <c r="Q36" s="97"/>
      <c r="R36" s="84">
        <f t="shared" si="64"/>
        <v>1822620173.872</v>
      </c>
      <c r="S36" s="97"/>
      <c r="T36" s="314">
        <f t="shared" ref="T36" si="65">+T37+T38</f>
        <v>2299999999.5</v>
      </c>
      <c r="U36" s="340">
        <f t="shared" si="53"/>
        <v>19.718529364329029</v>
      </c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62"/>
      <c r="CG36" s="62"/>
      <c r="CH36" s="62"/>
      <c r="CI36" s="62"/>
      <c r="CJ36" s="62"/>
      <c r="CK36" s="62"/>
      <c r="CL36" s="62"/>
      <c r="CM36" s="62"/>
      <c r="CN36" s="62"/>
      <c r="CO36" s="62"/>
      <c r="CP36" s="62"/>
      <c r="CQ36" s="62"/>
      <c r="CR36" s="62"/>
      <c r="CS36" s="62"/>
      <c r="CT36" s="62"/>
      <c r="CU36" s="62"/>
      <c r="CV36" s="62"/>
      <c r="CW36" s="62"/>
      <c r="CX36" s="62"/>
      <c r="CY36" s="62"/>
      <c r="CZ36" s="62"/>
      <c r="DA36" s="62"/>
      <c r="DB36" s="62"/>
      <c r="DC36" s="62"/>
      <c r="DD36" s="62"/>
      <c r="DE36" s="62"/>
      <c r="DF36" s="62"/>
      <c r="DG36" s="62"/>
      <c r="DH36" s="62"/>
      <c r="DI36" s="62"/>
      <c r="DJ36" s="62"/>
      <c r="DK36" s="62"/>
      <c r="DL36" s="62"/>
      <c r="DM36" s="62"/>
      <c r="DN36" s="62"/>
      <c r="DO36" s="62"/>
      <c r="DP36" s="62"/>
      <c r="DQ36" s="62"/>
      <c r="DR36" s="62"/>
      <c r="DS36" s="62"/>
      <c r="DT36" s="62"/>
      <c r="DU36" s="62"/>
      <c r="DV36" s="62"/>
      <c r="DW36" s="62"/>
      <c r="DX36" s="62"/>
      <c r="DY36" s="62"/>
      <c r="DZ36" s="62"/>
      <c r="EA36" s="62"/>
      <c r="EB36" s="62"/>
      <c r="EC36" s="62"/>
      <c r="ED36" s="62"/>
      <c r="EE36" s="62"/>
      <c r="EF36" s="62"/>
      <c r="EG36" s="62"/>
      <c r="EH36" s="62"/>
      <c r="EI36" s="62"/>
      <c r="EJ36" s="62"/>
      <c r="EK36" s="62"/>
      <c r="EL36" s="62"/>
      <c r="EM36" s="62"/>
      <c r="EN36" s="62"/>
      <c r="EO36" s="62"/>
      <c r="EP36" s="62"/>
      <c r="EQ36" s="62"/>
      <c r="ER36" s="62"/>
      <c r="ES36" s="62"/>
      <c r="ET36" s="62"/>
      <c r="EU36" s="62"/>
      <c r="EV36" s="62"/>
      <c r="EW36" s="62"/>
    </row>
    <row r="37" spans="1:153" x14ac:dyDescent="0.25">
      <c r="A37" s="75" t="s">
        <v>63</v>
      </c>
      <c r="B37" s="227"/>
      <c r="C37" s="66" t="s">
        <v>55</v>
      </c>
      <c r="D37" s="316">
        <v>1323171610</v>
      </c>
      <c r="E37" s="316">
        <v>1541218161</v>
      </c>
      <c r="F37" s="311">
        <f t="shared" si="2"/>
        <v>1.1647908323849239</v>
      </c>
      <c r="G37" s="316">
        <f>+(E37/10)*12</f>
        <v>1849461793.1999998</v>
      </c>
      <c r="H37" s="312">
        <f t="shared" si="3"/>
        <v>1.3977489988619087</v>
      </c>
      <c r="I37" s="317">
        <f>+'[2]COMPARATIVO RECAUDOS'!$F$23</f>
        <v>1802435123</v>
      </c>
      <c r="J37" s="317">
        <f>+G37*1.2</f>
        <v>2219354151.8399997</v>
      </c>
      <c r="K37" s="89">
        <f t="shared" si="5"/>
        <v>0.19999999999999996</v>
      </c>
      <c r="L37" s="81"/>
      <c r="M37" s="97"/>
      <c r="N37" s="81">
        <f>+J37*O37</f>
        <v>221935415.18399999</v>
      </c>
      <c r="O37" s="97">
        <v>0.1</v>
      </c>
      <c r="P37" s="81">
        <f>+J37*Q37</f>
        <v>221935415.18399999</v>
      </c>
      <c r="Q37" s="97">
        <v>0.1</v>
      </c>
      <c r="R37" s="81">
        <f>+S37*J37</f>
        <v>1775483321.4719999</v>
      </c>
      <c r="S37" s="97">
        <v>0.8</v>
      </c>
      <c r="T37" s="316">
        <f>2300000000-58921066</f>
        <v>2241078934</v>
      </c>
      <c r="U37" s="339">
        <f t="shared" si="53"/>
        <v>20</v>
      </c>
    </row>
    <row r="38" spans="1:153" s="64" customFormat="1" x14ac:dyDescent="0.25">
      <c r="A38" s="74" t="s">
        <v>64</v>
      </c>
      <c r="B38" s="222"/>
      <c r="C38" s="63" t="s">
        <v>39</v>
      </c>
      <c r="D38" s="314">
        <v>101515290</v>
      </c>
      <c r="E38" s="314">
        <v>53564605</v>
      </c>
      <c r="F38" s="311">
        <f t="shared" si="2"/>
        <v>0.52765061302588012</v>
      </c>
      <c r="G38" s="314">
        <f>+E38</f>
        <v>53564605</v>
      </c>
      <c r="H38" s="312">
        <f t="shared" si="3"/>
        <v>0.52765061302588012</v>
      </c>
      <c r="I38" s="315"/>
      <c r="J38" s="315">
        <f>+G38*1.1</f>
        <v>58921065.500000007</v>
      </c>
      <c r="K38" s="89">
        <f t="shared" si="5"/>
        <v>0.10000000000000014</v>
      </c>
      <c r="L38" s="80"/>
      <c r="M38" s="97"/>
      <c r="N38" s="80">
        <f>+J38*O38</f>
        <v>5892106.5500000007</v>
      </c>
      <c r="O38" s="97">
        <v>0.1</v>
      </c>
      <c r="P38" s="80">
        <f>+Q38*J38</f>
        <v>5892106.5500000007</v>
      </c>
      <c r="Q38" s="97">
        <v>0.1</v>
      </c>
      <c r="R38" s="80">
        <f>+S38*J38</f>
        <v>47136852.400000006</v>
      </c>
      <c r="S38" s="97">
        <v>0.8</v>
      </c>
      <c r="T38" s="314">
        <f>+J38</f>
        <v>58921065.500000007</v>
      </c>
      <c r="U38" s="340">
        <f t="shared" si="53"/>
        <v>10.000000000000014</v>
      </c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2"/>
      <c r="CA38" s="62"/>
      <c r="CB38" s="62"/>
      <c r="CC38" s="62"/>
      <c r="CD38" s="62"/>
      <c r="CE38" s="62"/>
      <c r="CF38" s="62"/>
      <c r="CG38" s="62"/>
      <c r="CH38" s="62"/>
      <c r="CI38" s="62"/>
      <c r="CJ38" s="62"/>
      <c r="CK38" s="62"/>
      <c r="CL38" s="62"/>
      <c r="CM38" s="62"/>
      <c r="CN38" s="62"/>
      <c r="CO38" s="62"/>
      <c r="CP38" s="62"/>
      <c r="CQ38" s="62"/>
      <c r="CR38" s="62"/>
      <c r="CS38" s="62"/>
      <c r="CT38" s="62"/>
      <c r="CU38" s="62"/>
      <c r="CV38" s="62"/>
      <c r="CW38" s="62"/>
      <c r="CX38" s="62"/>
      <c r="CY38" s="62"/>
      <c r="CZ38" s="62"/>
      <c r="DA38" s="62"/>
      <c r="DB38" s="62"/>
      <c r="DC38" s="62"/>
      <c r="DD38" s="62"/>
      <c r="DE38" s="62"/>
      <c r="DF38" s="62"/>
      <c r="DG38" s="62"/>
      <c r="DH38" s="62"/>
      <c r="DI38" s="62"/>
      <c r="DJ38" s="62"/>
      <c r="DK38" s="62"/>
      <c r="DL38" s="62"/>
      <c r="DM38" s="62"/>
      <c r="DN38" s="62"/>
      <c r="DO38" s="62"/>
      <c r="DP38" s="62"/>
      <c r="DQ38" s="62"/>
      <c r="DR38" s="62"/>
      <c r="DS38" s="62"/>
      <c r="DT38" s="62"/>
      <c r="DU38" s="62"/>
      <c r="DV38" s="62"/>
      <c r="DW38" s="62"/>
      <c r="DX38" s="62"/>
      <c r="DY38" s="62"/>
      <c r="DZ38" s="62"/>
      <c r="EA38" s="62"/>
      <c r="EB38" s="62"/>
      <c r="EC38" s="62"/>
      <c r="ED38" s="62"/>
      <c r="EE38" s="62"/>
      <c r="EF38" s="62"/>
      <c r="EG38" s="62"/>
      <c r="EH38" s="62"/>
      <c r="EI38" s="62"/>
      <c r="EJ38" s="62"/>
      <c r="EK38" s="62"/>
      <c r="EL38" s="62"/>
      <c r="EM38" s="62"/>
      <c r="EN38" s="62"/>
      <c r="EO38" s="62"/>
      <c r="EP38" s="62"/>
      <c r="EQ38" s="62"/>
      <c r="ER38" s="62"/>
      <c r="ES38" s="62"/>
      <c r="ET38" s="62"/>
      <c r="EU38" s="62"/>
      <c r="EV38" s="62"/>
      <c r="EW38" s="62"/>
    </row>
    <row r="39" spans="1:153" x14ac:dyDescent="0.25">
      <c r="A39" s="75" t="s">
        <v>65</v>
      </c>
      <c r="B39" s="227">
        <v>52</v>
      </c>
      <c r="C39" s="66" t="s">
        <v>66</v>
      </c>
      <c r="D39" s="316">
        <f>+D40+D41</f>
        <v>7207618693</v>
      </c>
      <c r="E39" s="316">
        <f t="shared" ref="E39:G39" si="66">+E40+E41</f>
        <v>6192382318</v>
      </c>
      <c r="F39" s="311">
        <f t="shared" si="2"/>
        <v>0.85914399495273075</v>
      </c>
      <c r="G39" s="316">
        <f t="shared" si="66"/>
        <v>7404812945.5999994</v>
      </c>
      <c r="H39" s="312">
        <f t="shared" si="3"/>
        <v>1.0273591405149545</v>
      </c>
      <c r="I39" s="317">
        <f t="shared" ref="I39:R39" si="67">+I40+I41</f>
        <v>6277351291</v>
      </c>
      <c r="J39" s="317">
        <f t="shared" si="67"/>
        <v>8872752616.7199993</v>
      </c>
      <c r="K39" s="89">
        <f t="shared" si="5"/>
        <v>0.19824129007772731</v>
      </c>
      <c r="L39" s="85">
        <f t="shared" si="67"/>
        <v>0</v>
      </c>
      <c r="M39" s="97"/>
      <c r="N39" s="85">
        <f t="shared" si="67"/>
        <v>887275261.67199993</v>
      </c>
      <c r="O39" s="97"/>
      <c r="P39" s="85">
        <f t="shared" si="67"/>
        <v>887275261.67199993</v>
      </c>
      <c r="Q39" s="97"/>
      <c r="R39" s="85">
        <f t="shared" si="67"/>
        <v>7098202093.3759995</v>
      </c>
      <c r="S39" s="97"/>
      <c r="T39" s="316">
        <f t="shared" ref="T39" si="68">+T40+T41</f>
        <v>8872752616.7199993</v>
      </c>
      <c r="U39" s="339">
        <f t="shared" si="53"/>
        <v>19.824129007772726</v>
      </c>
    </row>
    <row r="40" spans="1:153" s="64" customFormat="1" x14ac:dyDescent="0.25">
      <c r="A40" s="74" t="s">
        <v>67</v>
      </c>
      <c r="B40" s="222"/>
      <c r="C40" s="63" t="s">
        <v>55</v>
      </c>
      <c r="D40" s="314">
        <v>7090320866</v>
      </c>
      <c r="E40" s="314">
        <v>6062153138</v>
      </c>
      <c r="F40" s="311">
        <f t="shared" si="2"/>
        <v>0.85498995779861786</v>
      </c>
      <c r="G40" s="314">
        <f>+(E40/10)*12</f>
        <v>7274583765.5999994</v>
      </c>
      <c r="H40" s="312">
        <f t="shared" si="3"/>
        <v>1.0259879493583415</v>
      </c>
      <c r="I40" s="315">
        <f>+'[2]COMPARATIVO RECAUDOS'!$F$24</f>
        <v>6277351291</v>
      </c>
      <c r="J40" s="315">
        <f>+G40*1.2</f>
        <v>8729500518.7199993</v>
      </c>
      <c r="K40" s="89">
        <f t="shared" si="5"/>
        <v>0.2</v>
      </c>
      <c r="L40" s="80"/>
      <c r="M40" s="97"/>
      <c r="N40" s="80">
        <f>+O40*J40</f>
        <v>872950051.87199998</v>
      </c>
      <c r="O40" s="97">
        <v>0.1</v>
      </c>
      <c r="P40" s="80">
        <f>+Q40*J40</f>
        <v>872950051.87199998</v>
      </c>
      <c r="Q40" s="97">
        <v>0.1</v>
      </c>
      <c r="R40" s="80">
        <f>+S40*J40</f>
        <v>6983600414.9759998</v>
      </c>
      <c r="S40" s="97">
        <v>0.8</v>
      </c>
      <c r="T40" s="314">
        <f>+J40</f>
        <v>8729500518.7199993</v>
      </c>
      <c r="U40" s="340">
        <f t="shared" si="53"/>
        <v>20</v>
      </c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2"/>
      <c r="BM40" s="62"/>
      <c r="BN40" s="62"/>
      <c r="BO40" s="62"/>
      <c r="BP40" s="62"/>
      <c r="BQ40" s="62"/>
      <c r="BR40" s="62"/>
      <c r="BS40" s="62"/>
      <c r="BT40" s="62"/>
      <c r="BU40" s="62"/>
      <c r="BV40" s="62"/>
      <c r="BW40" s="62"/>
      <c r="BX40" s="62"/>
      <c r="BY40" s="62"/>
      <c r="BZ40" s="62"/>
      <c r="CA40" s="62"/>
      <c r="CB40" s="62"/>
      <c r="CC40" s="62"/>
      <c r="CD40" s="62"/>
      <c r="CE40" s="62"/>
      <c r="CF40" s="62"/>
      <c r="CG40" s="62"/>
      <c r="CH40" s="62"/>
      <c r="CI40" s="62"/>
      <c r="CJ40" s="62"/>
      <c r="CK40" s="62"/>
      <c r="CL40" s="62"/>
      <c r="CM40" s="62"/>
      <c r="CN40" s="62"/>
      <c r="CO40" s="62"/>
      <c r="CP40" s="62"/>
      <c r="CQ40" s="62"/>
      <c r="CR40" s="62"/>
      <c r="CS40" s="62"/>
      <c r="CT40" s="62"/>
      <c r="CU40" s="62"/>
      <c r="CV40" s="62"/>
      <c r="CW40" s="62"/>
      <c r="CX40" s="62"/>
      <c r="CY40" s="62"/>
      <c r="CZ40" s="62"/>
      <c r="DA40" s="62"/>
      <c r="DB40" s="62"/>
      <c r="DC40" s="62"/>
      <c r="DD40" s="62"/>
      <c r="DE40" s="62"/>
      <c r="DF40" s="62"/>
      <c r="DG40" s="62"/>
      <c r="DH40" s="62"/>
      <c r="DI40" s="62"/>
      <c r="DJ40" s="62"/>
      <c r="DK40" s="62"/>
      <c r="DL40" s="62"/>
      <c r="DM40" s="62"/>
      <c r="DN40" s="62"/>
      <c r="DO40" s="62"/>
      <c r="DP40" s="62"/>
      <c r="DQ40" s="62"/>
      <c r="DR40" s="62"/>
      <c r="DS40" s="62"/>
      <c r="DT40" s="62"/>
      <c r="DU40" s="62"/>
      <c r="DV40" s="62"/>
      <c r="DW40" s="62"/>
      <c r="DX40" s="62"/>
      <c r="DY40" s="62"/>
      <c r="DZ40" s="62"/>
      <c r="EA40" s="62"/>
      <c r="EB40" s="62"/>
      <c r="EC40" s="62"/>
      <c r="ED40" s="62"/>
      <c r="EE40" s="62"/>
      <c r="EF40" s="62"/>
      <c r="EG40" s="62"/>
      <c r="EH40" s="62"/>
      <c r="EI40" s="62"/>
      <c r="EJ40" s="62"/>
      <c r="EK40" s="62"/>
      <c r="EL40" s="62"/>
      <c r="EM40" s="62"/>
      <c r="EN40" s="62"/>
      <c r="EO40" s="62"/>
      <c r="EP40" s="62"/>
      <c r="EQ40" s="62"/>
      <c r="ER40" s="62"/>
      <c r="ES40" s="62"/>
      <c r="ET40" s="62"/>
      <c r="EU40" s="62"/>
      <c r="EV40" s="62"/>
      <c r="EW40" s="62"/>
    </row>
    <row r="41" spans="1:153" x14ac:dyDescent="0.25">
      <c r="A41" s="73" t="s">
        <v>68</v>
      </c>
      <c r="B41" s="228"/>
      <c r="C41" s="66" t="s">
        <v>39</v>
      </c>
      <c r="D41" s="316">
        <v>117297827</v>
      </c>
      <c r="E41" s="316">
        <v>130229180</v>
      </c>
      <c r="F41" s="311">
        <f t="shared" si="2"/>
        <v>1.1102437558370113</v>
      </c>
      <c r="G41" s="316">
        <f>+E41</f>
        <v>130229180</v>
      </c>
      <c r="H41" s="312">
        <f t="shared" si="3"/>
        <v>1.1102437558370113</v>
      </c>
      <c r="I41" s="317"/>
      <c r="J41" s="317">
        <f>+G41*1.1</f>
        <v>143252098</v>
      </c>
      <c r="K41" s="89">
        <f t="shared" si="5"/>
        <v>0.1</v>
      </c>
      <c r="L41" s="81"/>
      <c r="M41" s="97"/>
      <c r="N41" s="81">
        <f>+O41*J41</f>
        <v>14325209.800000001</v>
      </c>
      <c r="O41" s="97">
        <v>0.1</v>
      </c>
      <c r="P41" s="81">
        <f>+Q41*J41</f>
        <v>14325209.800000001</v>
      </c>
      <c r="Q41" s="97">
        <v>0.1</v>
      </c>
      <c r="R41" s="81">
        <f>+S41*J41</f>
        <v>114601678.40000001</v>
      </c>
      <c r="S41" s="97">
        <v>0.8</v>
      </c>
      <c r="T41" s="316">
        <f>+J41</f>
        <v>143252098</v>
      </c>
      <c r="U41" s="339">
        <f t="shared" si="53"/>
        <v>10.000000000000014</v>
      </c>
    </row>
    <row r="42" spans="1:153" s="64" customFormat="1" x14ac:dyDescent="0.25">
      <c r="A42" s="74" t="s">
        <v>69</v>
      </c>
      <c r="B42" s="222">
        <v>53</v>
      </c>
      <c r="C42" s="63" t="s">
        <v>70</v>
      </c>
      <c r="D42" s="314">
        <f>+D43+D44</f>
        <v>150000000</v>
      </c>
      <c r="E42" s="314">
        <f t="shared" ref="E42:G42" si="69">+E43+E44</f>
        <v>42640883</v>
      </c>
      <c r="F42" s="311">
        <f t="shared" si="2"/>
        <v>0.28427255333333334</v>
      </c>
      <c r="G42" s="314">
        <f t="shared" si="69"/>
        <v>47068378</v>
      </c>
      <c r="H42" s="312">
        <f t="shared" si="3"/>
        <v>0.31378918666666666</v>
      </c>
      <c r="I42" s="315">
        <f t="shared" ref="I42:R42" si="70">+I43+I44</f>
        <v>42640883</v>
      </c>
      <c r="J42" s="315">
        <f t="shared" si="70"/>
        <v>155312994</v>
      </c>
      <c r="K42" s="89">
        <f t="shared" si="5"/>
        <v>2.299731169831261</v>
      </c>
      <c r="L42" s="84">
        <f t="shared" si="70"/>
        <v>0</v>
      </c>
      <c r="M42" s="97"/>
      <c r="N42" s="84">
        <f t="shared" si="70"/>
        <v>15531299.4</v>
      </c>
      <c r="O42" s="97"/>
      <c r="P42" s="84">
        <f t="shared" si="70"/>
        <v>15531299.4</v>
      </c>
      <c r="Q42" s="97"/>
      <c r="R42" s="84">
        <f t="shared" si="70"/>
        <v>124250395.2</v>
      </c>
      <c r="S42" s="97"/>
      <c r="T42" s="314">
        <f t="shared" ref="T42" si="71">+T43+T44</f>
        <v>180000000</v>
      </c>
      <c r="U42" s="340">
        <f t="shared" si="53"/>
        <v>229.97311698312609</v>
      </c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2"/>
      <c r="BM42" s="62"/>
      <c r="BN42" s="62"/>
      <c r="BO42" s="62"/>
      <c r="BP42" s="62"/>
      <c r="BQ42" s="62"/>
      <c r="BR42" s="62"/>
      <c r="BS42" s="62"/>
      <c r="BT42" s="62"/>
      <c r="BU42" s="62"/>
      <c r="BV42" s="62"/>
      <c r="BW42" s="62"/>
      <c r="BX42" s="62"/>
      <c r="BY42" s="62"/>
      <c r="BZ42" s="62"/>
      <c r="CA42" s="62"/>
      <c r="CB42" s="62"/>
      <c r="CC42" s="62"/>
      <c r="CD42" s="62"/>
      <c r="CE42" s="62"/>
      <c r="CF42" s="62"/>
      <c r="CG42" s="62"/>
      <c r="CH42" s="62"/>
      <c r="CI42" s="62"/>
      <c r="CJ42" s="62"/>
      <c r="CK42" s="62"/>
      <c r="CL42" s="62"/>
      <c r="CM42" s="62"/>
      <c r="CN42" s="62"/>
      <c r="CO42" s="62"/>
      <c r="CP42" s="62"/>
      <c r="CQ42" s="62"/>
      <c r="CR42" s="62"/>
      <c r="CS42" s="62"/>
      <c r="CT42" s="62"/>
      <c r="CU42" s="62"/>
      <c r="CV42" s="62"/>
      <c r="CW42" s="62"/>
      <c r="CX42" s="62"/>
      <c r="CY42" s="62"/>
      <c r="CZ42" s="62"/>
      <c r="DA42" s="62"/>
      <c r="DB42" s="62"/>
      <c r="DC42" s="62"/>
      <c r="DD42" s="62"/>
      <c r="DE42" s="62"/>
      <c r="DF42" s="62"/>
      <c r="DG42" s="62"/>
      <c r="DH42" s="62"/>
      <c r="DI42" s="62"/>
      <c r="DJ42" s="62"/>
      <c r="DK42" s="62"/>
      <c r="DL42" s="62"/>
      <c r="DM42" s="62"/>
      <c r="DN42" s="62"/>
      <c r="DO42" s="62"/>
      <c r="DP42" s="62"/>
      <c r="DQ42" s="62"/>
      <c r="DR42" s="62"/>
      <c r="DS42" s="62"/>
      <c r="DT42" s="62"/>
      <c r="DU42" s="62"/>
      <c r="DV42" s="62"/>
      <c r="DW42" s="62"/>
      <c r="DX42" s="62"/>
      <c r="DY42" s="62"/>
      <c r="DZ42" s="62"/>
      <c r="EA42" s="62"/>
      <c r="EB42" s="62"/>
      <c r="EC42" s="62"/>
      <c r="ED42" s="62"/>
      <c r="EE42" s="62"/>
      <c r="EF42" s="62"/>
      <c r="EG42" s="62"/>
      <c r="EH42" s="62"/>
      <c r="EI42" s="62"/>
      <c r="EJ42" s="62"/>
      <c r="EK42" s="62"/>
      <c r="EL42" s="62"/>
      <c r="EM42" s="62"/>
      <c r="EN42" s="62"/>
      <c r="EO42" s="62"/>
      <c r="EP42" s="62"/>
      <c r="EQ42" s="62"/>
      <c r="ER42" s="62"/>
      <c r="ES42" s="62"/>
      <c r="ET42" s="62"/>
      <c r="EU42" s="62"/>
      <c r="EV42" s="62"/>
      <c r="EW42" s="62"/>
    </row>
    <row r="43" spans="1:153" x14ac:dyDescent="0.25">
      <c r="A43" s="75" t="s">
        <v>71</v>
      </c>
      <c r="B43" s="227"/>
      <c r="C43" s="66" t="s">
        <v>13</v>
      </c>
      <c r="D43" s="316">
        <v>150000000</v>
      </c>
      <c r="E43" s="316">
        <v>22137475</v>
      </c>
      <c r="F43" s="311">
        <f t="shared" si="2"/>
        <v>0.14758316666666665</v>
      </c>
      <c r="G43" s="316">
        <f>+E43*1.2</f>
        <v>26564970</v>
      </c>
      <c r="H43" s="312">
        <f t="shared" si="3"/>
        <v>0.1770998</v>
      </c>
      <c r="I43" s="317">
        <f>+'[2]COMPARATIVO RECAUDOS'!$F$25</f>
        <v>42640883</v>
      </c>
      <c r="J43" s="317">
        <v>150000000</v>
      </c>
      <c r="K43" s="89">
        <f t="shared" si="5"/>
        <v>4.6465337623193248</v>
      </c>
      <c r="L43" s="81"/>
      <c r="M43" s="97"/>
      <c r="N43" s="81">
        <f>+J43*O43</f>
        <v>15000000</v>
      </c>
      <c r="O43" s="97">
        <v>0.1</v>
      </c>
      <c r="P43" s="81">
        <f>+J43*Q43</f>
        <v>15000000</v>
      </c>
      <c r="Q43" s="97">
        <v>0.1</v>
      </c>
      <c r="R43" s="81">
        <f>+J43*S43</f>
        <v>120000000</v>
      </c>
      <c r="S43" s="97">
        <v>0.8</v>
      </c>
      <c r="T43" s="316">
        <f>180000000-5312994</f>
        <v>174687006</v>
      </c>
      <c r="U43" s="339">
        <f t="shared" si="53"/>
        <v>464.6533762319325</v>
      </c>
    </row>
    <row r="44" spans="1:153" s="64" customFormat="1" x14ac:dyDescent="0.25">
      <c r="A44" s="74" t="s">
        <v>72</v>
      </c>
      <c r="B44" s="222"/>
      <c r="C44" s="63" t="s">
        <v>15</v>
      </c>
      <c r="D44" s="314">
        <v>0</v>
      </c>
      <c r="E44" s="314">
        <v>20503408</v>
      </c>
      <c r="F44" s="311">
        <v>0</v>
      </c>
      <c r="G44" s="314">
        <f>+E44</f>
        <v>20503408</v>
      </c>
      <c r="H44" s="312">
        <v>0</v>
      </c>
      <c r="I44" s="315"/>
      <c r="J44" s="315">
        <f>+G43*0.2</f>
        <v>5312994</v>
      </c>
      <c r="K44" s="89">
        <f t="shared" si="5"/>
        <v>-0.74087263931927805</v>
      </c>
      <c r="L44" s="80"/>
      <c r="M44" s="97"/>
      <c r="N44" s="80">
        <f>+J44*O44</f>
        <v>531299.4</v>
      </c>
      <c r="O44" s="97">
        <v>0.1</v>
      </c>
      <c r="P44" s="80">
        <f>+J44*Q44</f>
        <v>531299.4</v>
      </c>
      <c r="Q44" s="97">
        <v>0.1</v>
      </c>
      <c r="R44" s="80">
        <f>+J44*S44</f>
        <v>4250395.2</v>
      </c>
      <c r="S44" s="97">
        <v>0.8</v>
      </c>
      <c r="T44" s="314">
        <f>+J44</f>
        <v>5312994</v>
      </c>
      <c r="U44" s="340">
        <f t="shared" si="53"/>
        <v>-74.087263931927808</v>
      </c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2"/>
      <c r="BL44" s="62"/>
      <c r="BM44" s="62"/>
      <c r="BN44" s="62"/>
      <c r="BO44" s="62"/>
      <c r="BP44" s="62"/>
      <c r="BQ44" s="62"/>
      <c r="BR44" s="62"/>
      <c r="BS44" s="62"/>
      <c r="BT44" s="62"/>
      <c r="BU44" s="62"/>
      <c r="BV44" s="62"/>
      <c r="BW44" s="62"/>
      <c r="BX44" s="62"/>
      <c r="BY44" s="62"/>
      <c r="BZ44" s="62"/>
      <c r="CA44" s="62"/>
      <c r="CB44" s="62"/>
      <c r="CC44" s="62"/>
      <c r="CD44" s="62"/>
      <c r="CE44" s="62"/>
      <c r="CF44" s="62"/>
      <c r="CG44" s="62"/>
      <c r="CH44" s="62"/>
      <c r="CI44" s="62"/>
      <c r="CJ44" s="62"/>
      <c r="CK44" s="62"/>
      <c r="CL44" s="62"/>
      <c r="CM44" s="62"/>
      <c r="CN44" s="62"/>
      <c r="CO44" s="62"/>
      <c r="CP44" s="62"/>
      <c r="CQ44" s="62"/>
      <c r="CR44" s="62"/>
      <c r="CS44" s="62"/>
      <c r="CT44" s="62"/>
      <c r="CU44" s="62"/>
      <c r="CV44" s="62"/>
      <c r="CW44" s="62"/>
      <c r="CX44" s="62"/>
      <c r="CY44" s="62"/>
      <c r="CZ44" s="62"/>
      <c r="DA44" s="62"/>
      <c r="DB44" s="62"/>
      <c r="DC44" s="62"/>
      <c r="DD44" s="62"/>
      <c r="DE44" s="62"/>
      <c r="DF44" s="62"/>
      <c r="DG44" s="62"/>
      <c r="DH44" s="62"/>
      <c r="DI44" s="62"/>
      <c r="DJ44" s="62"/>
      <c r="DK44" s="62"/>
      <c r="DL44" s="62"/>
      <c r="DM44" s="62"/>
      <c r="DN44" s="62"/>
      <c r="DO44" s="62"/>
      <c r="DP44" s="62"/>
      <c r="DQ44" s="62"/>
      <c r="DR44" s="62"/>
      <c r="DS44" s="62"/>
      <c r="DT44" s="62"/>
      <c r="DU44" s="62"/>
      <c r="DV44" s="62"/>
      <c r="DW44" s="62"/>
      <c r="DX44" s="62"/>
      <c r="DY44" s="62"/>
      <c r="DZ44" s="62"/>
      <c r="EA44" s="62"/>
      <c r="EB44" s="62"/>
      <c r="EC44" s="62"/>
      <c r="ED44" s="62"/>
      <c r="EE44" s="62"/>
      <c r="EF44" s="62"/>
      <c r="EG44" s="62"/>
      <c r="EH44" s="62"/>
      <c r="EI44" s="62"/>
      <c r="EJ44" s="62"/>
      <c r="EK44" s="62"/>
      <c r="EL44" s="62"/>
      <c r="EM44" s="62"/>
      <c r="EN44" s="62"/>
      <c r="EO44" s="62"/>
      <c r="EP44" s="62"/>
      <c r="EQ44" s="62"/>
      <c r="ER44" s="62"/>
      <c r="ES44" s="62"/>
      <c r="ET44" s="62"/>
      <c r="EU44" s="62"/>
      <c r="EV44" s="62"/>
      <c r="EW44" s="62"/>
    </row>
    <row r="45" spans="1:153" x14ac:dyDescent="0.25">
      <c r="A45" s="75" t="s">
        <v>73</v>
      </c>
      <c r="B45" s="227"/>
      <c r="C45" s="66" t="s">
        <v>74</v>
      </c>
      <c r="D45" s="316">
        <f>+D46</f>
        <v>26758239</v>
      </c>
      <c r="E45" s="316">
        <f t="shared" ref="E45:T46" si="72">+E46</f>
        <v>446891666</v>
      </c>
      <c r="F45" s="311">
        <f t="shared" si="2"/>
        <v>16.701086570009334</v>
      </c>
      <c r="G45" s="316">
        <f t="shared" si="72"/>
        <v>459906641.60000002</v>
      </c>
      <c r="H45" s="312">
        <f t="shared" si="3"/>
        <v>17.187477905403266</v>
      </c>
      <c r="I45" s="317">
        <f t="shared" si="72"/>
        <v>477994148</v>
      </c>
      <c r="J45" s="317">
        <f t="shared" si="72"/>
        <v>355308833.88000011</v>
      </c>
      <c r="K45" s="89">
        <f t="shared" si="5"/>
        <v>-0.22743269667971655</v>
      </c>
      <c r="L45" s="85">
        <f t="shared" si="72"/>
        <v>319777950.4920001</v>
      </c>
      <c r="M45" s="97"/>
      <c r="N45" s="85">
        <f t="shared" si="72"/>
        <v>35530883.388000011</v>
      </c>
      <c r="O45" s="97"/>
      <c r="P45" s="85">
        <f t="shared" si="72"/>
        <v>0</v>
      </c>
      <c r="Q45" s="97"/>
      <c r="R45" s="85">
        <f t="shared" si="72"/>
        <v>0</v>
      </c>
      <c r="S45" s="97"/>
      <c r="T45" s="316">
        <f t="shared" si="72"/>
        <v>355308833.88000011</v>
      </c>
      <c r="U45" s="339">
        <f t="shared" si="53"/>
        <v>-22.74326966797166</v>
      </c>
    </row>
    <row r="46" spans="1:153" s="64" customFormat="1" x14ac:dyDescent="0.25">
      <c r="A46" s="74" t="s">
        <v>75</v>
      </c>
      <c r="B46" s="222"/>
      <c r="C46" s="63" t="s">
        <v>76</v>
      </c>
      <c r="D46" s="314">
        <f>+D47</f>
        <v>26758239</v>
      </c>
      <c r="E46" s="314">
        <f t="shared" si="72"/>
        <v>446891666</v>
      </c>
      <c r="F46" s="311">
        <f t="shared" si="2"/>
        <v>16.701086570009334</v>
      </c>
      <c r="G46" s="314">
        <f t="shared" si="72"/>
        <v>459906641.60000002</v>
      </c>
      <c r="H46" s="312">
        <f t="shared" si="3"/>
        <v>17.187477905403266</v>
      </c>
      <c r="I46" s="315">
        <f t="shared" si="72"/>
        <v>477994148</v>
      </c>
      <c r="J46" s="315">
        <f t="shared" si="72"/>
        <v>355308833.88000011</v>
      </c>
      <c r="K46" s="89">
        <f t="shared" si="5"/>
        <v>-0.22743269667971655</v>
      </c>
      <c r="L46" s="84">
        <f t="shared" si="72"/>
        <v>319777950.4920001</v>
      </c>
      <c r="M46" s="97"/>
      <c r="N46" s="84">
        <f t="shared" si="72"/>
        <v>35530883.388000011</v>
      </c>
      <c r="O46" s="97"/>
      <c r="P46" s="84">
        <f t="shared" si="72"/>
        <v>0</v>
      </c>
      <c r="Q46" s="97"/>
      <c r="R46" s="84">
        <f t="shared" si="72"/>
        <v>0</v>
      </c>
      <c r="S46" s="97"/>
      <c r="T46" s="314">
        <f t="shared" si="72"/>
        <v>355308833.88000011</v>
      </c>
      <c r="U46" s="340">
        <f t="shared" si="53"/>
        <v>-22.74326966797166</v>
      </c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62"/>
      <c r="BH46" s="62"/>
      <c r="BI46" s="62"/>
      <c r="BJ46" s="62"/>
      <c r="BK46" s="62"/>
      <c r="BL46" s="62"/>
      <c r="BM46" s="62"/>
      <c r="BN46" s="62"/>
      <c r="BO46" s="62"/>
      <c r="BP46" s="62"/>
      <c r="BQ46" s="62"/>
      <c r="BR46" s="62"/>
      <c r="BS46" s="62"/>
      <c r="BT46" s="62"/>
      <c r="BU46" s="62"/>
      <c r="BV46" s="62"/>
      <c r="BW46" s="62"/>
      <c r="BX46" s="62"/>
      <c r="BY46" s="62"/>
      <c r="BZ46" s="62"/>
      <c r="CA46" s="62"/>
      <c r="CB46" s="62"/>
      <c r="CC46" s="62"/>
      <c r="CD46" s="62"/>
      <c r="CE46" s="62"/>
      <c r="CF46" s="62"/>
      <c r="CG46" s="62"/>
      <c r="CH46" s="62"/>
      <c r="CI46" s="62"/>
      <c r="CJ46" s="62"/>
      <c r="CK46" s="62"/>
      <c r="CL46" s="62"/>
      <c r="CM46" s="62"/>
      <c r="CN46" s="62"/>
      <c r="CO46" s="62"/>
      <c r="CP46" s="62"/>
      <c r="CQ46" s="62"/>
      <c r="CR46" s="62"/>
      <c r="CS46" s="62"/>
      <c r="CT46" s="62"/>
      <c r="CU46" s="62"/>
      <c r="CV46" s="62"/>
      <c r="CW46" s="62"/>
      <c r="CX46" s="62"/>
      <c r="CY46" s="62"/>
      <c r="CZ46" s="62"/>
      <c r="DA46" s="62"/>
      <c r="DB46" s="62"/>
      <c r="DC46" s="62"/>
      <c r="DD46" s="62"/>
      <c r="DE46" s="62"/>
      <c r="DF46" s="62"/>
      <c r="DG46" s="62"/>
      <c r="DH46" s="62"/>
      <c r="DI46" s="62"/>
      <c r="DJ46" s="62"/>
      <c r="DK46" s="62"/>
      <c r="DL46" s="62"/>
      <c r="DM46" s="62"/>
      <c r="DN46" s="62"/>
      <c r="DO46" s="62"/>
      <c r="DP46" s="62"/>
      <c r="DQ46" s="62"/>
      <c r="DR46" s="62"/>
      <c r="DS46" s="62"/>
      <c r="DT46" s="62"/>
      <c r="DU46" s="62"/>
      <c r="DV46" s="62"/>
      <c r="DW46" s="62"/>
      <c r="DX46" s="62"/>
      <c r="DY46" s="62"/>
      <c r="DZ46" s="62"/>
      <c r="EA46" s="62"/>
      <c r="EB46" s="62"/>
      <c r="EC46" s="62"/>
      <c r="ED46" s="62"/>
      <c r="EE46" s="62"/>
      <c r="EF46" s="62"/>
      <c r="EG46" s="62"/>
      <c r="EH46" s="62"/>
      <c r="EI46" s="62"/>
      <c r="EJ46" s="62"/>
      <c r="EK46" s="62"/>
      <c r="EL46" s="62"/>
      <c r="EM46" s="62"/>
      <c r="EN46" s="62"/>
      <c r="EO46" s="62"/>
      <c r="EP46" s="62"/>
      <c r="EQ46" s="62"/>
      <c r="ER46" s="62"/>
      <c r="ES46" s="62"/>
      <c r="ET46" s="62"/>
      <c r="EU46" s="62"/>
      <c r="EV46" s="62"/>
      <c r="EW46" s="62"/>
    </row>
    <row r="47" spans="1:153" x14ac:dyDescent="0.25">
      <c r="A47" s="75" t="s">
        <v>77</v>
      </c>
      <c r="B47" s="227">
        <v>24</v>
      </c>
      <c r="C47" s="66" t="s">
        <v>78</v>
      </c>
      <c r="D47" s="316">
        <f>+D48+D49</f>
        <v>26758239</v>
      </c>
      <c r="E47" s="316">
        <f t="shared" ref="E47:G47" si="73">+E48+E49</f>
        <v>446891666</v>
      </c>
      <c r="F47" s="311">
        <f t="shared" si="2"/>
        <v>16.701086570009334</v>
      </c>
      <c r="G47" s="316">
        <f t="shared" si="73"/>
        <v>459906641.60000002</v>
      </c>
      <c r="H47" s="312">
        <f t="shared" si="3"/>
        <v>17.187477905403266</v>
      </c>
      <c r="I47" s="317">
        <f t="shared" ref="I47:L47" si="74">+I48+I49</f>
        <v>477994148</v>
      </c>
      <c r="J47" s="317">
        <f t="shared" si="74"/>
        <v>355308833.88000011</v>
      </c>
      <c r="K47" s="89">
        <f t="shared" si="5"/>
        <v>-0.22743269667971655</v>
      </c>
      <c r="L47" s="85">
        <f t="shared" si="74"/>
        <v>319777950.4920001</v>
      </c>
      <c r="M47" s="97"/>
      <c r="N47" s="85">
        <f t="shared" ref="N47" si="75">+N48+N49</f>
        <v>35530883.388000011</v>
      </c>
      <c r="O47" s="97"/>
      <c r="P47" s="85">
        <f t="shared" ref="P47" si="76">+P48+P49</f>
        <v>0</v>
      </c>
      <c r="Q47" s="97"/>
      <c r="R47" s="85">
        <f t="shared" ref="R47" si="77">+R48+R49</f>
        <v>0</v>
      </c>
      <c r="S47" s="97"/>
      <c r="T47" s="316">
        <f t="shared" ref="T47" si="78">+T48+T49</f>
        <v>355308833.88000011</v>
      </c>
      <c r="U47" s="339">
        <f t="shared" si="53"/>
        <v>-22.74326966797166</v>
      </c>
    </row>
    <row r="48" spans="1:153" s="64" customFormat="1" x14ac:dyDescent="0.25">
      <c r="A48" s="74" t="s">
        <v>79</v>
      </c>
      <c r="B48" s="222"/>
      <c r="C48" s="63" t="s">
        <v>30</v>
      </c>
      <c r="D48" s="314">
        <v>22641587</v>
      </c>
      <c r="E48" s="314">
        <v>260299512</v>
      </c>
      <c r="F48" s="311">
        <f t="shared" si="2"/>
        <v>11.496522394830363</v>
      </c>
      <c r="G48" s="314">
        <f>+E48*1.05</f>
        <v>273314487.60000002</v>
      </c>
      <c r="H48" s="312">
        <f t="shared" si="3"/>
        <v>12.071348514571882</v>
      </c>
      <c r="I48" s="315">
        <f>+'[2]COMPARATIVO RECAUDOS'!$F$28</f>
        <v>477994148</v>
      </c>
      <c r="J48" s="315">
        <f>+G48*1.1</f>
        <v>300645936.36000007</v>
      </c>
      <c r="K48" s="89">
        <f t="shared" si="5"/>
        <v>0.10000000000000017</v>
      </c>
      <c r="L48" s="80">
        <f>+J48*M48</f>
        <v>270581342.7240001</v>
      </c>
      <c r="M48" s="97">
        <v>0.9</v>
      </c>
      <c r="N48" s="80">
        <f>+J48*O48</f>
        <v>30064593.636000007</v>
      </c>
      <c r="O48" s="97">
        <v>0.1</v>
      </c>
      <c r="P48" s="80"/>
      <c r="Q48" s="97"/>
      <c r="R48" s="80"/>
      <c r="S48" s="97"/>
      <c r="T48" s="314">
        <f>+J48</f>
        <v>300645936.36000007</v>
      </c>
      <c r="U48" s="340">
        <f t="shared" si="53"/>
        <v>10.000000000000014</v>
      </c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62"/>
      <c r="BH48" s="62"/>
      <c r="BI48" s="62"/>
      <c r="BJ48" s="62"/>
      <c r="BK48" s="62"/>
      <c r="BL48" s="62"/>
      <c r="BM48" s="62"/>
      <c r="BN48" s="62"/>
      <c r="BO48" s="62"/>
      <c r="BP48" s="62"/>
      <c r="BQ48" s="62"/>
      <c r="BR48" s="62"/>
      <c r="BS48" s="62"/>
      <c r="BT48" s="62"/>
      <c r="BU48" s="62"/>
      <c r="BV48" s="62"/>
      <c r="BW48" s="62"/>
      <c r="BX48" s="62"/>
      <c r="BY48" s="62"/>
      <c r="BZ48" s="62"/>
      <c r="CA48" s="62"/>
      <c r="CB48" s="62"/>
      <c r="CC48" s="62"/>
      <c r="CD48" s="62"/>
      <c r="CE48" s="62"/>
      <c r="CF48" s="62"/>
      <c r="CG48" s="62"/>
      <c r="CH48" s="62"/>
      <c r="CI48" s="62"/>
      <c r="CJ48" s="62"/>
      <c r="CK48" s="62"/>
      <c r="CL48" s="62"/>
      <c r="CM48" s="62"/>
      <c r="CN48" s="62"/>
      <c r="CO48" s="62"/>
      <c r="CP48" s="62"/>
      <c r="CQ48" s="62"/>
      <c r="CR48" s="62"/>
      <c r="CS48" s="62"/>
      <c r="CT48" s="62"/>
      <c r="CU48" s="62"/>
      <c r="CV48" s="62"/>
      <c r="CW48" s="62"/>
      <c r="CX48" s="62"/>
      <c r="CY48" s="62"/>
      <c r="CZ48" s="62"/>
      <c r="DA48" s="62"/>
      <c r="DB48" s="62"/>
      <c r="DC48" s="62"/>
      <c r="DD48" s="62"/>
      <c r="DE48" s="62"/>
      <c r="DF48" s="62"/>
      <c r="DG48" s="62"/>
      <c r="DH48" s="62"/>
      <c r="DI48" s="62"/>
      <c r="DJ48" s="62"/>
      <c r="DK48" s="62"/>
      <c r="DL48" s="62"/>
      <c r="DM48" s="62"/>
      <c r="DN48" s="62"/>
      <c r="DO48" s="62"/>
      <c r="DP48" s="62"/>
      <c r="DQ48" s="62"/>
      <c r="DR48" s="62"/>
      <c r="DS48" s="62"/>
      <c r="DT48" s="62"/>
      <c r="DU48" s="62"/>
      <c r="DV48" s="62"/>
      <c r="DW48" s="62"/>
      <c r="DX48" s="62"/>
      <c r="DY48" s="62"/>
      <c r="DZ48" s="62"/>
      <c r="EA48" s="62"/>
      <c r="EB48" s="62"/>
      <c r="EC48" s="62"/>
      <c r="ED48" s="62"/>
      <c r="EE48" s="62"/>
      <c r="EF48" s="62"/>
      <c r="EG48" s="62"/>
      <c r="EH48" s="62"/>
      <c r="EI48" s="62"/>
      <c r="EJ48" s="62"/>
      <c r="EK48" s="62"/>
      <c r="EL48" s="62"/>
      <c r="EM48" s="62"/>
      <c r="EN48" s="62"/>
      <c r="EO48" s="62"/>
      <c r="EP48" s="62"/>
      <c r="EQ48" s="62"/>
      <c r="ER48" s="62"/>
      <c r="ES48" s="62"/>
      <c r="ET48" s="62"/>
      <c r="EU48" s="62"/>
      <c r="EV48" s="62"/>
      <c r="EW48" s="62"/>
    </row>
    <row r="49" spans="1:153" ht="11.25" customHeight="1" x14ac:dyDescent="0.25">
      <c r="A49" s="75" t="s">
        <v>80</v>
      </c>
      <c r="B49" s="227"/>
      <c r="C49" s="66" t="s">
        <v>32</v>
      </c>
      <c r="D49" s="316">
        <v>4116652</v>
      </c>
      <c r="E49" s="316">
        <v>186592154</v>
      </c>
      <c r="F49" s="311">
        <f t="shared" si="2"/>
        <v>45.326190797764788</v>
      </c>
      <c r="G49" s="316">
        <f>+E49</f>
        <v>186592154</v>
      </c>
      <c r="H49" s="312">
        <f t="shared" si="3"/>
        <v>45.326190797764788</v>
      </c>
      <c r="I49" s="317"/>
      <c r="J49" s="317">
        <f>+G48*0.2</f>
        <v>54662897.520000011</v>
      </c>
      <c r="K49" s="89">
        <f t="shared" si="5"/>
        <v>-0.70704610913061217</v>
      </c>
      <c r="L49" s="81">
        <f>+J49*M49</f>
        <v>49196607.768000014</v>
      </c>
      <c r="M49" s="97">
        <v>0.9</v>
      </c>
      <c r="N49" s="81">
        <f>+J49*O49</f>
        <v>5466289.7520000013</v>
      </c>
      <c r="O49" s="97">
        <v>0.1</v>
      </c>
      <c r="P49" s="81"/>
      <c r="Q49" s="97"/>
      <c r="R49" s="81"/>
      <c r="S49" s="97"/>
      <c r="T49" s="316">
        <f>+J49</f>
        <v>54662897.520000011</v>
      </c>
      <c r="U49" s="339">
        <f t="shared" si="53"/>
        <v>-70.704610913061217</v>
      </c>
    </row>
    <row r="50" spans="1:153" s="64" customFormat="1" ht="13.5" customHeight="1" x14ac:dyDescent="0.25">
      <c r="A50" s="74"/>
      <c r="B50" s="222"/>
      <c r="C50" s="63" t="s">
        <v>81</v>
      </c>
      <c r="D50" s="314">
        <f>+D51+D56</f>
        <v>83980000000</v>
      </c>
      <c r="E50" s="314">
        <f t="shared" ref="E50:G50" si="79">+E51+E56</f>
        <v>71913926701</v>
      </c>
      <c r="F50" s="311">
        <f t="shared" si="2"/>
        <v>0.85632206121695642</v>
      </c>
      <c r="G50" s="314">
        <f t="shared" si="79"/>
        <v>71998926701</v>
      </c>
      <c r="H50" s="312">
        <f t="shared" si="3"/>
        <v>0.85733420696594431</v>
      </c>
      <c r="I50" s="315">
        <f t="shared" ref="I50" si="80">+I51+I56</f>
        <v>71913926701</v>
      </c>
      <c r="J50" s="315">
        <f t="shared" ref="J50:L50" si="81">+J51+J56</f>
        <v>85165000000</v>
      </c>
      <c r="K50" s="89">
        <f t="shared" si="5"/>
        <v>0.18286485510647391</v>
      </c>
      <c r="L50" s="84">
        <f t="shared" si="81"/>
        <v>0</v>
      </c>
      <c r="M50" s="97"/>
      <c r="N50" s="84">
        <f t="shared" ref="N50" si="82">+N51+N56</f>
        <v>0</v>
      </c>
      <c r="O50" s="97"/>
      <c r="P50" s="84">
        <f t="shared" ref="P50" si="83">+P51+P56</f>
        <v>8512000000</v>
      </c>
      <c r="Q50" s="97"/>
      <c r="R50" s="84">
        <f t="shared" ref="R50" si="84">+R51+R56</f>
        <v>76653000000</v>
      </c>
      <c r="S50" s="97"/>
      <c r="T50" s="314">
        <f t="shared" ref="T50" si="85">+T51+T56</f>
        <v>85165000000</v>
      </c>
      <c r="U50" s="340">
        <f t="shared" si="53"/>
        <v>18.286485510647395</v>
      </c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62"/>
      <c r="BG50" s="62"/>
      <c r="BH50" s="62"/>
      <c r="BI50" s="62"/>
      <c r="BJ50" s="62"/>
      <c r="BK50" s="62"/>
      <c r="BL50" s="62"/>
      <c r="BM50" s="62"/>
      <c r="BN50" s="62"/>
      <c r="BO50" s="62"/>
      <c r="BP50" s="62"/>
      <c r="BQ50" s="62"/>
      <c r="BR50" s="62"/>
      <c r="BS50" s="62"/>
      <c r="BT50" s="62"/>
      <c r="BU50" s="62"/>
      <c r="BV50" s="62"/>
      <c r="BW50" s="62"/>
      <c r="BX50" s="62"/>
      <c r="BY50" s="62"/>
      <c r="BZ50" s="62"/>
      <c r="CA50" s="62"/>
      <c r="CB50" s="62"/>
      <c r="CC50" s="62"/>
      <c r="CD50" s="62"/>
      <c r="CE50" s="62"/>
      <c r="CF50" s="62"/>
      <c r="CG50" s="62"/>
      <c r="CH50" s="62"/>
      <c r="CI50" s="62"/>
      <c r="CJ50" s="62"/>
      <c r="CK50" s="62"/>
      <c r="CL50" s="62"/>
      <c r="CM50" s="62"/>
      <c r="CN50" s="62"/>
      <c r="CO50" s="62"/>
      <c r="CP50" s="62"/>
      <c r="CQ50" s="62"/>
      <c r="CR50" s="62"/>
      <c r="CS50" s="62"/>
      <c r="CT50" s="62"/>
      <c r="CU50" s="62"/>
      <c r="CV50" s="62"/>
      <c r="CW50" s="62"/>
      <c r="CX50" s="62"/>
      <c r="CY50" s="62"/>
      <c r="CZ50" s="62"/>
      <c r="DA50" s="62"/>
      <c r="DB50" s="62"/>
      <c r="DC50" s="62"/>
      <c r="DD50" s="62"/>
      <c r="DE50" s="62"/>
      <c r="DF50" s="62"/>
      <c r="DG50" s="62"/>
      <c r="DH50" s="62"/>
      <c r="DI50" s="62"/>
      <c r="DJ50" s="62"/>
      <c r="DK50" s="62"/>
      <c r="DL50" s="62"/>
      <c r="DM50" s="62"/>
      <c r="DN50" s="62"/>
      <c r="DO50" s="62"/>
      <c r="DP50" s="62"/>
      <c r="DQ50" s="62"/>
      <c r="DR50" s="62"/>
      <c r="DS50" s="62"/>
      <c r="DT50" s="62"/>
      <c r="DU50" s="62"/>
      <c r="DV50" s="62"/>
      <c r="DW50" s="62"/>
      <c r="DX50" s="62"/>
      <c r="DY50" s="62"/>
      <c r="DZ50" s="62"/>
      <c r="EA50" s="62"/>
      <c r="EB50" s="62"/>
      <c r="EC50" s="62"/>
      <c r="ED50" s="62"/>
      <c r="EE50" s="62"/>
      <c r="EF50" s="62"/>
      <c r="EG50" s="62"/>
      <c r="EH50" s="62"/>
      <c r="EI50" s="62"/>
      <c r="EJ50" s="62"/>
      <c r="EK50" s="62"/>
      <c r="EL50" s="62"/>
      <c r="EM50" s="62"/>
      <c r="EN50" s="62"/>
      <c r="EO50" s="62"/>
      <c r="EP50" s="62"/>
      <c r="EQ50" s="62"/>
      <c r="ER50" s="62"/>
      <c r="ES50" s="62"/>
      <c r="ET50" s="62"/>
      <c r="EU50" s="62"/>
      <c r="EV50" s="62"/>
      <c r="EW50" s="62"/>
    </row>
    <row r="51" spans="1:153" ht="13.5" customHeight="1" x14ac:dyDescent="0.25">
      <c r="A51" s="75"/>
      <c r="B51" s="227"/>
      <c r="C51" s="66" t="s">
        <v>120</v>
      </c>
      <c r="D51" s="316">
        <f>+D52</f>
        <v>83817000000</v>
      </c>
      <c r="E51" s="316">
        <f t="shared" ref="E51:T52" si="86">+E52</f>
        <v>71835926701</v>
      </c>
      <c r="F51" s="311">
        <f t="shared" si="2"/>
        <v>0.85705676295978139</v>
      </c>
      <c r="G51" s="316">
        <f t="shared" si="86"/>
        <v>71835926701</v>
      </c>
      <c r="H51" s="312">
        <f t="shared" si="3"/>
        <v>0.85705676295978139</v>
      </c>
      <c r="I51" s="317">
        <f t="shared" si="86"/>
        <v>71835926701</v>
      </c>
      <c r="J51" s="317">
        <f t="shared" si="86"/>
        <v>85120000000</v>
      </c>
      <c r="K51" s="89">
        <f t="shared" si="5"/>
        <v>0.1849224184758109</v>
      </c>
      <c r="L51" s="85">
        <f t="shared" si="86"/>
        <v>0</v>
      </c>
      <c r="M51" s="97"/>
      <c r="N51" s="85">
        <f t="shared" si="86"/>
        <v>0</v>
      </c>
      <c r="O51" s="97"/>
      <c r="P51" s="85">
        <f t="shared" si="86"/>
        <v>8512000000</v>
      </c>
      <c r="Q51" s="97"/>
      <c r="R51" s="85">
        <f t="shared" si="86"/>
        <v>76608000000</v>
      </c>
      <c r="S51" s="97"/>
      <c r="T51" s="316">
        <f t="shared" si="86"/>
        <v>85120000000</v>
      </c>
      <c r="U51" s="339">
        <f t="shared" si="53"/>
        <v>18.492241847581099</v>
      </c>
    </row>
    <row r="52" spans="1:153" s="64" customFormat="1" ht="13.5" customHeight="1" x14ac:dyDescent="0.25">
      <c r="A52" s="74"/>
      <c r="B52" s="222"/>
      <c r="C52" s="63" t="s">
        <v>83</v>
      </c>
      <c r="D52" s="314">
        <f>+D53</f>
        <v>83817000000</v>
      </c>
      <c r="E52" s="314">
        <f t="shared" si="86"/>
        <v>71835926701</v>
      </c>
      <c r="F52" s="311">
        <f t="shared" si="2"/>
        <v>0.85705676295978139</v>
      </c>
      <c r="G52" s="314">
        <f t="shared" si="86"/>
        <v>71835926701</v>
      </c>
      <c r="H52" s="312">
        <f t="shared" si="3"/>
        <v>0.85705676295978139</v>
      </c>
      <c r="I52" s="315">
        <f t="shared" si="86"/>
        <v>71835926701</v>
      </c>
      <c r="J52" s="315">
        <f t="shared" si="86"/>
        <v>85120000000</v>
      </c>
      <c r="K52" s="89">
        <f t="shared" si="5"/>
        <v>0.1849224184758109</v>
      </c>
      <c r="L52" s="84">
        <f t="shared" si="86"/>
        <v>0</v>
      </c>
      <c r="M52" s="97"/>
      <c r="N52" s="84">
        <f t="shared" si="86"/>
        <v>0</v>
      </c>
      <c r="O52" s="97"/>
      <c r="P52" s="84">
        <f t="shared" si="86"/>
        <v>8512000000</v>
      </c>
      <c r="Q52" s="97"/>
      <c r="R52" s="84">
        <f t="shared" si="86"/>
        <v>76608000000</v>
      </c>
      <c r="S52" s="97"/>
      <c r="T52" s="314">
        <f t="shared" si="86"/>
        <v>85120000000</v>
      </c>
      <c r="U52" s="340">
        <f t="shared" si="53"/>
        <v>18.492241847581099</v>
      </c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2"/>
      <c r="BR52" s="62"/>
      <c r="BS52" s="62"/>
      <c r="BT52" s="62"/>
      <c r="BU52" s="62"/>
      <c r="BV52" s="62"/>
      <c r="BW52" s="62"/>
      <c r="BX52" s="62"/>
      <c r="BY52" s="62"/>
      <c r="BZ52" s="62"/>
      <c r="CA52" s="62"/>
      <c r="CB52" s="62"/>
      <c r="CC52" s="62"/>
      <c r="CD52" s="62"/>
      <c r="CE52" s="62"/>
      <c r="CF52" s="62"/>
      <c r="CG52" s="62"/>
      <c r="CH52" s="62"/>
      <c r="CI52" s="62"/>
      <c r="CJ52" s="62"/>
      <c r="CK52" s="62"/>
      <c r="CL52" s="62"/>
      <c r="CM52" s="62"/>
      <c r="CN52" s="62"/>
      <c r="CO52" s="62"/>
      <c r="CP52" s="62"/>
      <c r="CQ52" s="62"/>
      <c r="CR52" s="62"/>
      <c r="CS52" s="62"/>
      <c r="CT52" s="62"/>
      <c r="CU52" s="62"/>
      <c r="CV52" s="62"/>
      <c r="CW52" s="62"/>
      <c r="CX52" s="62"/>
      <c r="CY52" s="62"/>
      <c r="CZ52" s="62"/>
      <c r="DA52" s="62"/>
      <c r="DB52" s="62"/>
      <c r="DC52" s="62"/>
      <c r="DD52" s="62"/>
      <c r="DE52" s="62"/>
      <c r="DF52" s="62"/>
      <c r="DG52" s="62"/>
      <c r="DH52" s="62"/>
      <c r="DI52" s="62"/>
      <c r="DJ52" s="62"/>
      <c r="DK52" s="62"/>
      <c r="DL52" s="62"/>
      <c r="DM52" s="62"/>
      <c r="DN52" s="62"/>
      <c r="DO52" s="62"/>
      <c r="DP52" s="62"/>
      <c r="DQ52" s="62"/>
      <c r="DR52" s="62"/>
      <c r="DS52" s="62"/>
      <c r="DT52" s="62"/>
      <c r="DU52" s="62"/>
      <c r="DV52" s="62"/>
      <c r="DW52" s="62"/>
      <c r="DX52" s="62"/>
      <c r="DY52" s="62"/>
      <c r="DZ52" s="62"/>
      <c r="EA52" s="62"/>
      <c r="EB52" s="62"/>
      <c r="EC52" s="62"/>
      <c r="ED52" s="62"/>
      <c r="EE52" s="62"/>
      <c r="EF52" s="62"/>
      <c r="EG52" s="62"/>
      <c r="EH52" s="62"/>
      <c r="EI52" s="62"/>
      <c r="EJ52" s="62"/>
      <c r="EK52" s="62"/>
      <c r="EL52" s="62"/>
      <c r="EM52" s="62"/>
      <c r="EN52" s="62"/>
      <c r="EO52" s="62"/>
      <c r="EP52" s="62"/>
      <c r="EQ52" s="62"/>
      <c r="ER52" s="62"/>
      <c r="ES52" s="62"/>
      <c r="ET52" s="62"/>
      <c r="EU52" s="62"/>
      <c r="EV52" s="62"/>
      <c r="EW52" s="62"/>
    </row>
    <row r="53" spans="1:153" ht="13.5" customHeight="1" x14ac:dyDescent="0.25">
      <c r="A53" s="75"/>
      <c r="B53" s="227">
        <v>61</v>
      </c>
      <c r="C53" s="66" t="s">
        <v>84</v>
      </c>
      <c r="D53" s="316">
        <f>+D54+D55</f>
        <v>83817000000</v>
      </c>
      <c r="E53" s="316">
        <f t="shared" ref="E53:G53" si="87">+E54+E55</f>
        <v>71835926701</v>
      </c>
      <c r="F53" s="311">
        <f t="shared" si="2"/>
        <v>0.85705676295978139</v>
      </c>
      <c r="G53" s="316">
        <f t="shared" si="87"/>
        <v>71835926701</v>
      </c>
      <c r="H53" s="312">
        <f t="shared" si="3"/>
        <v>0.85705676295978139</v>
      </c>
      <c r="I53" s="318">
        <f>+I54+I55</f>
        <v>71835926701</v>
      </c>
      <c r="J53" s="318">
        <f>+J54+J55</f>
        <v>85120000000</v>
      </c>
      <c r="K53" s="89">
        <f t="shared" si="5"/>
        <v>0.1849224184758109</v>
      </c>
      <c r="L53" s="87">
        <f>+L54+L55</f>
        <v>0</v>
      </c>
      <c r="M53" s="97"/>
      <c r="N53" s="87">
        <f>+N54+N55</f>
        <v>0</v>
      </c>
      <c r="O53" s="97"/>
      <c r="P53" s="87">
        <f>+P54+P55</f>
        <v>8512000000</v>
      </c>
      <c r="Q53" s="97"/>
      <c r="R53" s="87">
        <f>+R54+R55</f>
        <v>76608000000</v>
      </c>
      <c r="S53" s="97"/>
      <c r="T53" s="316">
        <f t="shared" ref="T53" si="88">+T54+T55</f>
        <v>85120000000</v>
      </c>
      <c r="U53" s="339">
        <f t="shared" si="53"/>
        <v>18.492241847581099</v>
      </c>
    </row>
    <row r="54" spans="1:153" s="64" customFormat="1" ht="13.5" customHeight="1" x14ac:dyDescent="0.25">
      <c r="A54" s="74"/>
      <c r="B54" s="222"/>
      <c r="C54" s="63" t="s">
        <v>30</v>
      </c>
      <c r="D54" s="314">
        <v>75617000000</v>
      </c>
      <c r="E54" s="314">
        <v>65287736422</v>
      </c>
      <c r="F54" s="311">
        <f t="shared" si="2"/>
        <v>0.86340024626737377</v>
      </c>
      <c r="G54" s="314">
        <f>+E54</f>
        <v>65287736422</v>
      </c>
      <c r="H54" s="312">
        <f t="shared" si="3"/>
        <v>0.86340024626737377</v>
      </c>
      <c r="I54" s="315">
        <f>+'[2]COMPARATIVO RECAUDOS'!$F$30</f>
        <v>71835926701</v>
      </c>
      <c r="J54" s="315">
        <v>78120000000</v>
      </c>
      <c r="K54" s="89">
        <f t="shared" si="5"/>
        <v>0.19654937176954895</v>
      </c>
      <c r="L54" s="80"/>
      <c r="M54" s="97"/>
      <c r="N54" s="80"/>
      <c r="O54" s="97"/>
      <c r="P54" s="80">
        <f>+J54*Q54</f>
        <v>7812000000</v>
      </c>
      <c r="Q54" s="97">
        <v>0.1</v>
      </c>
      <c r="R54" s="80">
        <f>+J54*S54</f>
        <v>70308000000</v>
      </c>
      <c r="S54" s="97">
        <v>0.9</v>
      </c>
      <c r="T54" s="314">
        <f>85120000000-6118210716</f>
        <v>79001789284</v>
      </c>
      <c r="U54" s="340">
        <f t="shared" si="53"/>
        <v>19.654937176954903</v>
      </c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2"/>
      <c r="BR54" s="62"/>
      <c r="BS54" s="62"/>
      <c r="BT54" s="62"/>
      <c r="BU54" s="62"/>
      <c r="BV54" s="62"/>
      <c r="BW54" s="62"/>
      <c r="BX54" s="62"/>
      <c r="BY54" s="62"/>
      <c r="BZ54" s="62"/>
      <c r="CA54" s="62"/>
      <c r="CB54" s="62"/>
      <c r="CC54" s="62"/>
      <c r="CD54" s="62"/>
      <c r="CE54" s="62"/>
      <c r="CF54" s="62"/>
      <c r="CG54" s="62"/>
      <c r="CH54" s="62"/>
      <c r="CI54" s="62"/>
      <c r="CJ54" s="62"/>
      <c r="CK54" s="62"/>
      <c r="CL54" s="62"/>
      <c r="CM54" s="62"/>
      <c r="CN54" s="62"/>
      <c r="CO54" s="62"/>
      <c r="CP54" s="62"/>
      <c r="CQ54" s="62"/>
      <c r="CR54" s="62"/>
      <c r="CS54" s="62"/>
      <c r="CT54" s="62"/>
      <c r="CU54" s="62"/>
      <c r="CV54" s="62"/>
      <c r="CW54" s="62"/>
      <c r="CX54" s="62"/>
      <c r="CY54" s="62"/>
      <c r="CZ54" s="62"/>
      <c r="DA54" s="62"/>
      <c r="DB54" s="62"/>
      <c r="DC54" s="62"/>
      <c r="DD54" s="62"/>
      <c r="DE54" s="62"/>
      <c r="DF54" s="62"/>
      <c r="DG54" s="62"/>
      <c r="DH54" s="62"/>
      <c r="DI54" s="62"/>
      <c r="DJ54" s="62"/>
      <c r="DK54" s="62"/>
      <c r="DL54" s="62"/>
      <c r="DM54" s="62"/>
      <c r="DN54" s="62"/>
      <c r="DO54" s="62"/>
      <c r="DP54" s="62"/>
      <c r="DQ54" s="62"/>
      <c r="DR54" s="62"/>
      <c r="DS54" s="62"/>
      <c r="DT54" s="62"/>
      <c r="DU54" s="62"/>
      <c r="DV54" s="62"/>
      <c r="DW54" s="62"/>
      <c r="DX54" s="62"/>
      <c r="DY54" s="62"/>
      <c r="DZ54" s="62"/>
      <c r="EA54" s="62"/>
      <c r="EB54" s="62"/>
      <c r="EC54" s="62"/>
      <c r="ED54" s="62"/>
      <c r="EE54" s="62"/>
      <c r="EF54" s="62"/>
      <c r="EG54" s="62"/>
      <c r="EH54" s="62"/>
      <c r="EI54" s="62"/>
      <c r="EJ54" s="62"/>
      <c r="EK54" s="62"/>
      <c r="EL54" s="62"/>
      <c r="EM54" s="62"/>
      <c r="EN54" s="62"/>
      <c r="EO54" s="62"/>
      <c r="EP54" s="62"/>
      <c r="EQ54" s="62"/>
      <c r="ER54" s="62"/>
      <c r="ES54" s="62"/>
      <c r="ET54" s="62"/>
      <c r="EU54" s="62"/>
      <c r="EV54" s="62"/>
      <c r="EW54" s="62"/>
    </row>
    <row r="55" spans="1:153" ht="13.5" customHeight="1" x14ac:dyDescent="0.25">
      <c r="A55" s="75"/>
      <c r="B55" s="227"/>
      <c r="C55" s="66" t="s">
        <v>32</v>
      </c>
      <c r="D55" s="316">
        <v>8200000000</v>
      </c>
      <c r="E55" s="316">
        <v>6548190279</v>
      </c>
      <c r="F55" s="311">
        <f t="shared" si="2"/>
        <v>0.79855979012195122</v>
      </c>
      <c r="G55" s="316">
        <f>+E55</f>
        <v>6548190279</v>
      </c>
      <c r="H55" s="312">
        <f t="shared" si="3"/>
        <v>0.79855979012195122</v>
      </c>
      <c r="I55" s="318"/>
      <c r="J55" s="318">
        <v>7000000000</v>
      </c>
      <c r="K55" s="89">
        <f t="shared" si="5"/>
        <v>6.8997646945133925E-2</v>
      </c>
      <c r="L55" s="81"/>
      <c r="M55" s="97"/>
      <c r="N55" s="81"/>
      <c r="O55" s="97"/>
      <c r="P55" s="81">
        <f>+J55*Q55</f>
        <v>700000000</v>
      </c>
      <c r="Q55" s="97">
        <v>0.1</v>
      </c>
      <c r="R55" s="81">
        <f>+J55*S55</f>
        <v>6300000000</v>
      </c>
      <c r="S55" s="97">
        <v>0.9</v>
      </c>
      <c r="T55" s="316">
        <f>3059105358*2</f>
        <v>6118210716</v>
      </c>
      <c r="U55" s="339">
        <f t="shared" si="53"/>
        <v>6.8997646945133937</v>
      </c>
    </row>
    <row r="56" spans="1:153" s="64" customFormat="1" ht="13.5" customHeight="1" x14ac:dyDescent="0.25">
      <c r="A56" s="74"/>
      <c r="B56" s="222"/>
      <c r="C56" s="63" t="s">
        <v>121</v>
      </c>
      <c r="D56" s="314">
        <f>+D57</f>
        <v>163000000</v>
      </c>
      <c r="E56" s="314">
        <f t="shared" ref="E56:T56" si="89">+E57</f>
        <v>78000000</v>
      </c>
      <c r="F56" s="311">
        <f t="shared" si="2"/>
        <v>0.4785276073619632</v>
      </c>
      <c r="G56" s="314">
        <f t="shared" si="89"/>
        <v>163000000</v>
      </c>
      <c r="H56" s="312">
        <f t="shared" si="3"/>
        <v>1</v>
      </c>
      <c r="I56" s="315">
        <f t="shared" si="89"/>
        <v>78000000</v>
      </c>
      <c r="J56" s="315">
        <f t="shared" si="89"/>
        <v>45000000</v>
      </c>
      <c r="K56" s="89">
        <f t="shared" si="5"/>
        <v>-0.7239263803680982</v>
      </c>
      <c r="L56" s="84">
        <f t="shared" si="89"/>
        <v>0</v>
      </c>
      <c r="M56" s="97"/>
      <c r="N56" s="84">
        <f t="shared" si="89"/>
        <v>0</v>
      </c>
      <c r="O56" s="97"/>
      <c r="P56" s="84">
        <f t="shared" si="89"/>
        <v>0</v>
      </c>
      <c r="Q56" s="97"/>
      <c r="R56" s="84">
        <f t="shared" si="89"/>
        <v>45000000</v>
      </c>
      <c r="S56" s="97"/>
      <c r="T56" s="314">
        <f t="shared" si="89"/>
        <v>45000000</v>
      </c>
      <c r="U56" s="340">
        <f t="shared" si="53"/>
        <v>-72.392638036809814</v>
      </c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2"/>
      <c r="BE56" s="62"/>
      <c r="BF56" s="62"/>
      <c r="BG56" s="62"/>
      <c r="BH56" s="62"/>
      <c r="BI56" s="62"/>
      <c r="BJ56" s="62"/>
      <c r="BK56" s="62"/>
      <c r="BL56" s="62"/>
      <c r="BM56" s="62"/>
      <c r="BN56" s="62"/>
      <c r="BO56" s="62"/>
      <c r="BP56" s="62"/>
      <c r="BQ56" s="62"/>
      <c r="BR56" s="62"/>
      <c r="BS56" s="62"/>
      <c r="BT56" s="62"/>
      <c r="BU56" s="62"/>
      <c r="BV56" s="62"/>
      <c r="BW56" s="62"/>
      <c r="BX56" s="62"/>
      <c r="BY56" s="62"/>
      <c r="BZ56" s="62"/>
      <c r="CA56" s="62"/>
      <c r="CB56" s="62"/>
      <c r="CC56" s="62"/>
      <c r="CD56" s="62"/>
      <c r="CE56" s="62"/>
      <c r="CF56" s="62"/>
      <c r="CG56" s="62"/>
      <c r="CH56" s="62"/>
      <c r="CI56" s="62"/>
      <c r="CJ56" s="62"/>
      <c r="CK56" s="62"/>
      <c r="CL56" s="62"/>
      <c r="CM56" s="62"/>
      <c r="CN56" s="62"/>
      <c r="CO56" s="62"/>
      <c r="CP56" s="62"/>
      <c r="CQ56" s="62"/>
      <c r="CR56" s="62"/>
      <c r="CS56" s="62"/>
      <c r="CT56" s="62"/>
      <c r="CU56" s="62"/>
      <c r="CV56" s="62"/>
      <c r="CW56" s="62"/>
      <c r="CX56" s="62"/>
      <c r="CY56" s="62"/>
      <c r="CZ56" s="62"/>
      <c r="DA56" s="62"/>
      <c r="DB56" s="62"/>
      <c r="DC56" s="62"/>
      <c r="DD56" s="62"/>
      <c r="DE56" s="62"/>
      <c r="DF56" s="62"/>
      <c r="DG56" s="62"/>
      <c r="DH56" s="62"/>
      <c r="DI56" s="62"/>
      <c r="DJ56" s="62"/>
      <c r="DK56" s="62"/>
      <c r="DL56" s="62"/>
      <c r="DM56" s="62"/>
      <c r="DN56" s="62"/>
      <c r="DO56" s="62"/>
      <c r="DP56" s="62"/>
      <c r="DQ56" s="62"/>
      <c r="DR56" s="62"/>
      <c r="DS56" s="62"/>
      <c r="DT56" s="62"/>
      <c r="DU56" s="62"/>
      <c r="DV56" s="62"/>
      <c r="DW56" s="62"/>
      <c r="DX56" s="62"/>
      <c r="DY56" s="62"/>
      <c r="DZ56" s="62"/>
      <c r="EA56" s="62"/>
      <c r="EB56" s="62"/>
      <c r="EC56" s="62"/>
      <c r="ED56" s="62"/>
      <c r="EE56" s="62"/>
      <c r="EF56" s="62"/>
      <c r="EG56" s="62"/>
      <c r="EH56" s="62"/>
      <c r="EI56" s="62"/>
      <c r="EJ56" s="62"/>
      <c r="EK56" s="62"/>
      <c r="EL56" s="62"/>
      <c r="EM56" s="62"/>
      <c r="EN56" s="62"/>
      <c r="EO56" s="62"/>
      <c r="EP56" s="62"/>
      <c r="EQ56" s="62"/>
      <c r="ER56" s="62"/>
      <c r="ES56" s="62"/>
      <c r="ET56" s="62"/>
      <c r="EU56" s="62"/>
      <c r="EV56" s="62"/>
      <c r="EW56" s="62"/>
    </row>
    <row r="57" spans="1:153" ht="13.5" customHeight="1" x14ac:dyDescent="0.25">
      <c r="A57" s="75"/>
      <c r="B57" s="227">
        <v>62</v>
      </c>
      <c r="C57" s="66" t="s">
        <v>121</v>
      </c>
      <c r="D57" s="316">
        <v>163000000</v>
      </c>
      <c r="E57" s="316">
        <v>78000000</v>
      </c>
      <c r="F57" s="311">
        <f t="shared" si="2"/>
        <v>0.4785276073619632</v>
      </c>
      <c r="G57" s="316">
        <v>163000000</v>
      </c>
      <c r="H57" s="312">
        <f t="shared" si="3"/>
        <v>1</v>
      </c>
      <c r="I57" s="318">
        <f>+'[2]COMPARATIVO RECAUDOS'!$F$31</f>
        <v>78000000</v>
      </c>
      <c r="J57" s="318">
        <v>45000000</v>
      </c>
      <c r="K57" s="89">
        <f t="shared" si="5"/>
        <v>-0.7239263803680982</v>
      </c>
      <c r="L57" s="81"/>
      <c r="M57" s="97"/>
      <c r="N57" s="81"/>
      <c r="O57" s="97"/>
      <c r="P57" s="81"/>
      <c r="Q57" s="97"/>
      <c r="R57" s="81">
        <f>+S57*J57</f>
        <v>45000000</v>
      </c>
      <c r="S57" s="97">
        <v>1</v>
      </c>
      <c r="T57" s="316">
        <f>+J57</f>
        <v>45000000</v>
      </c>
      <c r="U57" s="339">
        <f t="shared" si="53"/>
        <v>-72.392638036809814</v>
      </c>
    </row>
    <row r="58" spans="1:153" s="64" customFormat="1" x14ac:dyDescent="0.25">
      <c r="A58" s="74" t="s">
        <v>85</v>
      </c>
      <c r="B58" s="222"/>
      <c r="C58" s="63" t="s">
        <v>86</v>
      </c>
      <c r="D58" s="314">
        <f>+D59+D61+D62</f>
        <v>17718920085</v>
      </c>
      <c r="E58" s="314">
        <f>+E59+E61</f>
        <v>21006549026.880001</v>
      </c>
      <c r="F58" s="311">
        <f t="shared" si="2"/>
        <v>1.1855434149546817</v>
      </c>
      <c r="G58" s="314">
        <f t="shared" ref="G58" si="90">+G59+G61+G62</f>
        <v>22886621651.456001</v>
      </c>
      <c r="H58" s="312">
        <f t="shared" si="3"/>
        <v>1.2916487879433878</v>
      </c>
      <c r="I58" s="315">
        <f>+I59+I61+I62</f>
        <v>22982418742.060001</v>
      </c>
      <c r="J58" s="315">
        <f>+J59+J61+J62</f>
        <v>504375319.82880008</v>
      </c>
      <c r="K58" s="89">
        <f t="shared" si="5"/>
        <v>-0.97796200210279993</v>
      </c>
      <c r="L58" s="84">
        <f>+L59+L61+L62</f>
        <v>0</v>
      </c>
      <c r="M58" s="97"/>
      <c r="N58" s="84">
        <f>+N59+N61+N62</f>
        <v>0</v>
      </c>
      <c r="O58" s="98"/>
      <c r="P58" s="84">
        <f>+P59+P61+P62</f>
        <v>50437531.982880011</v>
      </c>
      <c r="Q58" s="97"/>
      <c r="R58" s="84">
        <f>+R59+R61+R62</f>
        <v>453937787.84592009</v>
      </c>
      <c r="S58" s="97"/>
      <c r="T58" s="314">
        <f t="shared" ref="T58" si="91">+T59+T61+T62</f>
        <v>504375319.82880008</v>
      </c>
      <c r="U58" s="340">
        <f t="shared" si="53"/>
        <v>-97.796200210279991</v>
      </c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62"/>
      <c r="BB58" s="62"/>
      <c r="BC58" s="62"/>
      <c r="BD58" s="62"/>
      <c r="BE58" s="62"/>
      <c r="BF58" s="62"/>
      <c r="BG58" s="62"/>
      <c r="BH58" s="62"/>
      <c r="BI58" s="62"/>
      <c r="BJ58" s="62"/>
      <c r="BK58" s="62"/>
      <c r="BL58" s="62"/>
      <c r="BM58" s="62"/>
      <c r="BN58" s="62"/>
      <c r="BO58" s="62"/>
      <c r="BP58" s="62"/>
      <c r="BQ58" s="62"/>
      <c r="BR58" s="62"/>
      <c r="BS58" s="62"/>
      <c r="BT58" s="62"/>
      <c r="BU58" s="62"/>
      <c r="BV58" s="62"/>
      <c r="BW58" s="62"/>
      <c r="BX58" s="62"/>
      <c r="BY58" s="62"/>
      <c r="BZ58" s="62"/>
      <c r="CA58" s="62"/>
      <c r="CB58" s="62"/>
      <c r="CC58" s="62"/>
      <c r="CD58" s="62"/>
      <c r="CE58" s="62"/>
      <c r="CF58" s="62"/>
      <c r="CG58" s="62"/>
      <c r="CH58" s="62"/>
      <c r="CI58" s="62"/>
      <c r="CJ58" s="62"/>
      <c r="CK58" s="62"/>
      <c r="CL58" s="62"/>
      <c r="CM58" s="62"/>
      <c r="CN58" s="62"/>
      <c r="CO58" s="62"/>
      <c r="CP58" s="62"/>
      <c r="CQ58" s="62"/>
      <c r="CR58" s="62"/>
      <c r="CS58" s="62"/>
      <c r="CT58" s="62"/>
      <c r="CU58" s="62"/>
      <c r="CV58" s="62"/>
      <c r="CW58" s="62"/>
      <c r="CX58" s="62"/>
      <c r="CY58" s="62"/>
      <c r="CZ58" s="62"/>
      <c r="DA58" s="62"/>
      <c r="DB58" s="62"/>
      <c r="DC58" s="62"/>
      <c r="DD58" s="62"/>
      <c r="DE58" s="62"/>
      <c r="DF58" s="62"/>
      <c r="DG58" s="62"/>
      <c r="DH58" s="62"/>
      <c r="DI58" s="62"/>
      <c r="DJ58" s="62"/>
      <c r="DK58" s="62"/>
      <c r="DL58" s="62"/>
      <c r="DM58" s="62"/>
      <c r="DN58" s="62"/>
      <c r="DO58" s="62"/>
      <c r="DP58" s="62"/>
      <c r="DQ58" s="62"/>
      <c r="DR58" s="62"/>
      <c r="DS58" s="62"/>
      <c r="DT58" s="62"/>
      <c r="DU58" s="62"/>
      <c r="DV58" s="62"/>
      <c r="DW58" s="62"/>
      <c r="DX58" s="62"/>
      <c r="DY58" s="62"/>
      <c r="DZ58" s="62"/>
      <c r="EA58" s="62"/>
      <c r="EB58" s="62"/>
      <c r="EC58" s="62"/>
      <c r="ED58" s="62"/>
      <c r="EE58" s="62"/>
      <c r="EF58" s="62"/>
      <c r="EG58" s="62"/>
      <c r="EH58" s="62"/>
      <c r="EI58" s="62"/>
      <c r="EJ58" s="62"/>
      <c r="EK58" s="62"/>
      <c r="EL58" s="62"/>
      <c r="EM58" s="62"/>
      <c r="EN58" s="62"/>
      <c r="EO58" s="62"/>
      <c r="EP58" s="62"/>
      <c r="EQ58" s="62"/>
      <c r="ER58" s="62"/>
      <c r="ES58" s="62"/>
      <c r="ET58" s="62"/>
      <c r="EU58" s="62"/>
      <c r="EV58" s="62"/>
      <c r="EW58" s="62"/>
    </row>
    <row r="59" spans="1:153" x14ac:dyDescent="0.25">
      <c r="A59" s="75" t="s">
        <v>87</v>
      </c>
      <c r="B59" s="227"/>
      <c r="C59" s="66" t="s">
        <v>88</v>
      </c>
      <c r="D59" s="316">
        <f>+D60</f>
        <v>245599803</v>
      </c>
      <c r="E59" s="316">
        <f t="shared" ref="E59:G59" si="92">+E60</f>
        <v>400297872.88</v>
      </c>
      <c r="F59" s="311">
        <f t="shared" si="2"/>
        <v>1.629878639927085</v>
      </c>
      <c r="G59" s="316">
        <f t="shared" si="92"/>
        <v>480357447.45600003</v>
      </c>
      <c r="H59" s="312">
        <f t="shared" si="3"/>
        <v>1.955854367912502</v>
      </c>
      <c r="I59" s="318">
        <f>+I60</f>
        <v>576167588.05999994</v>
      </c>
      <c r="J59" s="318">
        <f>+J60</f>
        <v>504375319.82880008</v>
      </c>
      <c r="K59" s="89">
        <f t="shared" si="5"/>
        <v>5.0000000000000107E-2</v>
      </c>
      <c r="L59" s="87">
        <f>+L60</f>
        <v>0</v>
      </c>
      <c r="M59" s="97"/>
      <c r="N59" s="87">
        <f>+N60</f>
        <v>0</v>
      </c>
      <c r="O59" s="98"/>
      <c r="P59" s="87">
        <f>+P60</f>
        <v>50437531.982880011</v>
      </c>
      <c r="Q59" s="97"/>
      <c r="R59" s="87">
        <f>+R60</f>
        <v>453937787.84592009</v>
      </c>
      <c r="S59" s="97"/>
      <c r="T59" s="316">
        <f t="shared" ref="T59" si="93">+T60</f>
        <v>504375319.82880008</v>
      </c>
      <c r="U59" s="339">
        <f t="shared" si="53"/>
        <v>5</v>
      </c>
    </row>
    <row r="60" spans="1:153" s="64" customFormat="1" x14ac:dyDescent="0.25">
      <c r="A60" s="63" t="s">
        <v>89</v>
      </c>
      <c r="B60" s="224">
        <v>71</v>
      </c>
      <c r="C60" s="63" t="s">
        <v>90</v>
      </c>
      <c r="D60" s="314">
        <v>245599803</v>
      </c>
      <c r="E60" s="314">
        <v>400297872.88</v>
      </c>
      <c r="F60" s="311">
        <f t="shared" si="2"/>
        <v>1.629878639927085</v>
      </c>
      <c r="G60" s="314">
        <f>+(E60/10)*12</f>
        <v>480357447.45600003</v>
      </c>
      <c r="H60" s="312">
        <f t="shared" si="3"/>
        <v>1.955854367912502</v>
      </c>
      <c r="I60" s="315">
        <f>+'[2]COMPARATIVO RECAUDOS'!$F$33</f>
        <v>576167588.05999994</v>
      </c>
      <c r="J60" s="315">
        <f>+G60*1.05</f>
        <v>504375319.82880008</v>
      </c>
      <c r="K60" s="89">
        <f t="shared" si="5"/>
        <v>5.0000000000000107E-2</v>
      </c>
      <c r="L60" s="80"/>
      <c r="M60" s="97"/>
      <c r="N60" s="80"/>
      <c r="O60" s="98"/>
      <c r="P60" s="80">
        <f>+J60*Q60</f>
        <v>50437531.982880011</v>
      </c>
      <c r="Q60" s="97">
        <v>0.1</v>
      </c>
      <c r="R60" s="80">
        <f>+J60*S60</f>
        <v>453937787.84592009</v>
      </c>
      <c r="S60" s="97">
        <v>0.9</v>
      </c>
      <c r="T60" s="314">
        <f>+J60</f>
        <v>504375319.82880008</v>
      </c>
      <c r="U60" s="340">
        <f t="shared" si="53"/>
        <v>5</v>
      </c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2"/>
      <c r="BK60" s="62"/>
      <c r="BL60" s="62"/>
      <c r="BM60" s="62"/>
      <c r="BN60" s="62"/>
      <c r="BO60" s="62"/>
      <c r="BP60" s="62"/>
      <c r="BQ60" s="62"/>
      <c r="BR60" s="62"/>
      <c r="BS60" s="62"/>
      <c r="BT60" s="62"/>
      <c r="BU60" s="62"/>
      <c r="BV60" s="62"/>
      <c r="BW60" s="62"/>
      <c r="BX60" s="62"/>
      <c r="BY60" s="62"/>
      <c r="BZ60" s="62"/>
      <c r="CA60" s="62"/>
      <c r="CB60" s="62"/>
      <c r="CC60" s="62"/>
      <c r="CD60" s="62"/>
      <c r="CE60" s="62"/>
      <c r="CF60" s="62"/>
      <c r="CG60" s="62"/>
      <c r="CH60" s="62"/>
      <c r="CI60" s="62"/>
      <c r="CJ60" s="62"/>
      <c r="CK60" s="62"/>
      <c r="CL60" s="62"/>
      <c r="CM60" s="62"/>
      <c r="CN60" s="62"/>
      <c r="CO60" s="62"/>
      <c r="CP60" s="62"/>
      <c r="CQ60" s="62"/>
      <c r="CR60" s="62"/>
      <c r="CS60" s="62"/>
      <c r="CT60" s="62"/>
      <c r="CU60" s="62"/>
      <c r="CV60" s="62"/>
      <c r="CW60" s="62"/>
      <c r="CX60" s="62"/>
      <c r="CY60" s="62"/>
      <c r="CZ60" s="62"/>
      <c r="DA60" s="62"/>
      <c r="DB60" s="62"/>
      <c r="DC60" s="62"/>
      <c r="DD60" s="62"/>
      <c r="DE60" s="62"/>
      <c r="DF60" s="62"/>
      <c r="DG60" s="62"/>
      <c r="DH60" s="62"/>
      <c r="DI60" s="62"/>
      <c r="DJ60" s="62"/>
      <c r="DK60" s="62"/>
      <c r="DL60" s="62"/>
      <c r="DM60" s="62"/>
      <c r="DN60" s="62"/>
      <c r="DO60" s="62"/>
      <c r="DP60" s="62"/>
      <c r="DQ60" s="62"/>
      <c r="DR60" s="62"/>
      <c r="DS60" s="62"/>
      <c r="DT60" s="62"/>
      <c r="DU60" s="62"/>
      <c r="DV60" s="62"/>
      <c r="DW60" s="62"/>
      <c r="DX60" s="62"/>
      <c r="DY60" s="62"/>
      <c r="DZ60" s="62"/>
      <c r="EA60" s="62"/>
      <c r="EB60" s="62"/>
      <c r="EC60" s="62"/>
      <c r="ED60" s="62"/>
      <c r="EE60" s="62"/>
      <c r="EF60" s="62"/>
      <c r="EG60" s="62"/>
      <c r="EH60" s="62"/>
      <c r="EI60" s="62"/>
      <c r="EJ60" s="62"/>
      <c r="EK60" s="62"/>
      <c r="EL60" s="62"/>
      <c r="EM60" s="62"/>
      <c r="EN60" s="62"/>
      <c r="EO60" s="62"/>
      <c r="EP60" s="62"/>
      <c r="EQ60" s="62"/>
      <c r="ER60" s="62"/>
      <c r="ES60" s="62"/>
      <c r="ET60" s="62"/>
      <c r="EU60" s="62"/>
      <c r="EV60" s="62"/>
      <c r="EW60" s="62"/>
    </row>
    <row r="61" spans="1:153" x14ac:dyDescent="0.25">
      <c r="A61" s="75" t="s">
        <v>91</v>
      </c>
      <c r="B61" s="227"/>
      <c r="C61" s="66" t="s">
        <v>92</v>
      </c>
      <c r="D61" s="316">
        <f>+D63</f>
        <v>17473320282</v>
      </c>
      <c r="E61" s="316">
        <f t="shared" ref="E61:G61" si="94">+E63</f>
        <v>20606251154</v>
      </c>
      <c r="F61" s="311">
        <f t="shared" si="2"/>
        <v>1.1792979709315672</v>
      </c>
      <c r="G61" s="316">
        <f t="shared" si="94"/>
        <v>22406264204</v>
      </c>
      <c r="H61" s="312">
        <f t="shared" si="3"/>
        <v>1.2823129114780567</v>
      </c>
      <c r="I61" s="317">
        <f>+I63</f>
        <v>22406251154</v>
      </c>
      <c r="J61" s="317">
        <f>+J63</f>
        <v>0</v>
      </c>
      <c r="K61" s="89">
        <f t="shared" si="5"/>
        <v>-1</v>
      </c>
      <c r="L61" s="85">
        <f>+L63</f>
        <v>0</v>
      </c>
      <c r="M61" s="97"/>
      <c r="N61" s="85">
        <f>+N63</f>
        <v>0</v>
      </c>
      <c r="O61" s="98"/>
      <c r="P61" s="85">
        <f>+P63</f>
        <v>0</v>
      </c>
      <c r="Q61" s="97"/>
      <c r="R61" s="85">
        <f>+R63</f>
        <v>0</v>
      </c>
      <c r="S61" s="97"/>
      <c r="T61" s="316">
        <f t="shared" ref="T61" si="95">+T63</f>
        <v>0</v>
      </c>
      <c r="U61" s="339">
        <f t="shared" si="53"/>
        <v>-100</v>
      </c>
    </row>
    <row r="62" spans="1:153" hidden="1" x14ac:dyDescent="0.25">
      <c r="A62" s="75" t="s">
        <v>93</v>
      </c>
      <c r="B62" s="227">
        <v>72</v>
      </c>
      <c r="C62" s="66" t="s">
        <v>94</v>
      </c>
      <c r="D62" s="316">
        <v>0</v>
      </c>
      <c r="E62" s="316"/>
      <c r="F62" s="311">
        <v>0</v>
      </c>
      <c r="G62" s="316"/>
      <c r="H62" s="312">
        <v>0</v>
      </c>
      <c r="I62" s="318"/>
      <c r="J62" s="318"/>
      <c r="K62" s="89">
        <v>0</v>
      </c>
      <c r="L62" s="81"/>
      <c r="M62" s="97"/>
      <c r="N62" s="81"/>
      <c r="O62" s="98"/>
      <c r="P62" s="81"/>
      <c r="Q62" s="97"/>
      <c r="R62" s="81"/>
      <c r="S62" s="97"/>
      <c r="T62" s="316"/>
      <c r="U62" s="339" t="e">
        <f t="shared" si="53"/>
        <v>#DIV/0!</v>
      </c>
    </row>
    <row r="63" spans="1:153" s="64" customFormat="1" x14ac:dyDescent="0.25">
      <c r="A63" s="63" t="s">
        <v>95</v>
      </c>
      <c r="B63" s="224"/>
      <c r="C63" s="63" t="s">
        <v>96</v>
      </c>
      <c r="D63" s="314">
        <f>+D64</f>
        <v>17473320282</v>
      </c>
      <c r="E63" s="314">
        <f t="shared" ref="E63:T63" si="96">+E64</f>
        <v>20606251154</v>
      </c>
      <c r="F63" s="311">
        <f t="shared" si="2"/>
        <v>1.1792979709315672</v>
      </c>
      <c r="G63" s="314">
        <f t="shared" si="96"/>
        <v>22406264204</v>
      </c>
      <c r="H63" s="312">
        <f t="shared" si="3"/>
        <v>1.2823129114780567</v>
      </c>
      <c r="I63" s="315">
        <f t="shared" si="96"/>
        <v>22406251154</v>
      </c>
      <c r="J63" s="315">
        <f t="shared" si="96"/>
        <v>0</v>
      </c>
      <c r="K63" s="89">
        <f t="shared" si="5"/>
        <v>-1</v>
      </c>
      <c r="L63" s="84">
        <f t="shared" si="96"/>
        <v>0</v>
      </c>
      <c r="M63" s="97"/>
      <c r="N63" s="84">
        <f t="shared" si="96"/>
        <v>0</v>
      </c>
      <c r="O63" s="98"/>
      <c r="P63" s="84">
        <f t="shared" si="96"/>
        <v>0</v>
      </c>
      <c r="Q63" s="97"/>
      <c r="R63" s="84">
        <f t="shared" si="96"/>
        <v>0</v>
      </c>
      <c r="S63" s="97"/>
      <c r="T63" s="314">
        <f t="shared" si="96"/>
        <v>0</v>
      </c>
      <c r="U63" s="340">
        <f t="shared" si="53"/>
        <v>-100</v>
      </c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62"/>
      <c r="BD63" s="62"/>
      <c r="BE63" s="62"/>
      <c r="BF63" s="62"/>
      <c r="BG63" s="62"/>
      <c r="BH63" s="62"/>
      <c r="BI63" s="62"/>
      <c r="BJ63" s="62"/>
      <c r="BK63" s="62"/>
      <c r="BL63" s="62"/>
      <c r="BM63" s="62"/>
      <c r="BN63" s="62"/>
      <c r="BO63" s="62"/>
      <c r="BP63" s="62"/>
      <c r="BQ63" s="62"/>
      <c r="BR63" s="62"/>
      <c r="BS63" s="62"/>
      <c r="BT63" s="62"/>
      <c r="BU63" s="62"/>
      <c r="BV63" s="62"/>
      <c r="BW63" s="62"/>
      <c r="BX63" s="62"/>
      <c r="BY63" s="62"/>
      <c r="BZ63" s="62"/>
      <c r="CA63" s="62"/>
      <c r="CB63" s="62"/>
      <c r="CC63" s="62"/>
      <c r="CD63" s="62"/>
      <c r="CE63" s="62"/>
      <c r="CF63" s="62"/>
      <c r="CG63" s="62"/>
      <c r="CH63" s="62"/>
      <c r="CI63" s="62"/>
      <c r="CJ63" s="62"/>
      <c r="CK63" s="62"/>
      <c r="CL63" s="62"/>
      <c r="CM63" s="62"/>
      <c r="CN63" s="62"/>
      <c r="CO63" s="62"/>
      <c r="CP63" s="62"/>
      <c r="CQ63" s="62"/>
      <c r="CR63" s="62"/>
      <c r="CS63" s="62"/>
      <c r="CT63" s="62"/>
      <c r="CU63" s="62"/>
      <c r="CV63" s="62"/>
      <c r="CW63" s="62"/>
      <c r="CX63" s="62"/>
      <c r="CY63" s="62"/>
      <c r="CZ63" s="62"/>
      <c r="DA63" s="62"/>
      <c r="DB63" s="62"/>
      <c r="DC63" s="62"/>
      <c r="DD63" s="62"/>
      <c r="DE63" s="62"/>
      <c r="DF63" s="62"/>
      <c r="DG63" s="62"/>
      <c r="DH63" s="62"/>
      <c r="DI63" s="62"/>
      <c r="DJ63" s="62"/>
      <c r="DK63" s="62"/>
      <c r="DL63" s="62"/>
      <c r="DM63" s="62"/>
      <c r="DN63" s="62"/>
      <c r="DO63" s="62"/>
      <c r="DP63" s="62"/>
      <c r="DQ63" s="62"/>
      <c r="DR63" s="62"/>
      <c r="DS63" s="62"/>
      <c r="DT63" s="62"/>
      <c r="DU63" s="62"/>
      <c r="DV63" s="62"/>
      <c r="DW63" s="62"/>
      <c r="DX63" s="62"/>
      <c r="DY63" s="62"/>
      <c r="DZ63" s="62"/>
      <c r="EA63" s="62"/>
      <c r="EB63" s="62"/>
      <c r="EC63" s="62"/>
      <c r="ED63" s="62"/>
      <c r="EE63" s="62"/>
      <c r="EF63" s="62"/>
      <c r="EG63" s="62"/>
      <c r="EH63" s="62"/>
      <c r="EI63" s="62"/>
      <c r="EJ63" s="62"/>
      <c r="EK63" s="62"/>
      <c r="EL63" s="62"/>
      <c r="EM63" s="62"/>
      <c r="EN63" s="62"/>
      <c r="EO63" s="62"/>
      <c r="EP63" s="62"/>
      <c r="EQ63" s="62"/>
      <c r="ER63" s="62"/>
      <c r="ES63" s="62"/>
      <c r="ET63" s="62"/>
      <c r="EU63" s="62"/>
      <c r="EV63" s="62"/>
      <c r="EW63" s="62"/>
    </row>
    <row r="64" spans="1:153" x14ac:dyDescent="0.25">
      <c r="A64" s="75" t="s">
        <v>97</v>
      </c>
      <c r="B64" s="227">
        <v>81</v>
      </c>
      <c r="C64" s="66" t="s">
        <v>98</v>
      </c>
      <c r="D64" s="316">
        <f>+D65</f>
        <v>17473320282</v>
      </c>
      <c r="E64" s="316">
        <f>+E65+E66</f>
        <v>20606251154</v>
      </c>
      <c r="F64" s="311">
        <f t="shared" si="2"/>
        <v>1.1792979709315672</v>
      </c>
      <c r="G64" s="316">
        <f>+G65+G66</f>
        <v>22406264204</v>
      </c>
      <c r="H64" s="312">
        <f t="shared" si="3"/>
        <v>1.2823129114780567</v>
      </c>
      <c r="I64" s="317">
        <f>+I65+I66</f>
        <v>22406251154</v>
      </c>
      <c r="J64" s="317">
        <f>+J65+J66</f>
        <v>0</v>
      </c>
      <c r="K64" s="89">
        <f t="shared" si="5"/>
        <v>-1</v>
      </c>
      <c r="L64" s="85">
        <f>+L65+L66</f>
        <v>0</v>
      </c>
      <c r="M64" s="97"/>
      <c r="N64" s="85">
        <f>+N65+N66</f>
        <v>0</v>
      </c>
      <c r="O64" s="98"/>
      <c r="P64" s="85">
        <f>+P65+P66</f>
        <v>0</v>
      </c>
      <c r="Q64" s="97"/>
      <c r="R64" s="85">
        <f>+R65+R66</f>
        <v>0</v>
      </c>
      <c r="S64" s="97"/>
      <c r="T64" s="316">
        <f>+T65+T66</f>
        <v>0</v>
      </c>
      <c r="U64" s="339">
        <f t="shared" si="53"/>
        <v>-100</v>
      </c>
    </row>
    <row r="65" spans="1:153" s="64" customFormat="1" x14ac:dyDescent="0.25">
      <c r="A65" s="74"/>
      <c r="B65" s="222"/>
      <c r="C65" s="63" t="s">
        <v>30</v>
      </c>
      <c r="D65" s="314">
        <v>17473320282</v>
      </c>
      <c r="E65" s="314">
        <v>15673307232</v>
      </c>
      <c r="F65" s="311">
        <f t="shared" si="2"/>
        <v>0.89698505945351048</v>
      </c>
      <c r="G65" s="314">
        <f>+D65</f>
        <v>17473320282</v>
      </c>
      <c r="H65" s="312">
        <f t="shared" si="3"/>
        <v>1</v>
      </c>
      <c r="I65" s="315">
        <f>+'[2]COMPARATIVO RECAUDOS'!$F$37</f>
        <v>22406251154</v>
      </c>
      <c r="J65" s="315">
        <v>0</v>
      </c>
      <c r="K65" s="89">
        <f t="shared" si="5"/>
        <v>-1</v>
      </c>
      <c r="L65" s="80"/>
      <c r="M65" s="97"/>
      <c r="N65" s="80"/>
      <c r="O65" s="98"/>
      <c r="P65" s="80"/>
      <c r="Q65" s="97"/>
      <c r="R65" s="80">
        <f>+J65*S65</f>
        <v>0</v>
      </c>
      <c r="S65" s="97">
        <v>1</v>
      </c>
      <c r="T65" s="314">
        <f>+Q65</f>
        <v>0</v>
      </c>
      <c r="U65" s="340">
        <f t="shared" si="53"/>
        <v>-100</v>
      </c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62"/>
      <c r="BD65" s="62"/>
      <c r="BE65" s="62"/>
      <c r="BF65" s="62"/>
      <c r="BG65" s="62"/>
      <c r="BH65" s="62"/>
      <c r="BI65" s="62"/>
      <c r="BJ65" s="62"/>
      <c r="BK65" s="62"/>
      <c r="BL65" s="62"/>
      <c r="BM65" s="62"/>
      <c r="BN65" s="62"/>
      <c r="BO65" s="62"/>
      <c r="BP65" s="62"/>
      <c r="BQ65" s="62"/>
      <c r="BR65" s="62"/>
      <c r="BS65" s="62"/>
      <c r="BT65" s="62"/>
      <c r="BU65" s="62"/>
      <c r="BV65" s="62"/>
      <c r="BW65" s="62"/>
      <c r="BX65" s="62"/>
      <c r="BY65" s="62"/>
      <c r="BZ65" s="62"/>
      <c r="CA65" s="62"/>
      <c r="CB65" s="62"/>
      <c r="CC65" s="62"/>
      <c r="CD65" s="62"/>
      <c r="CE65" s="62"/>
      <c r="CF65" s="62"/>
      <c r="CG65" s="62"/>
      <c r="CH65" s="62"/>
      <c r="CI65" s="62"/>
      <c r="CJ65" s="62"/>
      <c r="CK65" s="62"/>
      <c r="CL65" s="62"/>
      <c r="CM65" s="62"/>
      <c r="CN65" s="62"/>
      <c r="CO65" s="62"/>
      <c r="CP65" s="62"/>
      <c r="CQ65" s="62"/>
      <c r="CR65" s="62"/>
      <c r="CS65" s="62"/>
      <c r="CT65" s="62"/>
      <c r="CU65" s="62"/>
      <c r="CV65" s="62"/>
      <c r="CW65" s="62"/>
      <c r="CX65" s="62"/>
      <c r="CY65" s="62"/>
      <c r="CZ65" s="62"/>
      <c r="DA65" s="62"/>
      <c r="DB65" s="62"/>
      <c r="DC65" s="62"/>
      <c r="DD65" s="62"/>
      <c r="DE65" s="62"/>
      <c r="DF65" s="62"/>
      <c r="DG65" s="62"/>
      <c r="DH65" s="62"/>
      <c r="DI65" s="62"/>
      <c r="DJ65" s="62"/>
      <c r="DK65" s="62"/>
      <c r="DL65" s="62"/>
      <c r="DM65" s="62"/>
      <c r="DN65" s="62"/>
      <c r="DO65" s="62"/>
      <c r="DP65" s="62"/>
      <c r="DQ65" s="62"/>
      <c r="DR65" s="62"/>
      <c r="DS65" s="62"/>
      <c r="DT65" s="62"/>
      <c r="DU65" s="62"/>
      <c r="DV65" s="62"/>
      <c r="DW65" s="62"/>
      <c r="DX65" s="62"/>
      <c r="DY65" s="62"/>
      <c r="DZ65" s="62"/>
      <c r="EA65" s="62"/>
      <c r="EB65" s="62"/>
      <c r="EC65" s="62"/>
      <c r="ED65" s="62"/>
      <c r="EE65" s="62"/>
      <c r="EF65" s="62"/>
      <c r="EG65" s="62"/>
      <c r="EH65" s="62"/>
      <c r="EI65" s="62"/>
      <c r="EJ65" s="62"/>
      <c r="EK65" s="62"/>
      <c r="EL65" s="62"/>
      <c r="EM65" s="62"/>
      <c r="EN65" s="62"/>
      <c r="EO65" s="62"/>
      <c r="EP65" s="62"/>
      <c r="EQ65" s="62"/>
      <c r="ER65" s="62"/>
      <c r="ES65" s="62"/>
      <c r="ET65" s="62"/>
      <c r="EU65" s="62"/>
      <c r="EV65" s="62"/>
      <c r="EW65" s="62"/>
    </row>
    <row r="66" spans="1:153" s="83" customFormat="1" x14ac:dyDescent="0.25">
      <c r="A66" s="82" t="s">
        <v>99</v>
      </c>
      <c r="B66" s="229"/>
      <c r="C66" s="71" t="s">
        <v>39</v>
      </c>
      <c r="D66" s="319">
        <v>0</v>
      </c>
      <c r="E66" s="319">
        <v>4932943922</v>
      </c>
      <c r="F66" s="311">
        <v>0</v>
      </c>
      <c r="G66" s="319">
        <f>+E66</f>
        <v>4932943922</v>
      </c>
      <c r="H66" s="312">
        <v>0</v>
      </c>
      <c r="I66" s="320"/>
      <c r="J66" s="320">
        <v>0</v>
      </c>
      <c r="K66" s="89">
        <f t="shared" si="5"/>
        <v>-1</v>
      </c>
      <c r="L66" s="92"/>
      <c r="M66" s="97"/>
      <c r="N66" s="92"/>
      <c r="O66" s="98"/>
      <c r="P66" s="92"/>
      <c r="Q66" s="98"/>
      <c r="R66" s="92"/>
      <c r="S66" s="97"/>
      <c r="T66" s="319">
        <f>+R66</f>
        <v>0</v>
      </c>
      <c r="U66" s="341">
        <f t="shared" si="53"/>
        <v>-100</v>
      </c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  <c r="BG66" s="62"/>
      <c r="BH66" s="62"/>
      <c r="BI66" s="62"/>
      <c r="BJ66" s="62"/>
      <c r="BK66" s="62"/>
      <c r="BL66" s="62"/>
      <c r="BM66" s="62"/>
      <c r="BN66" s="62"/>
      <c r="BO66" s="62"/>
      <c r="BP66" s="62"/>
      <c r="BQ66" s="62"/>
      <c r="BR66" s="62"/>
      <c r="BS66" s="62"/>
      <c r="BT66" s="62"/>
      <c r="BU66" s="62"/>
      <c r="BV66" s="62"/>
      <c r="BW66" s="62"/>
      <c r="BX66" s="62"/>
      <c r="BY66" s="62"/>
      <c r="BZ66" s="62"/>
      <c r="CA66" s="62"/>
      <c r="CB66" s="62"/>
      <c r="CC66" s="62"/>
      <c r="CD66" s="62"/>
      <c r="CE66" s="62"/>
      <c r="CF66" s="62"/>
      <c r="CG66" s="62"/>
      <c r="CH66" s="62"/>
      <c r="CI66" s="62"/>
      <c r="CJ66" s="62"/>
      <c r="CK66" s="62"/>
      <c r="CL66" s="62"/>
      <c r="CM66" s="62"/>
      <c r="CN66" s="62"/>
      <c r="CO66" s="62"/>
      <c r="CP66" s="62"/>
      <c r="CQ66" s="62"/>
      <c r="CR66" s="62"/>
      <c r="CS66" s="62"/>
      <c r="CT66" s="62"/>
      <c r="CU66" s="62"/>
      <c r="CV66" s="62"/>
      <c r="CW66" s="62"/>
      <c r="CX66" s="62"/>
      <c r="CY66" s="62"/>
      <c r="CZ66" s="62"/>
      <c r="DA66" s="62"/>
      <c r="DB66" s="62"/>
      <c r="DC66" s="62"/>
      <c r="DD66" s="62"/>
      <c r="DE66" s="62"/>
      <c r="DF66" s="62"/>
      <c r="DG66" s="62"/>
      <c r="DH66" s="62"/>
      <c r="DI66" s="62"/>
      <c r="DJ66" s="62"/>
      <c r="DK66" s="62"/>
      <c r="DL66" s="62"/>
      <c r="DM66" s="62"/>
      <c r="DN66" s="62"/>
      <c r="DO66" s="62"/>
      <c r="DP66" s="62"/>
      <c r="DQ66" s="62"/>
      <c r="DR66" s="62"/>
      <c r="DS66" s="62"/>
      <c r="DT66" s="62"/>
      <c r="DU66" s="62"/>
      <c r="DV66" s="62"/>
      <c r="DW66" s="62"/>
      <c r="DX66" s="62"/>
      <c r="DY66" s="62"/>
      <c r="DZ66" s="62"/>
      <c r="EA66" s="62"/>
      <c r="EB66" s="62"/>
      <c r="EC66" s="62"/>
      <c r="ED66" s="62"/>
      <c r="EE66" s="62"/>
      <c r="EF66" s="62"/>
      <c r="EG66" s="62"/>
      <c r="EH66" s="62"/>
      <c r="EI66" s="62"/>
      <c r="EJ66" s="62"/>
      <c r="EK66" s="62"/>
      <c r="EL66" s="62"/>
      <c r="EM66" s="62"/>
      <c r="EN66" s="62"/>
      <c r="EO66" s="62"/>
      <c r="EP66" s="62"/>
      <c r="EQ66" s="62"/>
      <c r="ER66" s="62"/>
      <c r="ES66" s="62"/>
      <c r="ET66" s="62"/>
      <c r="EU66" s="62"/>
      <c r="EV66" s="62"/>
      <c r="EW66" s="62"/>
    </row>
    <row r="67" spans="1:153" s="64" customFormat="1" x14ac:dyDescent="0.25">
      <c r="A67" s="74" t="s">
        <v>100</v>
      </c>
      <c r="B67" s="222"/>
      <c r="C67" s="63" t="s">
        <v>101</v>
      </c>
      <c r="D67" s="314">
        <f>+D68+D69</f>
        <v>2210571200</v>
      </c>
      <c r="E67" s="314">
        <f t="shared" ref="E67:R67" si="97">+E68+E69</f>
        <v>2199800000</v>
      </c>
      <c r="F67" s="311">
        <f t="shared" si="2"/>
        <v>0.9951274132224287</v>
      </c>
      <c r="G67" s="314">
        <f t="shared" si="97"/>
        <v>2694800000</v>
      </c>
      <c r="H67" s="312">
        <f t="shared" si="3"/>
        <v>1.2190514379269937</v>
      </c>
      <c r="I67" s="315">
        <f t="shared" si="97"/>
        <v>2694800000</v>
      </c>
      <c r="J67" s="315">
        <f t="shared" si="97"/>
        <v>2311989800</v>
      </c>
      <c r="K67" s="89">
        <f t="shared" si="5"/>
        <v>-0.14205514323883034</v>
      </c>
      <c r="L67" s="84">
        <f t="shared" si="97"/>
        <v>2311989800</v>
      </c>
      <c r="M67" s="97"/>
      <c r="N67" s="84">
        <f t="shared" si="97"/>
        <v>0</v>
      </c>
      <c r="O67" s="98"/>
      <c r="P67" s="84">
        <f t="shared" si="97"/>
        <v>0</v>
      </c>
      <c r="Q67" s="98"/>
      <c r="R67" s="84">
        <f t="shared" si="97"/>
        <v>0</v>
      </c>
      <c r="S67" s="97"/>
      <c r="T67" s="314">
        <f t="shared" ref="T67" si="98">+T68+T69</f>
        <v>2311989800</v>
      </c>
      <c r="U67" s="340">
        <f t="shared" si="53"/>
        <v>-14.205514323883037</v>
      </c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  <c r="BB67" s="62"/>
      <c r="BC67" s="62"/>
      <c r="BD67" s="62"/>
      <c r="BE67" s="62"/>
      <c r="BF67" s="62"/>
      <c r="BG67" s="62"/>
      <c r="BH67" s="62"/>
      <c r="BI67" s="62"/>
      <c r="BJ67" s="62"/>
      <c r="BK67" s="62"/>
      <c r="BL67" s="62"/>
      <c r="BM67" s="62"/>
      <c r="BN67" s="62"/>
      <c r="BO67" s="62"/>
      <c r="BP67" s="62"/>
      <c r="BQ67" s="62"/>
      <c r="BR67" s="62"/>
      <c r="BS67" s="62"/>
      <c r="BT67" s="62"/>
      <c r="BU67" s="62"/>
      <c r="BV67" s="62"/>
      <c r="BW67" s="62"/>
      <c r="BX67" s="62"/>
      <c r="BY67" s="62"/>
      <c r="BZ67" s="62"/>
      <c r="CA67" s="62"/>
      <c r="CB67" s="62"/>
      <c r="CC67" s="62"/>
      <c r="CD67" s="62"/>
      <c r="CE67" s="62"/>
      <c r="CF67" s="62"/>
      <c r="CG67" s="62"/>
      <c r="CH67" s="62"/>
      <c r="CI67" s="62"/>
      <c r="CJ67" s="62"/>
      <c r="CK67" s="62"/>
      <c r="CL67" s="62"/>
      <c r="CM67" s="62"/>
      <c r="CN67" s="62"/>
      <c r="CO67" s="62"/>
      <c r="CP67" s="62"/>
      <c r="CQ67" s="62"/>
      <c r="CR67" s="62"/>
      <c r="CS67" s="62"/>
      <c r="CT67" s="62"/>
      <c r="CU67" s="62"/>
      <c r="CV67" s="62"/>
      <c r="CW67" s="62"/>
      <c r="CX67" s="62"/>
      <c r="CY67" s="62"/>
      <c r="CZ67" s="62"/>
      <c r="DA67" s="62"/>
      <c r="DB67" s="62"/>
      <c r="DC67" s="62"/>
      <c r="DD67" s="62"/>
      <c r="DE67" s="62"/>
      <c r="DF67" s="62"/>
      <c r="DG67" s="62"/>
      <c r="DH67" s="62"/>
      <c r="DI67" s="62"/>
      <c r="DJ67" s="62"/>
      <c r="DK67" s="62"/>
      <c r="DL67" s="62"/>
      <c r="DM67" s="62"/>
      <c r="DN67" s="62"/>
      <c r="DO67" s="62"/>
      <c r="DP67" s="62"/>
      <c r="DQ67" s="62"/>
      <c r="DR67" s="62"/>
      <c r="DS67" s="62"/>
      <c r="DT67" s="62"/>
      <c r="DU67" s="62"/>
      <c r="DV67" s="62"/>
      <c r="DW67" s="62"/>
      <c r="DX67" s="62"/>
      <c r="DY67" s="62"/>
      <c r="DZ67" s="62"/>
      <c r="EA67" s="62"/>
      <c r="EB67" s="62"/>
      <c r="EC67" s="62"/>
      <c r="ED67" s="62"/>
      <c r="EE67" s="62"/>
      <c r="EF67" s="62"/>
      <c r="EG67" s="62"/>
      <c r="EH67" s="62"/>
      <c r="EI67" s="62"/>
      <c r="EJ67" s="62"/>
      <c r="EK67" s="62"/>
      <c r="EL67" s="62"/>
      <c r="EM67" s="62"/>
      <c r="EN67" s="62"/>
      <c r="EO67" s="62"/>
      <c r="EP67" s="62"/>
      <c r="EQ67" s="62"/>
      <c r="ER67" s="62"/>
      <c r="ES67" s="62"/>
      <c r="ET67" s="62"/>
      <c r="EU67" s="62"/>
      <c r="EV67" s="62"/>
      <c r="EW67" s="62"/>
    </row>
    <row r="68" spans="1:153" s="83" customFormat="1" x14ac:dyDescent="0.25">
      <c r="A68" s="82" t="s">
        <v>102</v>
      </c>
      <c r="B68" s="229">
        <v>11</v>
      </c>
      <c r="C68" s="71" t="s">
        <v>103</v>
      </c>
      <c r="D68" s="319">
        <v>2210571200</v>
      </c>
      <c r="E68" s="319">
        <v>2199800000</v>
      </c>
      <c r="F68" s="311">
        <f t="shared" si="2"/>
        <v>0.9951274132224287</v>
      </c>
      <c r="G68" s="319">
        <f>+E68+495000000</f>
        <v>2694800000</v>
      </c>
      <c r="H68" s="312">
        <f t="shared" si="3"/>
        <v>1.2190514379269937</v>
      </c>
      <c r="I68" s="320">
        <f>+'[2]COMPARATIVO RECAUDOS'!$F$39</f>
        <v>2694800000</v>
      </c>
      <c r="J68" s="320">
        <v>2311989800</v>
      </c>
      <c r="K68" s="89">
        <f t="shared" si="5"/>
        <v>-0.14205514323883034</v>
      </c>
      <c r="L68" s="92">
        <f>+J68*M68</f>
        <v>2311989800</v>
      </c>
      <c r="M68" s="97">
        <v>1</v>
      </c>
      <c r="N68" s="92"/>
      <c r="O68" s="98"/>
      <c r="P68" s="92"/>
      <c r="Q68" s="98"/>
      <c r="R68" s="92"/>
      <c r="S68" s="97"/>
      <c r="T68" s="319">
        <f>+J68</f>
        <v>2311989800</v>
      </c>
      <c r="U68" s="341">
        <f t="shared" si="53"/>
        <v>-14.205514323883037</v>
      </c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2"/>
      <c r="BB68" s="62"/>
      <c r="BC68" s="62"/>
      <c r="BD68" s="62"/>
      <c r="BE68" s="62"/>
      <c r="BF68" s="62"/>
      <c r="BG68" s="62"/>
      <c r="BH68" s="62"/>
      <c r="BI68" s="62"/>
      <c r="BJ68" s="62"/>
      <c r="BK68" s="62"/>
      <c r="BL68" s="62"/>
      <c r="BM68" s="62"/>
      <c r="BN68" s="62"/>
      <c r="BO68" s="62"/>
      <c r="BP68" s="62"/>
      <c r="BQ68" s="62"/>
      <c r="BR68" s="62"/>
      <c r="BS68" s="62"/>
      <c r="BT68" s="62"/>
      <c r="BU68" s="62"/>
      <c r="BV68" s="62"/>
      <c r="BW68" s="62"/>
      <c r="BX68" s="62"/>
      <c r="BY68" s="62"/>
      <c r="BZ68" s="62"/>
      <c r="CA68" s="62"/>
      <c r="CB68" s="62"/>
      <c r="CC68" s="62"/>
      <c r="CD68" s="62"/>
      <c r="CE68" s="62"/>
      <c r="CF68" s="62"/>
      <c r="CG68" s="62"/>
      <c r="CH68" s="62"/>
      <c r="CI68" s="62"/>
      <c r="CJ68" s="62"/>
      <c r="CK68" s="62"/>
      <c r="CL68" s="62"/>
      <c r="CM68" s="62"/>
      <c r="CN68" s="62"/>
      <c r="CO68" s="62"/>
      <c r="CP68" s="62"/>
      <c r="CQ68" s="62"/>
      <c r="CR68" s="62"/>
      <c r="CS68" s="62"/>
      <c r="CT68" s="62"/>
      <c r="CU68" s="62"/>
      <c r="CV68" s="62"/>
      <c r="CW68" s="62"/>
      <c r="CX68" s="62"/>
      <c r="CY68" s="62"/>
      <c r="CZ68" s="62"/>
      <c r="DA68" s="62"/>
      <c r="DB68" s="62"/>
      <c r="DC68" s="62"/>
      <c r="DD68" s="62"/>
      <c r="DE68" s="62"/>
      <c r="DF68" s="62"/>
      <c r="DG68" s="62"/>
      <c r="DH68" s="62"/>
      <c r="DI68" s="62"/>
      <c r="DJ68" s="62"/>
      <c r="DK68" s="62"/>
      <c r="DL68" s="62"/>
      <c r="DM68" s="62"/>
      <c r="DN68" s="62"/>
      <c r="DO68" s="62"/>
      <c r="DP68" s="62"/>
      <c r="DQ68" s="62"/>
      <c r="DR68" s="62"/>
      <c r="DS68" s="62"/>
      <c r="DT68" s="62"/>
      <c r="DU68" s="62"/>
      <c r="DV68" s="62"/>
      <c r="DW68" s="62"/>
      <c r="DX68" s="62"/>
      <c r="DY68" s="62"/>
      <c r="DZ68" s="62"/>
      <c r="EA68" s="62"/>
      <c r="EB68" s="62"/>
      <c r="EC68" s="62"/>
      <c r="ED68" s="62"/>
      <c r="EE68" s="62"/>
      <c r="EF68" s="62"/>
      <c r="EG68" s="62"/>
      <c r="EH68" s="62"/>
      <c r="EI68" s="62"/>
      <c r="EJ68" s="62"/>
      <c r="EK68" s="62"/>
      <c r="EL68" s="62"/>
      <c r="EM68" s="62"/>
      <c r="EN68" s="62"/>
      <c r="EO68" s="62"/>
      <c r="EP68" s="62"/>
      <c r="EQ68" s="62"/>
      <c r="ER68" s="62"/>
      <c r="ES68" s="62"/>
      <c r="ET68" s="62"/>
      <c r="EU68" s="62"/>
      <c r="EV68" s="62"/>
      <c r="EW68" s="62"/>
    </row>
    <row r="69" spans="1:153" s="64" customFormat="1" hidden="1" x14ac:dyDescent="0.25">
      <c r="A69" s="74" t="s">
        <v>104</v>
      </c>
      <c r="B69" s="222">
        <v>12</v>
      </c>
      <c r="C69" s="63" t="s">
        <v>105</v>
      </c>
      <c r="D69" s="314">
        <v>0</v>
      </c>
      <c r="E69" s="314">
        <v>0</v>
      </c>
      <c r="F69" s="311">
        <v>0</v>
      </c>
      <c r="G69" s="314">
        <f>+D69</f>
        <v>0</v>
      </c>
      <c r="H69" s="312">
        <v>0</v>
      </c>
      <c r="I69" s="315"/>
      <c r="J69" s="315"/>
      <c r="K69" s="89">
        <v>0</v>
      </c>
      <c r="L69" s="80"/>
      <c r="M69" s="97"/>
      <c r="N69" s="80"/>
      <c r="O69" s="98"/>
      <c r="P69" s="80"/>
      <c r="Q69" s="98"/>
      <c r="R69" s="80"/>
      <c r="S69" s="98"/>
      <c r="T69" s="314">
        <f>+Q69</f>
        <v>0</v>
      </c>
      <c r="U69" s="340" t="e">
        <f t="shared" si="53"/>
        <v>#DIV/0!</v>
      </c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62"/>
      <c r="AS69" s="62"/>
      <c r="AT69" s="62"/>
      <c r="AU69" s="62"/>
      <c r="AV69" s="62"/>
      <c r="AW69" s="62"/>
      <c r="AX69" s="62"/>
      <c r="AY69" s="62"/>
      <c r="AZ69" s="62"/>
      <c r="BA69" s="62"/>
      <c r="BB69" s="62"/>
      <c r="BC69" s="62"/>
      <c r="BD69" s="62"/>
      <c r="BE69" s="62"/>
      <c r="BF69" s="62"/>
      <c r="BG69" s="62"/>
      <c r="BH69" s="62"/>
      <c r="BI69" s="62"/>
      <c r="BJ69" s="62"/>
      <c r="BK69" s="62"/>
      <c r="BL69" s="62"/>
      <c r="BM69" s="62"/>
      <c r="BN69" s="62"/>
      <c r="BO69" s="62"/>
      <c r="BP69" s="62"/>
      <c r="BQ69" s="62"/>
      <c r="BR69" s="62"/>
      <c r="BS69" s="62"/>
      <c r="BT69" s="62"/>
      <c r="BU69" s="62"/>
      <c r="BV69" s="62"/>
      <c r="BW69" s="62"/>
      <c r="BX69" s="62"/>
      <c r="BY69" s="62"/>
      <c r="BZ69" s="62"/>
      <c r="CA69" s="62"/>
      <c r="CB69" s="62"/>
      <c r="CC69" s="62"/>
      <c r="CD69" s="62"/>
      <c r="CE69" s="62"/>
      <c r="CF69" s="62"/>
      <c r="CG69" s="62"/>
      <c r="CH69" s="62"/>
      <c r="CI69" s="62"/>
      <c r="CJ69" s="62"/>
      <c r="CK69" s="62"/>
      <c r="CL69" s="62"/>
      <c r="CM69" s="62"/>
      <c r="CN69" s="62"/>
      <c r="CO69" s="62"/>
      <c r="CP69" s="62"/>
      <c r="CQ69" s="62"/>
      <c r="CR69" s="62"/>
      <c r="CS69" s="62"/>
      <c r="CT69" s="62"/>
      <c r="CU69" s="62"/>
      <c r="CV69" s="62"/>
      <c r="CW69" s="62"/>
      <c r="CX69" s="62"/>
      <c r="CY69" s="62"/>
      <c r="CZ69" s="62"/>
      <c r="DA69" s="62"/>
      <c r="DB69" s="62"/>
      <c r="DC69" s="62"/>
      <c r="DD69" s="62"/>
      <c r="DE69" s="62"/>
      <c r="DF69" s="62"/>
      <c r="DG69" s="62"/>
      <c r="DH69" s="62"/>
      <c r="DI69" s="62"/>
      <c r="DJ69" s="62"/>
      <c r="DK69" s="62"/>
      <c r="DL69" s="62"/>
      <c r="DM69" s="62"/>
      <c r="DN69" s="62"/>
      <c r="DO69" s="62"/>
      <c r="DP69" s="62"/>
      <c r="DQ69" s="62"/>
      <c r="DR69" s="62"/>
      <c r="DS69" s="62"/>
      <c r="DT69" s="62"/>
      <c r="DU69" s="62"/>
      <c r="DV69" s="62"/>
      <c r="DW69" s="62"/>
      <c r="DX69" s="62"/>
      <c r="DY69" s="62"/>
      <c r="DZ69" s="62"/>
      <c r="EA69" s="62"/>
      <c r="EB69" s="62"/>
      <c r="EC69" s="62"/>
      <c r="ED69" s="62"/>
      <c r="EE69" s="62"/>
      <c r="EF69" s="62"/>
      <c r="EG69" s="62"/>
      <c r="EH69" s="62"/>
      <c r="EI69" s="62"/>
      <c r="EJ69" s="62"/>
      <c r="EK69" s="62"/>
      <c r="EL69" s="62"/>
      <c r="EM69" s="62"/>
      <c r="EN69" s="62"/>
      <c r="EO69" s="62"/>
      <c r="EP69" s="62"/>
      <c r="EQ69" s="62"/>
      <c r="ER69" s="62"/>
      <c r="ES69" s="62"/>
      <c r="ET69" s="62"/>
      <c r="EU69" s="62"/>
      <c r="EV69" s="62"/>
      <c r="EW69" s="62"/>
    </row>
    <row r="70" spans="1:153" s="78" customFormat="1" x14ac:dyDescent="0.25">
      <c r="A70" s="76"/>
      <c r="B70" s="76"/>
      <c r="C70" s="77" t="s">
        <v>106</v>
      </c>
      <c r="D70" s="321">
        <f>+D5+D67</f>
        <v>151139860542</v>
      </c>
      <c r="E70" s="321">
        <f>+E5+E67</f>
        <v>136373284797.73001</v>
      </c>
      <c r="F70" s="322">
        <f t="shared" si="2"/>
        <v>0.90229860149853369</v>
      </c>
      <c r="G70" s="321">
        <f>+G5+G67</f>
        <v>145271398773.89966</v>
      </c>
      <c r="H70" s="323">
        <f t="shared" ref="H70" si="99">+G70/D70</f>
        <v>0.96117197841088675</v>
      </c>
      <c r="I70" s="324">
        <f>+I5+I67</f>
        <v>147914909236.64001</v>
      </c>
      <c r="J70" s="324">
        <f>+J5+J67</f>
        <v>143572002805.34863</v>
      </c>
      <c r="K70" s="90">
        <f t="shared" ref="K70" si="100">+(J70-G70)/G70</f>
        <v>-1.1698076723250697E-2</v>
      </c>
      <c r="L70" s="88">
        <f>+L5+L67</f>
        <v>13806496068.421753</v>
      </c>
      <c r="M70" s="98"/>
      <c r="N70" s="88">
        <f>+N5+N67</f>
        <v>5614497519.9055462</v>
      </c>
      <c r="O70" s="98"/>
      <c r="P70" s="88">
        <f>+P5+P67</f>
        <v>12363481377.636566</v>
      </c>
      <c r="Q70" s="98"/>
      <c r="R70" s="88">
        <f>+R5+R67</f>
        <v>111787527839.38477</v>
      </c>
      <c r="S70" s="98"/>
      <c r="T70" s="321">
        <f>+T5+T67</f>
        <v>149753966215.96631</v>
      </c>
      <c r="U70" s="342">
        <f>+J70/G70*100-100</f>
        <v>-1.1698076723250779</v>
      </c>
      <c r="V70" s="62"/>
      <c r="W70" s="62"/>
      <c r="X70" s="355"/>
      <c r="Y70" s="62"/>
      <c r="Z70" s="62"/>
      <c r="AA70" s="62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  <c r="AM70" s="62"/>
      <c r="AN70" s="62"/>
      <c r="AO70" s="62"/>
      <c r="AP70" s="62"/>
      <c r="AQ70" s="62"/>
      <c r="AR70" s="62"/>
      <c r="AS70" s="62"/>
      <c r="AT70" s="62"/>
      <c r="AU70" s="62"/>
      <c r="AV70" s="62"/>
      <c r="AW70" s="62"/>
      <c r="AX70" s="62"/>
      <c r="AY70" s="62"/>
      <c r="AZ70" s="62"/>
      <c r="BA70" s="62"/>
      <c r="BB70" s="62"/>
      <c r="BC70" s="62"/>
      <c r="BD70" s="62"/>
      <c r="BE70" s="62"/>
      <c r="BF70" s="62"/>
      <c r="BG70" s="62"/>
      <c r="BH70" s="62"/>
      <c r="BI70" s="62"/>
      <c r="BJ70" s="62"/>
      <c r="BK70" s="62"/>
      <c r="BL70" s="62"/>
      <c r="BM70" s="62"/>
      <c r="BN70" s="62"/>
      <c r="BO70" s="62"/>
      <c r="BP70" s="62"/>
      <c r="BQ70" s="62"/>
      <c r="BR70" s="62"/>
      <c r="BS70" s="62"/>
      <c r="BT70" s="62"/>
      <c r="BU70" s="62"/>
      <c r="BV70" s="62"/>
      <c r="BW70" s="62"/>
      <c r="BX70" s="62"/>
      <c r="BY70" s="62"/>
      <c r="BZ70" s="62"/>
      <c r="CA70" s="62"/>
      <c r="CB70" s="62"/>
      <c r="CC70" s="62"/>
      <c r="CD70" s="62"/>
      <c r="CE70" s="62"/>
      <c r="CF70" s="62"/>
      <c r="CG70" s="62"/>
      <c r="CH70" s="62"/>
      <c r="CI70" s="62"/>
      <c r="CJ70" s="62"/>
      <c r="CK70" s="62"/>
      <c r="CL70" s="62"/>
      <c r="CM70" s="62"/>
      <c r="CN70" s="62"/>
      <c r="CO70" s="62"/>
      <c r="CP70" s="62"/>
      <c r="CQ70" s="62"/>
      <c r="CR70" s="62"/>
      <c r="CS70" s="62"/>
      <c r="CT70" s="62"/>
      <c r="CU70" s="62"/>
      <c r="CV70" s="62"/>
      <c r="CW70" s="62"/>
      <c r="CX70" s="62"/>
      <c r="CY70" s="62"/>
      <c r="CZ70" s="62"/>
      <c r="DA70" s="62"/>
      <c r="DB70" s="62"/>
      <c r="DC70" s="62"/>
      <c r="DD70" s="62"/>
      <c r="DE70" s="62"/>
      <c r="DF70" s="62"/>
      <c r="DG70" s="62"/>
      <c r="DH70" s="62"/>
      <c r="DI70" s="62"/>
      <c r="DJ70" s="62"/>
      <c r="DK70" s="62"/>
      <c r="DL70" s="62"/>
      <c r="DM70" s="62"/>
      <c r="DN70" s="62"/>
      <c r="DO70" s="62"/>
      <c r="DP70" s="62"/>
      <c r="DQ70" s="62"/>
      <c r="DR70" s="62"/>
      <c r="DS70" s="62"/>
      <c r="DT70" s="62"/>
      <c r="DU70" s="62"/>
      <c r="DV70" s="62"/>
      <c r="DW70" s="62"/>
      <c r="DX70" s="62"/>
      <c r="DY70" s="62"/>
      <c r="DZ70" s="62"/>
      <c r="EA70" s="62"/>
      <c r="EB70" s="62"/>
      <c r="EC70" s="62"/>
      <c r="ED70" s="62"/>
      <c r="EE70" s="62"/>
      <c r="EF70" s="62"/>
      <c r="EG70" s="62"/>
      <c r="EH70" s="62"/>
      <c r="EI70" s="62"/>
      <c r="EJ70" s="62"/>
      <c r="EK70" s="62"/>
      <c r="EL70" s="62"/>
      <c r="EM70" s="62"/>
      <c r="EN70" s="62"/>
      <c r="EO70" s="62"/>
      <c r="EP70" s="62"/>
      <c r="EQ70" s="62"/>
      <c r="ER70" s="62"/>
      <c r="ES70" s="62"/>
      <c r="ET70" s="62"/>
      <c r="EU70" s="62"/>
      <c r="EV70" s="62"/>
      <c r="EW70" s="62"/>
    </row>
    <row r="71" spans="1:153" x14ac:dyDescent="0.25">
      <c r="G71" s="345">
        <f>+G70/D70</f>
        <v>0.96117197841088675</v>
      </c>
      <c r="J71" s="345"/>
    </row>
    <row r="72" spans="1:153" x14ac:dyDescent="0.25">
      <c r="I72" s="198"/>
      <c r="J72" s="91"/>
      <c r="U72" s="355">
        <f>+T70-I70</f>
        <v>1839056979.3262939</v>
      </c>
    </row>
    <row r="73" spans="1:153" x14ac:dyDescent="0.25">
      <c r="I73" s="198"/>
      <c r="L73" s="91"/>
      <c r="R73" s="91">
        <f>+L70+N70+P70+R70</f>
        <v>143572002805.34863</v>
      </c>
      <c r="U73" s="358">
        <f>+U72/I70</f>
        <v>1.2433208990339839E-2</v>
      </c>
    </row>
    <row r="74" spans="1:153" x14ac:dyDescent="0.25">
      <c r="I74" s="198"/>
      <c r="R74" s="91"/>
      <c r="U74" s="355">
        <f>+T70-J70</f>
        <v>6181963410.6176758</v>
      </c>
    </row>
    <row r="75" spans="1:153" x14ac:dyDescent="0.25">
      <c r="I75" s="198"/>
      <c r="U75" s="358">
        <f>+U74/J70</f>
        <v>4.3058279398658444E-2</v>
      </c>
    </row>
    <row r="76" spans="1:153" x14ac:dyDescent="0.25">
      <c r="I76" s="198"/>
      <c r="N76" s="62" t="s">
        <v>545</v>
      </c>
      <c r="P76" s="198">
        <f>+'GASTOS DE FTO 2024 - 2027 '!U3</f>
        <v>14162543582</v>
      </c>
    </row>
    <row r="78" spans="1:153" x14ac:dyDescent="0.25">
      <c r="N78" s="62" t="s">
        <v>128</v>
      </c>
      <c r="P78" s="198">
        <f>+P76*0.4</f>
        <v>5665017432.8000002</v>
      </c>
    </row>
    <row r="80" spans="1:153" x14ac:dyDescent="0.25">
      <c r="N80" s="62" t="s">
        <v>126</v>
      </c>
      <c r="P80" s="230">
        <f>+P76-P78</f>
        <v>8497526149.1999998</v>
      </c>
    </row>
    <row r="82" spans="14:16" x14ac:dyDescent="0.25">
      <c r="N82" s="62" t="s">
        <v>546</v>
      </c>
      <c r="P82" s="230">
        <f>+P70-P78</f>
        <v>6698463944.836566</v>
      </c>
    </row>
    <row r="85" spans="14:16" x14ac:dyDescent="0.25">
      <c r="P85" s="91">
        <f>+L70+P70</f>
        <v>26169977446.058319</v>
      </c>
    </row>
    <row r="86" spans="14:16" x14ac:dyDescent="0.25">
      <c r="P86" s="91">
        <f>+'GASTOS DE FTO 2024 - 2027 '!U57</f>
        <v>23378784812</v>
      </c>
    </row>
    <row r="87" spans="14:16" x14ac:dyDescent="0.25">
      <c r="P87" s="91">
        <f>+P85-P86</f>
        <v>2791192634.0583191</v>
      </c>
    </row>
  </sheetData>
  <mergeCells count="23">
    <mergeCell ref="U1:U3"/>
    <mergeCell ref="L2:M2"/>
    <mergeCell ref="N2:O2"/>
    <mergeCell ref="P2:S2"/>
    <mergeCell ref="L3:L4"/>
    <mergeCell ref="M3:M4"/>
    <mergeCell ref="N3:N4"/>
    <mergeCell ref="O3:O4"/>
    <mergeCell ref="P3:Q3"/>
    <mergeCell ref="R3:S3"/>
    <mergeCell ref="T1:T3"/>
    <mergeCell ref="G1:G3"/>
    <mergeCell ref="H1:H3"/>
    <mergeCell ref="J1:J3"/>
    <mergeCell ref="K1:K3"/>
    <mergeCell ref="L1:S1"/>
    <mergeCell ref="I1:I3"/>
    <mergeCell ref="F1:F3"/>
    <mergeCell ref="A1:A3"/>
    <mergeCell ref="B1:B3"/>
    <mergeCell ref="C1:C3"/>
    <mergeCell ref="D1:D3"/>
    <mergeCell ref="E1:E3"/>
  </mergeCells>
  <printOptions horizontalCentered="1"/>
  <pageMargins left="0.70866141732283472" right="0.70866141732283472" top="0.74803149606299213" bottom="0.74803149606299213" header="0.31496062992125984" footer="0.31496062992125984"/>
  <pageSetup paperSize="12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E22C-7616-49D1-9DD4-D5C496775458}">
  <sheetPr>
    <pageSetUpPr fitToPage="1"/>
  </sheetPr>
  <dimension ref="A1:EW89"/>
  <sheetViews>
    <sheetView topLeftCell="C35" zoomScaleNormal="100" workbookViewId="0">
      <selection activeCell="I12" sqref="I12"/>
    </sheetView>
  </sheetViews>
  <sheetFormatPr baseColWidth="10" defaultRowHeight="13.2" x14ac:dyDescent="0.25"/>
  <cols>
    <col min="1" max="2" width="16.44140625" style="62" hidden="1" customWidth="1"/>
    <col min="3" max="3" width="37.5546875" style="79" customWidth="1"/>
    <col min="4" max="4" width="17.44140625" style="62" hidden="1" customWidth="1"/>
    <col min="5" max="5" width="19.5546875" style="62" hidden="1" customWidth="1"/>
    <col min="6" max="6" width="8.88671875" style="62" hidden="1" customWidth="1"/>
    <col min="7" max="7" width="17.33203125" style="62" hidden="1" customWidth="1"/>
    <col min="8" max="8" width="9.33203125" style="62" hidden="1" customWidth="1"/>
    <col min="9" max="9" width="18.6640625" style="62" bestFit="1" customWidth="1"/>
    <col min="10" max="10" width="18.33203125" style="62" customWidth="1"/>
    <col min="11" max="11" width="8.88671875" style="62" hidden="1" customWidth="1"/>
    <col min="12" max="12" width="19" style="62" hidden="1" customWidth="1"/>
    <col min="13" max="13" width="7.33203125" style="62" hidden="1" customWidth="1"/>
    <col min="14" max="14" width="20.109375" style="62" hidden="1" customWidth="1"/>
    <col min="15" max="15" width="6.33203125" style="62" hidden="1" customWidth="1"/>
    <col min="16" max="16" width="17.5546875" style="62" hidden="1" customWidth="1"/>
    <col min="17" max="17" width="6.33203125" style="62" hidden="1" customWidth="1"/>
    <col min="18" max="18" width="18" style="62" hidden="1" customWidth="1"/>
    <col min="19" max="19" width="7.33203125" style="62" hidden="1" customWidth="1"/>
    <col min="20" max="20" width="18.5546875" style="62" customWidth="1"/>
    <col min="21" max="21" width="12.44140625" style="62" customWidth="1"/>
    <col min="22" max="23" width="11.5546875" style="62" customWidth="1"/>
    <col min="24" max="24" width="19.33203125" style="62" bestFit="1" customWidth="1"/>
    <col min="25" max="72" width="11.5546875" style="62" customWidth="1"/>
    <col min="73" max="251" width="11.5546875" style="62"/>
    <col min="252" max="252" width="0" style="62" hidden="1" customWidth="1"/>
    <col min="253" max="253" width="31.5546875" style="62" customWidth="1"/>
    <col min="254" max="254" width="14.6640625" style="62" customWidth="1"/>
    <col min="255" max="507" width="11.5546875" style="62"/>
    <col min="508" max="508" width="0" style="62" hidden="1" customWidth="1"/>
    <col min="509" max="509" width="31.5546875" style="62" customWidth="1"/>
    <col min="510" max="510" width="14.6640625" style="62" customWidth="1"/>
    <col min="511" max="763" width="11.5546875" style="62"/>
    <col min="764" max="764" width="0" style="62" hidden="1" customWidth="1"/>
    <col min="765" max="765" width="31.5546875" style="62" customWidth="1"/>
    <col min="766" max="766" width="14.6640625" style="62" customWidth="1"/>
    <col min="767" max="1019" width="11.5546875" style="62"/>
    <col min="1020" max="1020" width="0" style="62" hidden="1" customWidth="1"/>
    <col min="1021" max="1021" width="31.5546875" style="62" customWidth="1"/>
    <col min="1022" max="1022" width="14.6640625" style="62" customWidth="1"/>
    <col min="1023" max="1275" width="11.5546875" style="62"/>
    <col min="1276" max="1276" width="0" style="62" hidden="1" customWidth="1"/>
    <col min="1277" max="1277" width="31.5546875" style="62" customWidth="1"/>
    <col min="1278" max="1278" width="14.6640625" style="62" customWidth="1"/>
    <col min="1279" max="1531" width="11.5546875" style="62"/>
    <col min="1532" max="1532" width="0" style="62" hidden="1" customWidth="1"/>
    <col min="1533" max="1533" width="31.5546875" style="62" customWidth="1"/>
    <col min="1534" max="1534" width="14.6640625" style="62" customWidth="1"/>
    <col min="1535" max="1787" width="11.5546875" style="62"/>
    <col min="1788" max="1788" width="0" style="62" hidden="1" customWidth="1"/>
    <col min="1789" max="1789" width="31.5546875" style="62" customWidth="1"/>
    <col min="1790" max="1790" width="14.6640625" style="62" customWidth="1"/>
    <col min="1791" max="2043" width="11.5546875" style="62"/>
    <col min="2044" max="2044" width="0" style="62" hidden="1" customWidth="1"/>
    <col min="2045" max="2045" width="31.5546875" style="62" customWidth="1"/>
    <col min="2046" max="2046" width="14.6640625" style="62" customWidth="1"/>
    <col min="2047" max="2299" width="11.5546875" style="62"/>
    <col min="2300" max="2300" width="0" style="62" hidden="1" customWidth="1"/>
    <col min="2301" max="2301" width="31.5546875" style="62" customWidth="1"/>
    <col min="2302" max="2302" width="14.6640625" style="62" customWidth="1"/>
    <col min="2303" max="2555" width="11.5546875" style="62"/>
    <col min="2556" max="2556" width="0" style="62" hidden="1" customWidth="1"/>
    <col min="2557" max="2557" width="31.5546875" style="62" customWidth="1"/>
    <col min="2558" max="2558" width="14.6640625" style="62" customWidth="1"/>
    <col min="2559" max="2811" width="11.5546875" style="62"/>
    <col min="2812" max="2812" width="0" style="62" hidden="1" customWidth="1"/>
    <col min="2813" max="2813" width="31.5546875" style="62" customWidth="1"/>
    <col min="2814" max="2814" width="14.6640625" style="62" customWidth="1"/>
    <col min="2815" max="3067" width="11.5546875" style="62"/>
    <col min="3068" max="3068" width="0" style="62" hidden="1" customWidth="1"/>
    <col min="3069" max="3069" width="31.5546875" style="62" customWidth="1"/>
    <col min="3070" max="3070" width="14.6640625" style="62" customWidth="1"/>
    <col min="3071" max="3323" width="11.5546875" style="62"/>
    <col min="3324" max="3324" width="0" style="62" hidden="1" customWidth="1"/>
    <col min="3325" max="3325" width="31.5546875" style="62" customWidth="1"/>
    <col min="3326" max="3326" width="14.6640625" style="62" customWidth="1"/>
    <col min="3327" max="3579" width="11.5546875" style="62"/>
    <col min="3580" max="3580" width="0" style="62" hidden="1" customWidth="1"/>
    <col min="3581" max="3581" width="31.5546875" style="62" customWidth="1"/>
    <col min="3582" max="3582" width="14.6640625" style="62" customWidth="1"/>
    <col min="3583" max="3835" width="11.5546875" style="62"/>
    <col min="3836" max="3836" width="0" style="62" hidden="1" customWidth="1"/>
    <col min="3837" max="3837" width="31.5546875" style="62" customWidth="1"/>
    <col min="3838" max="3838" width="14.6640625" style="62" customWidth="1"/>
    <col min="3839" max="4091" width="11.5546875" style="62"/>
    <col min="4092" max="4092" width="0" style="62" hidden="1" customWidth="1"/>
    <col min="4093" max="4093" width="31.5546875" style="62" customWidth="1"/>
    <col min="4094" max="4094" width="14.6640625" style="62" customWidth="1"/>
    <col min="4095" max="4347" width="11.5546875" style="62"/>
    <col min="4348" max="4348" width="0" style="62" hidden="1" customWidth="1"/>
    <col min="4349" max="4349" width="31.5546875" style="62" customWidth="1"/>
    <col min="4350" max="4350" width="14.6640625" style="62" customWidth="1"/>
    <col min="4351" max="4603" width="11.5546875" style="62"/>
    <col min="4604" max="4604" width="0" style="62" hidden="1" customWidth="1"/>
    <col min="4605" max="4605" width="31.5546875" style="62" customWidth="1"/>
    <col min="4606" max="4606" width="14.6640625" style="62" customWidth="1"/>
    <col min="4607" max="4859" width="11.5546875" style="62"/>
    <col min="4860" max="4860" width="0" style="62" hidden="1" customWidth="1"/>
    <col min="4861" max="4861" width="31.5546875" style="62" customWidth="1"/>
    <col min="4862" max="4862" width="14.6640625" style="62" customWidth="1"/>
    <col min="4863" max="5115" width="11.5546875" style="62"/>
    <col min="5116" max="5116" width="0" style="62" hidden="1" customWidth="1"/>
    <col min="5117" max="5117" width="31.5546875" style="62" customWidth="1"/>
    <col min="5118" max="5118" width="14.6640625" style="62" customWidth="1"/>
    <col min="5119" max="5371" width="11.5546875" style="62"/>
    <col min="5372" max="5372" width="0" style="62" hidden="1" customWidth="1"/>
    <col min="5373" max="5373" width="31.5546875" style="62" customWidth="1"/>
    <col min="5374" max="5374" width="14.6640625" style="62" customWidth="1"/>
    <col min="5375" max="5627" width="11.5546875" style="62"/>
    <col min="5628" max="5628" width="0" style="62" hidden="1" customWidth="1"/>
    <col min="5629" max="5629" width="31.5546875" style="62" customWidth="1"/>
    <col min="5630" max="5630" width="14.6640625" style="62" customWidth="1"/>
    <col min="5631" max="5883" width="11.5546875" style="62"/>
    <col min="5884" max="5884" width="0" style="62" hidden="1" customWidth="1"/>
    <col min="5885" max="5885" width="31.5546875" style="62" customWidth="1"/>
    <col min="5886" max="5886" width="14.6640625" style="62" customWidth="1"/>
    <col min="5887" max="6139" width="11.5546875" style="62"/>
    <col min="6140" max="6140" width="0" style="62" hidden="1" customWidth="1"/>
    <col min="6141" max="6141" width="31.5546875" style="62" customWidth="1"/>
    <col min="6142" max="6142" width="14.6640625" style="62" customWidth="1"/>
    <col min="6143" max="6395" width="11.5546875" style="62"/>
    <col min="6396" max="6396" width="0" style="62" hidden="1" customWidth="1"/>
    <col min="6397" max="6397" width="31.5546875" style="62" customWidth="1"/>
    <col min="6398" max="6398" width="14.6640625" style="62" customWidth="1"/>
    <col min="6399" max="6651" width="11.5546875" style="62"/>
    <col min="6652" max="6652" width="0" style="62" hidden="1" customWidth="1"/>
    <col min="6653" max="6653" width="31.5546875" style="62" customWidth="1"/>
    <col min="6654" max="6654" width="14.6640625" style="62" customWidth="1"/>
    <col min="6655" max="6907" width="11.5546875" style="62"/>
    <col min="6908" max="6908" width="0" style="62" hidden="1" customWidth="1"/>
    <col min="6909" max="6909" width="31.5546875" style="62" customWidth="1"/>
    <col min="6910" max="6910" width="14.6640625" style="62" customWidth="1"/>
    <col min="6911" max="7163" width="11.5546875" style="62"/>
    <col min="7164" max="7164" width="0" style="62" hidden="1" customWidth="1"/>
    <col min="7165" max="7165" width="31.5546875" style="62" customWidth="1"/>
    <col min="7166" max="7166" width="14.6640625" style="62" customWidth="1"/>
    <col min="7167" max="7419" width="11.5546875" style="62"/>
    <col min="7420" max="7420" width="0" style="62" hidden="1" customWidth="1"/>
    <col min="7421" max="7421" width="31.5546875" style="62" customWidth="1"/>
    <col min="7422" max="7422" width="14.6640625" style="62" customWidth="1"/>
    <col min="7423" max="7675" width="11.5546875" style="62"/>
    <col min="7676" max="7676" width="0" style="62" hidden="1" customWidth="1"/>
    <col min="7677" max="7677" width="31.5546875" style="62" customWidth="1"/>
    <col min="7678" max="7678" width="14.6640625" style="62" customWidth="1"/>
    <col min="7679" max="7931" width="11.5546875" style="62"/>
    <col min="7932" max="7932" width="0" style="62" hidden="1" customWidth="1"/>
    <col min="7933" max="7933" width="31.5546875" style="62" customWidth="1"/>
    <col min="7934" max="7934" width="14.6640625" style="62" customWidth="1"/>
    <col min="7935" max="8187" width="11.5546875" style="62"/>
    <col min="8188" max="8188" width="0" style="62" hidden="1" customWidth="1"/>
    <col min="8189" max="8189" width="31.5546875" style="62" customWidth="1"/>
    <col min="8190" max="8190" width="14.6640625" style="62" customWidth="1"/>
    <col min="8191" max="8443" width="11.5546875" style="62"/>
    <col min="8444" max="8444" width="0" style="62" hidden="1" customWidth="1"/>
    <col min="8445" max="8445" width="31.5546875" style="62" customWidth="1"/>
    <col min="8446" max="8446" width="14.6640625" style="62" customWidth="1"/>
    <col min="8447" max="8699" width="11.5546875" style="62"/>
    <col min="8700" max="8700" width="0" style="62" hidden="1" customWidth="1"/>
    <col min="8701" max="8701" width="31.5546875" style="62" customWidth="1"/>
    <col min="8702" max="8702" width="14.6640625" style="62" customWidth="1"/>
    <col min="8703" max="8955" width="11.5546875" style="62"/>
    <col min="8956" max="8956" width="0" style="62" hidden="1" customWidth="1"/>
    <col min="8957" max="8957" width="31.5546875" style="62" customWidth="1"/>
    <col min="8958" max="8958" width="14.6640625" style="62" customWidth="1"/>
    <col min="8959" max="9211" width="11.5546875" style="62"/>
    <col min="9212" max="9212" width="0" style="62" hidden="1" customWidth="1"/>
    <col min="9213" max="9213" width="31.5546875" style="62" customWidth="1"/>
    <col min="9214" max="9214" width="14.6640625" style="62" customWidth="1"/>
    <col min="9215" max="9467" width="11.5546875" style="62"/>
    <col min="9468" max="9468" width="0" style="62" hidden="1" customWidth="1"/>
    <col min="9469" max="9469" width="31.5546875" style="62" customWidth="1"/>
    <col min="9470" max="9470" width="14.6640625" style="62" customWidth="1"/>
    <col min="9471" max="9723" width="11.5546875" style="62"/>
    <col min="9724" max="9724" width="0" style="62" hidden="1" customWidth="1"/>
    <col min="9725" max="9725" width="31.5546875" style="62" customWidth="1"/>
    <col min="9726" max="9726" width="14.6640625" style="62" customWidth="1"/>
    <col min="9727" max="9979" width="11.5546875" style="62"/>
    <col min="9980" max="9980" width="0" style="62" hidden="1" customWidth="1"/>
    <col min="9981" max="9981" width="31.5546875" style="62" customWidth="1"/>
    <col min="9982" max="9982" width="14.6640625" style="62" customWidth="1"/>
    <col min="9983" max="10235" width="11.5546875" style="62"/>
    <col min="10236" max="10236" width="0" style="62" hidden="1" customWidth="1"/>
    <col min="10237" max="10237" width="31.5546875" style="62" customWidth="1"/>
    <col min="10238" max="10238" width="14.6640625" style="62" customWidth="1"/>
    <col min="10239" max="10491" width="11.5546875" style="62"/>
    <col min="10492" max="10492" width="0" style="62" hidden="1" customWidth="1"/>
    <col min="10493" max="10493" width="31.5546875" style="62" customWidth="1"/>
    <col min="10494" max="10494" width="14.6640625" style="62" customWidth="1"/>
    <col min="10495" max="10747" width="11.5546875" style="62"/>
    <col min="10748" max="10748" width="0" style="62" hidden="1" customWidth="1"/>
    <col min="10749" max="10749" width="31.5546875" style="62" customWidth="1"/>
    <col min="10750" max="10750" width="14.6640625" style="62" customWidth="1"/>
    <col min="10751" max="11003" width="11.5546875" style="62"/>
    <col min="11004" max="11004" width="0" style="62" hidden="1" customWidth="1"/>
    <col min="11005" max="11005" width="31.5546875" style="62" customWidth="1"/>
    <col min="11006" max="11006" width="14.6640625" style="62" customWidth="1"/>
    <col min="11007" max="11259" width="11.5546875" style="62"/>
    <col min="11260" max="11260" width="0" style="62" hidden="1" customWidth="1"/>
    <col min="11261" max="11261" width="31.5546875" style="62" customWidth="1"/>
    <col min="11262" max="11262" width="14.6640625" style="62" customWidth="1"/>
    <col min="11263" max="11515" width="11.5546875" style="62"/>
    <col min="11516" max="11516" width="0" style="62" hidden="1" customWidth="1"/>
    <col min="11517" max="11517" width="31.5546875" style="62" customWidth="1"/>
    <col min="11518" max="11518" width="14.6640625" style="62" customWidth="1"/>
    <col min="11519" max="11771" width="11.5546875" style="62"/>
    <col min="11772" max="11772" width="0" style="62" hidden="1" customWidth="1"/>
    <col min="11773" max="11773" width="31.5546875" style="62" customWidth="1"/>
    <col min="11774" max="11774" width="14.6640625" style="62" customWidth="1"/>
    <col min="11775" max="12027" width="11.5546875" style="62"/>
    <col min="12028" max="12028" width="0" style="62" hidden="1" customWidth="1"/>
    <col min="12029" max="12029" width="31.5546875" style="62" customWidth="1"/>
    <col min="12030" max="12030" width="14.6640625" style="62" customWidth="1"/>
    <col min="12031" max="12283" width="11.5546875" style="62"/>
    <col min="12284" max="12284" width="0" style="62" hidden="1" customWidth="1"/>
    <col min="12285" max="12285" width="31.5546875" style="62" customWidth="1"/>
    <col min="12286" max="12286" width="14.6640625" style="62" customWidth="1"/>
    <col min="12287" max="12539" width="11.5546875" style="62"/>
    <col min="12540" max="12540" width="0" style="62" hidden="1" customWidth="1"/>
    <col min="12541" max="12541" width="31.5546875" style="62" customWidth="1"/>
    <col min="12542" max="12542" width="14.6640625" style="62" customWidth="1"/>
    <col min="12543" max="12795" width="11.5546875" style="62"/>
    <col min="12796" max="12796" width="0" style="62" hidden="1" customWidth="1"/>
    <col min="12797" max="12797" width="31.5546875" style="62" customWidth="1"/>
    <col min="12798" max="12798" width="14.6640625" style="62" customWidth="1"/>
    <col min="12799" max="13051" width="11.5546875" style="62"/>
    <col min="13052" max="13052" width="0" style="62" hidden="1" customWidth="1"/>
    <col min="13053" max="13053" width="31.5546875" style="62" customWidth="1"/>
    <col min="13054" max="13054" width="14.6640625" style="62" customWidth="1"/>
    <col min="13055" max="13307" width="11.5546875" style="62"/>
    <col min="13308" max="13308" width="0" style="62" hidden="1" customWidth="1"/>
    <col min="13309" max="13309" width="31.5546875" style="62" customWidth="1"/>
    <col min="13310" max="13310" width="14.6640625" style="62" customWidth="1"/>
    <col min="13311" max="13563" width="11.5546875" style="62"/>
    <col min="13564" max="13564" width="0" style="62" hidden="1" customWidth="1"/>
    <col min="13565" max="13565" width="31.5546875" style="62" customWidth="1"/>
    <col min="13566" max="13566" width="14.6640625" style="62" customWidth="1"/>
    <col min="13567" max="13819" width="11.5546875" style="62"/>
    <col min="13820" max="13820" width="0" style="62" hidden="1" customWidth="1"/>
    <col min="13821" max="13821" width="31.5546875" style="62" customWidth="1"/>
    <col min="13822" max="13822" width="14.6640625" style="62" customWidth="1"/>
    <col min="13823" max="14075" width="11.5546875" style="62"/>
    <col min="14076" max="14076" width="0" style="62" hidden="1" customWidth="1"/>
    <col min="14077" max="14077" width="31.5546875" style="62" customWidth="1"/>
    <col min="14078" max="14078" width="14.6640625" style="62" customWidth="1"/>
    <col min="14079" max="14331" width="11.5546875" style="62"/>
    <col min="14332" max="14332" width="0" style="62" hidden="1" customWidth="1"/>
    <col min="14333" max="14333" width="31.5546875" style="62" customWidth="1"/>
    <col min="14334" max="14334" width="14.6640625" style="62" customWidth="1"/>
    <col min="14335" max="14587" width="11.5546875" style="62"/>
    <col min="14588" max="14588" width="0" style="62" hidden="1" customWidth="1"/>
    <col min="14589" max="14589" width="31.5546875" style="62" customWidth="1"/>
    <col min="14590" max="14590" width="14.6640625" style="62" customWidth="1"/>
    <col min="14591" max="14843" width="11.5546875" style="62"/>
    <col min="14844" max="14844" width="0" style="62" hidden="1" customWidth="1"/>
    <col min="14845" max="14845" width="31.5546875" style="62" customWidth="1"/>
    <col min="14846" max="14846" width="14.6640625" style="62" customWidth="1"/>
    <col min="14847" max="15099" width="11.5546875" style="62"/>
    <col min="15100" max="15100" width="0" style="62" hidden="1" customWidth="1"/>
    <col min="15101" max="15101" width="31.5546875" style="62" customWidth="1"/>
    <col min="15102" max="15102" width="14.6640625" style="62" customWidth="1"/>
    <col min="15103" max="15355" width="11.5546875" style="62"/>
    <col min="15356" max="15356" width="0" style="62" hidden="1" customWidth="1"/>
    <col min="15357" max="15357" width="31.5546875" style="62" customWidth="1"/>
    <col min="15358" max="15358" width="14.6640625" style="62" customWidth="1"/>
    <col min="15359" max="15611" width="11.5546875" style="62"/>
    <col min="15612" max="15612" width="0" style="62" hidden="1" customWidth="1"/>
    <col min="15613" max="15613" width="31.5546875" style="62" customWidth="1"/>
    <col min="15614" max="15614" width="14.6640625" style="62" customWidth="1"/>
    <col min="15615" max="15867" width="11.5546875" style="62"/>
    <col min="15868" max="15868" width="0" style="62" hidden="1" customWidth="1"/>
    <col min="15869" max="15869" width="31.5546875" style="62" customWidth="1"/>
    <col min="15870" max="15870" width="14.6640625" style="62" customWidth="1"/>
    <col min="15871" max="16123" width="11.5546875" style="62"/>
    <col min="16124" max="16124" width="0" style="62" hidden="1" customWidth="1"/>
    <col min="16125" max="16125" width="31.5546875" style="62" customWidth="1"/>
    <col min="16126" max="16126" width="14.6640625" style="62" customWidth="1"/>
    <col min="16127" max="16384" width="11.5546875" style="62"/>
  </cols>
  <sheetData>
    <row r="1" spans="1:153" s="94" customFormat="1" ht="22.5" customHeight="1" x14ac:dyDescent="0.2">
      <c r="A1" s="527" t="s">
        <v>0</v>
      </c>
      <c r="B1" s="527" t="s">
        <v>543</v>
      </c>
      <c r="C1" s="535" t="s">
        <v>1</v>
      </c>
      <c r="D1" s="526" t="s">
        <v>584</v>
      </c>
      <c r="E1" s="526" t="s">
        <v>547</v>
      </c>
      <c r="F1" s="536" t="s">
        <v>122</v>
      </c>
      <c r="G1" s="526" t="s">
        <v>568</v>
      </c>
      <c r="H1" s="534" t="s">
        <v>122</v>
      </c>
      <c r="I1" s="526" t="s">
        <v>592</v>
      </c>
      <c r="J1" s="526" t="s">
        <v>548</v>
      </c>
      <c r="K1" s="530" t="s">
        <v>124</v>
      </c>
      <c r="L1" s="537" t="s">
        <v>125</v>
      </c>
      <c r="M1" s="538"/>
      <c r="N1" s="538"/>
      <c r="O1" s="538"/>
      <c r="P1" s="538"/>
      <c r="Q1" s="538"/>
      <c r="R1" s="538"/>
      <c r="S1" s="539"/>
      <c r="T1" s="526" t="s">
        <v>591</v>
      </c>
      <c r="U1" s="526" t="s">
        <v>588</v>
      </c>
      <c r="V1" s="334"/>
      <c r="W1" s="334"/>
      <c r="X1" s="334"/>
      <c r="Y1" s="334"/>
      <c r="Z1" s="334"/>
      <c r="AA1" s="334"/>
      <c r="AB1" s="334"/>
      <c r="AC1" s="334"/>
      <c r="AD1" s="334"/>
      <c r="AE1" s="334"/>
      <c r="AF1" s="334"/>
      <c r="AG1" s="334"/>
      <c r="AH1" s="334"/>
      <c r="AI1" s="334"/>
      <c r="AJ1" s="334"/>
      <c r="AK1" s="334"/>
      <c r="AL1" s="334"/>
      <c r="AM1" s="334"/>
      <c r="AN1" s="334"/>
      <c r="AO1" s="334"/>
      <c r="AP1" s="334"/>
      <c r="AQ1" s="334"/>
      <c r="AR1" s="334"/>
      <c r="AS1" s="334"/>
      <c r="AT1" s="334"/>
      <c r="AU1" s="334"/>
      <c r="AV1" s="334"/>
      <c r="AW1" s="334"/>
      <c r="AX1" s="334"/>
      <c r="AY1" s="334"/>
      <c r="AZ1" s="334"/>
      <c r="BA1" s="334"/>
      <c r="BB1" s="334"/>
      <c r="BC1" s="334"/>
      <c r="BD1" s="334"/>
      <c r="BE1" s="334"/>
      <c r="BF1" s="334"/>
      <c r="BG1" s="334"/>
      <c r="BH1" s="334"/>
      <c r="BI1" s="334"/>
      <c r="BJ1" s="334"/>
      <c r="BK1" s="334"/>
      <c r="BL1" s="334"/>
      <c r="BM1" s="334"/>
      <c r="BN1" s="334"/>
      <c r="BO1" s="334"/>
      <c r="BP1" s="334"/>
      <c r="BQ1" s="334"/>
      <c r="BR1" s="334"/>
      <c r="BS1" s="334"/>
      <c r="BT1" s="334"/>
      <c r="BU1" s="334"/>
      <c r="BV1" s="334"/>
      <c r="BW1" s="334"/>
      <c r="BX1" s="334"/>
      <c r="BY1" s="334"/>
      <c r="BZ1" s="334"/>
      <c r="CA1" s="334"/>
      <c r="CB1" s="334"/>
      <c r="CC1" s="334"/>
      <c r="CD1" s="334"/>
      <c r="CE1" s="334"/>
      <c r="CF1" s="334"/>
      <c r="CG1" s="334"/>
      <c r="CH1" s="334"/>
      <c r="CI1" s="334"/>
      <c r="CJ1" s="334"/>
      <c r="CK1" s="334"/>
      <c r="CL1" s="334"/>
      <c r="CM1" s="334"/>
      <c r="CN1" s="334"/>
      <c r="CO1" s="334"/>
      <c r="CP1" s="334"/>
      <c r="CQ1" s="334"/>
      <c r="CR1" s="334"/>
      <c r="CS1" s="334"/>
      <c r="CT1" s="334"/>
      <c r="CU1" s="334"/>
      <c r="CV1" s="334"/>
      <c r="CW1" s="334"/>
      <c r="CX1" s="334"/>
      <c r="CY1" s="334"/>
      <c r="CZ1" s="334"/>
      <c r="DA1" s="334"/>
      <c r="DB1" s="334"/>
      <c r="DC1" s="334"/>
      <c r="DD1" s="334"/>
      <c r="DE1" s="334"/>
      <c r="DF1" s="334"/>
      <c r="DG1" s="334"/>
      <c r="DH1" s="334"/>
      <c r="DI1" s="334"/>
      <c r="DJ1" s="334"/>
      <c r="DK1" s="334"/>
      <c r="DL1" s="334"/>
      <c r="DM1" s="334"/>
      <c r="DN1" s="334"/>
      <c r="DO1" s="334"/>
      <c r="DP1" s="334"/>
      <c r="DQ1" s="334"/>
      <c r="DR1" s="334"/>
      <c r="DS1" s="334"/>
      <c r="DT1" s="334"/>
      <c r="DU1" s="334"/>
      <c r="DV1" s="334"/>
      <c r="DW1" s="334"/>
      <c r="DX1" s="334"/>
      <c r="DY1" s="334"/>
      <c r="DZ1" s="334"/>
      <c r="EA1" s="334"/>
      <c r="EB1" s="334"/>
      <c r="EC1" s="334"/>
      <c r="ED1" s="334"/>
      <c r="EE1" s="334"/>
      <c r="EF1" s="334"/>
      <c r="EG1" s="334"/>
      <c r="EH1" s="334"/>
      <c r="EI1" s="334"/>
      <c r="EJ1" s="334"/>
      <c r="EK1" s="334"/>
      <c r="EL1" s="334"/>
      <c r="EM1" s="334"/>
      <c r="EN1" s="334"/>
      <c r="EO1" s="334"/>
      <c r="EP1" s="334"/>
      <c r="EQ1" s="334"/>
      <c r="ER1" s="334"/>
      <c r="ES1" s="334"/>
      <c r="ET1" s="334"/>
      <c r="EU1" s="334"/>
      <c r="EV1" s="334"/>
      <c r="EW1" s="334"/>
    </row>
    <row r="2" spans="1:153" s="94" customFormat="1" ht="22.5" customHeight="1" x14ac:dyDescent="0.2">
      <c r="A2" s="528"/>
      <c r="B2" s="528"/>
      <c r="C2" s="535"/>
      <c r="D2" s="526"/>
      <c r="E2" s="526"/>
      <c r="F2" s="536"/>
      <c r="G2" s="526"/>
      <c r="H2" s="534"/>
      <c r="I2" s="526"/>
      <c r="J2" s="526"/>
      <c r="K2" s="531"/>
      <c r="L2" s="533" t="s">
        <v>126</v>
      </c>
      <c r="M2" s="533"/>
      <c r="N2" s="533" t="s">
        <v>127</v>
      </c>
      <c r="O2" s="533"/>
      <c r="P2" s="533" t="s">
        <v>128</v>
      </c>
      <c r="Q2" s="533"/>
      <c r="R2" s="533"/>
      <c r="S2" s="533"/>
      <c r="T2" s="526"/>
      <c r="U2" s="526"/>
      <c r="V2" s="334"/>
      <c r="W2" s="334"/>
      <c r="X2" s="334"/>
      <c r="Y2" s="334"/>
      <c r="Z2" s="334"/>
      <c r="AA2" s="334"/>
      <c r="AB2" s="334"/>
      <c r="AC2" s="334"/>
      <c r="AD2" s="334"/>
      <c r="AE2" s="334"/>
      <c r="AF2" s="334"/>
      <c r="AG2" s="334"/>
      <c r="AH2" s="334"/>
      <c r="AI2" s="334"/>
      <c r="AJ2" s="334"/>
      <c r="AK2" s="334"/>
      <c r="AL2" s="334"/>
      <c r="AM2" s="334"/>
      <c r="AN2" s="334"/>
      <c r="AO2" s="334"/>
      <c r="AP2" s="334"/>
      <c r="AQ2" s="334"/>
      <c r="AR2" s="334"/>
      <c r="AS2" s="334"/>
      <c r="AT2" s="334"/>
      <c r="AU2" s="334"/>
      <c r="AV2" s="334"/>
      <c r="AW2" s="334"/>
      <c r="AX2" s="334"/>
      <c r="AY2" s="334"/>
      <c r="AZ2" s="334"/>
      <c r="BA2" s="334"/>
      <c r="BB2" s="334"/>
      <c r="BC2" s="334"/>
      <c r="BD2" s="334"/>
      <c r="BE2" s="334"/>
      <c r="BF2" s="334"/>
      <c r="BG2" s="334"/>
      <c r="BH2" s="334"/>
      <c r="BI2" s="334"/>
      <c r="BJ2" s="334"/>
      <c r="BK2" s="334"/>
      <c r="BL2" s="334"/>
      <c r="BM2" s="334"/>
      <c r="BN2" s="334"/>
      <c r="BO2" s="334"/>
      <c r="BP2" s="334"/>
      <c r="BQ2" s="334"/>
      <c r="BR2" s="334"/>
      <c r="BS2" s="334"/>
      <c r="BT2" s="334"/>
      <c r="BU2" s="334"/>
      <c r="BV2" s="334"/>
      <c r="BW2" s="334"/>
      <c r="BX2" s="334"/>
      <c r="BY2" s="334"/>
      <c r="BZ2" s="334"/>
      <c r="CA2" s="334"/>
      <c r="CB2" s="334"/>
      <c r="CC2" s="334"/>
      <c r="CD2" s="334"/>
      <c r="CE2" s="334"/>
      <c r="CF2" s="334"/>
      <c r="CG2" s="334"/>
      <c r="CH2" s="334"/>
      <c r="CI2" s="334"/>
      <c r="CJ2" s="334"/>
      <c r="CK2" s="334"/>
      <c r="CL2" s="334"/>
      <c r="CM2" s="334"/>
      <c r="CN2" s="334"/>
      <c r="CO2" s="334"/>
      <c r="CP2" s="334"/>
      <c r="CQ2" s="334"/>
      <c r="CR2" s="334"/>
      <c r="CS2" s="334"/>
      <c r="CT2" s="334"/>
      <c r="CU2" s="334"/>
      <c r="CV2" s="334"/>
      <c r="CW2" s="334"/>
      <c r="CX2" s="334"/>
      <c r="CY2" s="334"/>
      <c r="CZ2" s="334"/>
      <c r="DA2" s="334"/>
      <c r="DB2" s="334"/>
      <c r="DC2" s="334"/>
      <c r="DD2" s="334"/>
      <c r="DE2" s="334"/>
      <c r="DF2" s="334"/>
      <c r="DG2" s="334"/>
      <c r="DH2" s="334"/>
      <c r="DI2" s="334"/>
      <c r="DJ2" s="334"/>
      <c r="DK2" s="334"/>
      <c r="DL2" s="334"/>
      <c r="DM2" s="334"/>
      <c r="DN2" s="334"/>
      <c r="DO2" s="334"/>
      <c r="DP2" s="334"/>
      <c r="DQ2" s="334"/>
      <c r="DR2" s="334"/>
      <c r="DS2" s="334"/>
      <c r="DT2" s="334"/>
      <c r="DU2" s="334"/>
      <c r="DV2" s="334"/>
      <c r="DW2" s="334"/>
      <c r="DX2" s="334"/>
      <c r="DY2" s="334"/>
      <c r="DZ2" s="334"/>
      <c r="EA2" s="334"/>
      <c r="EB2" s="334"/>
      <c r="EC2" s="334"/>
      <c r="ED2" s="334"/>
      <c r="EE2" s="334"/>
      <c r="EF2" s="334"/>
      <c r="EG2" s="334"/>
      <c r="EH2" s="334"/>
      <c r="EI2" s="334"/>
      <c r="EJ2" s="334"/>
      <c r="EK2" s="334"/>
      <c r="EL2" s="334"/>
      <c r="EM2" s="334"/>
      <c r="EN2" s="334"/>
      <c r="EO2" s="334"/>
      <c r="EP2" s="334"/>
      <c r="EQ2" s="334"/>
      <c r="ER2" s="334"/>
      <c r="ES2" s="334"/>
      <c r="ET2" s="334"/>
      <c r="EU2" s="334"/>
      <c r="EV2" s="334"/>
      <c r="EW2" s="334"/>
    </row>
    <row r="3" spans="1:153" s="94" customFormat="1" ht="18.75" customHeight="1" x14ac:dyDescent="0.2">
      <c r="A3" s="529"/>
      <c r="B3" s="529"/>
      <c r="C3" s="535"/>
      <c r="D3" s="526"/>
      <c r="E3" s="526"/>
      <c r="F3" s="536"/>
      <c r="G3" s="526"/>
      <c r="H3" s="534"/>
      <c r="I3" s="526"/>
      <c r="J3" s="526"/>
      <c r="K3" s="532"/>
      <c r="L3" s="527" t="s">
        <v>129</v>
      </c>
      <c r="M3" s="540" t="s">
        <v>122</v>
      </c>
      <c r="N3" s="527" t="s">
        <v>129</v>
      </c>
      <c r="O3" s="540" t="s">
        <v>122</v>
      </c>
      <c r="P3" s="533" t="s">
        <v>130</v>
      </c>
      <c r="Q3" s="533"/>
      <c r="R3" s="533" t="s">
        <v>131</v>
      </c>
      <c r="S3" s="533"/>
      <c r="T3" s="526"/>
      <c r="U3" s="526"/>
      <c r="V3" s="334"/>
      <c r="W3" s="334"/>
      <c r="X3" s="334"/>
      <c r="Y3" s="334"/>
      <c r="Z3" s="334"/>
      <c r="AA3" s="334"/>
      <c r="AB3" s="334"/>
      <c r="AC3" s="334"/>
      <c r="AD3" s="334"/>
      <c r="AE3" s="334"/>
      <c r="AF3" s="334"/>
      <c r="AG3" s="334"/>
      <c r="AH3" s="334"/>
      <c r="AI3" s="334"/>
      <c r="AJ3" s="334"/>
      <c r="AK3" s="334"/>
      <c r="AL3" s="334"/>
      <c r="AM3" s="334"/>
      <c r="AN3" s="334"/>
      <c r="AO3" s="334"/>
      <c r="AP3" s="334"/>
      <c r="AQ3" s="334"/>
      <c r="AR3" s="334"/>
      <c r="AS3" s="334"/>
      <c r="AT3" s="334"/>
      <c r="AU3" s="334"/>
      <c r="AV3" s="334"/>
      <c r="AW3" s="334"/>
      <c r="AX3" s="334"/>
      <c r="AY3" s="334"/>
      <c r="AZ3" s="334"/>
      <c r="BA3" s="334"/>
      <c r="BB3" s="334"/>
      <c r="BC3" s="334"/>
      <c r="BD3" s="334"/>
      <c r="BE3" s="334"/>
      <c r="BF3" s="334"/>
      <c r="BG3" s="334"/>
      <c r="BH3" s="334"/>
      <c r="BI3" s="334"/>
      <c r="BJ3" s="334"/>
      <c r="BK3" s="334"/>
      <c r="BL3" s="334"/>
      <c r="BM3" s="334"/>
      <c r="BN3" s="334"/>
      <c r="BO3" s="334"/>
      <c r="BP3" s="334"/>
      <c r="BQ3" s="334"/>
      <c r="BR3" s="334"/>
      <c r="BS3" s="334"/>
      <c r="BT3" s="334"/>
      <c r="BU3" s="334"/>
      <c r="BV3" s="334"/>
      <c r="BW3" s="334"/>
      <c r="BX3" s="334"/>
      <c r="BY3" s="334"/>
      <c r="BZ3" s="334"/>
      <c r="CA3" s="334"/>
      <c r="CB3" s="334"/>
      <c r="CC3" s="334"/>
      <c r="CD3" s="334"/>
      <c r="CE3" s="334"/>
      <c r="CF3" s="334"/>
      <c r="CG3" s="334"/>
      <c r="CH3" s="334"/>
      <c r="CI3" s="334"/>
      <c r="CJ3" s="334"/>
      <c r="CK3" s="334"/>
      <c r="CL3" s="334"/>
      <c r="CM3" s="334"/>
      <c r="CN3" s="334"/>
      <c r="CO3" s="334"/>
      <c r="CP3" s="334"/>
      <c r="CQ3" s="334"/>
      <c r="CR3" s="334"/>
      <c r="CS3" s="334"/>
      <c r="CT3" s="334"/>
      <c r="CU3" s="334"/>
      <c r="CV3" s="334"/>
      <c r="CW3" s="334"/>
      <c r="CX3" s="334"/>
      <c r="CY3" s="334"/>
      <c r="CZ3" s="334"/>
      <c r="DA3" s="334"/>
      <c r="DB3" s="334"/>
      <c r="DC3" s="334"/>
      <c r="DD3" s="334"/>
      <c r="DE3" s="334"/>
      <c r="DF3" s="334"/>
      <c r="DG3" s="334"/>
      <c r="DH3" s="334"/>
      <c r="DI3" s="334"/>
      <c r="DJ3" s="334"/>
      <c r="DK3" s="334"/>
      <c r="DL3" s="334"/>
      <c r="DM3" s="334"/>
      <c r="DN3" s="334"/>
      <c r="DO3" s="334"/>
      <c r="DP3" s="334"/>
      <c r="DQ3" s="334"/>
      <c r="DR3" s="334"/>
      <c r="DS3" s="334"/>
      <c r="DT3" s="334"/>
      <c r="DU3" s="334"/>
      <c r="DV3" s="334"/>
      <c r="DW3" s="334"/>
      <c r="DX3" s="334"/>
      <c r="DY3" s="334"/>
      <c r="DZ3" s="334"/>
      <c r="EA3" s="334"/>
      <c r="EB3" s="334"/>
      <c r="EC3" s="334"/>
      <c r="ED3" s="334"/>
      <c r="EE3" s="334"/>
      <c r="EF3" s="334"/>
      <c r="EG3" s="334"/>
      <c r="EH3" s="334"/>
      <c r="EI3" s="334"/>
      <c r="EJ3" s="334"/>
      <c r="EK3" s="334"/>
      <c r="EL3" s="334"/>
      <c r="EM3" s="334"/>
      <c r="EN3" s="334"/>
      <c r="EO3" s="334"/>
      <c r="EP3" s="334"/>
      <c r="EQ3" s="334"/>
      <c r="ER3" s="334"/>
      <c r="ES3" s="334"/>
      <c r="ET3" s="334"/>
      <c r="EU3" s="334"/>
      <c r="EV3" s="334"/>
      <c r="EW3" s="334"/>
    </row>
    <row r="4" spans="1:153" s="94" customFormat="1" ht="18.75" hidden="1" customHeight="1" x14ac:dyDescent="0.2">
      <c r="A4" s="93"/>
      <c r="B4" s="221"/>
      <c r="C4" s="251"/>
      <c r="D4" s="252"/>
      <c r="E4" s="252"/>
      <c r="F4" s="253"/>
      <c r="G4" s="252"/>
      <c r="H4" s="254"/>
      <c r="I4" s="99"/>
      <c r="J4" s="252"/>
      <c r="K4" s="96"/>
      <c r="L4" s="529"/>
      <c r="M4" s="541"/>
      <c r="N4" s="529"/>
      <c r="O4" s="541"/>
      <c r="P4" s="95" t="s">
        <v>129</v>
      </c>
      <c r="Q4" s="99" t="s">
        <v>122</v>
      </c>
      <c r="R4" s="95" t="s">
        <v>129</v>
      </c>
      <c r="S4" s="99" t="s">
        <v>122</v>
      </c>
      <c r="T4" s="252"/>
      <c r="U4" s="93"/>
      <c r="V4" s="334"/>
      <c r="W4" s="334"/>
      <c r="X4" s="334"/>
      <c r="Y4" s="334"/>
      <c r="Z4" s="334"/>
      <c r="AA4" s="334"/>
      <c r="AB4" s="334"/>
      <c r="AC4" s="334"/>
      <c r="AD4" s="334"/>
      <c r="AE4" s="334"/>
      <c r="AF4" s="334"/>
      <c r="AG4" s="334"/>
      <c r="AH4" s="334"/>
      <c r="AI4" s="334"/>
      <c r="AJ4" s="334"/>
      <c r="AK4" s="334"/>
      <c r="AL4" s="334"/>
      <c r="AM4" s="334"/>
      <c r="AN4" s="334"/>
      <c r="AO4" s="334"/>
      <c r="AP4" s="334"/>
      <c r="AQ4" s="334"/>
      <c r="AR4" s="334"/>
      <c r="AS4" s="334"/>
      <c r="AT4" s="334"/>
      <c r="AU4" s="334"/>
      <c r="AV4" s="334"/>
      <c r="AW4" s="334"/>
      <c r="AX4" s="334"/>
      <c r="AY4" s="334"/>
      <c r="AZ4" s="334"/>
      <c r="BA4" s="334"/>
      <c r="BB4" s="334"/>
      <c r="BC4" s="334"/>
      <c r="BD4" s="334"/>
      <c r="BE4" s="334"/>
      <c r="BF4" s="334"/>
      <c r="BG4" s="334"/>
      <c r="BH4" s="334"/>
      <c r="BI4" s="334"/>
      <c r="BJ4" s="334"/>
      <c r="BK4" s="334"/>
      <c r="BL4" s="334"/>
      <c r="BM4" s="334"/>
      <c r="BN4" s="334"/>
      <c r="BO4" s="334"/>
      <c r="BP4" s="334"/>
      <c r="BQ4" s="334"/>
      <c r="BR4" s="334"/>
      <c r="BS4" s="334"/>
      <c r="BT4" s="334"/>
      <c r="BU4" s="334"/>
      <c r="BV4" s="334"/>
      <c r="BW4" s="334"/>
      <c r="BX4" s="334"/>
      <c r="BY4" s="334"/>
      <c r="BZ4" s="334"/>
      <c r="CA4" s="334"/>
      <c r="CB4" s="334"/>
      <c r="CC4" s="334"/>
      <c r="CD4" s="334"/>
      <c r="CE4" s="334"/>
      <c r="CF4" s="334"/>
      <c r="CG4" s="334"/>
      <c r="CH4" s="334"/>
      <c r="CI4" s="334"/>
      <c r="CJ4" s="334"/>
      <c r="CK4" s="334"/>
      <c r="CL4" s="334"/>
      <c r="CM4" s="334"/>
      <c r="CN4" s="334"/>
      <c r="CO4" s="334"/>
      <c r="CP4" s="334"/>
      <c r="CQ4" s="334"/>
      <c r="CR4" s="334"/>
      <c r="CS4" s="334"/>
      <c r="CT4" s="334"/>
      <c r="CU4" s="334"/>
      <c r="CV4" s="334"/>
      <c r="CW4" s="334"/>
      <c r="CX4" s="334"/>
      <c r="CY4" s="334"/>
      <c r="CZ4" s="334"/>
      <c r="DA4" s="334"/>
      <c r="DB4" s="334"/>
      <c r="DC4" s="334"/>
      <c r="DD4" s="334"/>
      <c r="DE4" s="334"/>
      <c r="DF4" s="334"/>
      <c r="DG4" s="334"/>
      <c r="DH4" s="334"/>
      <c r="DI4" s="334"/>
      <c r="DJ4" s="334"/>
      <c r="DK4" s="334"/>
      <c r="DL4" s="334"/>
      <c r="DM4" s="334"/>
      <c r="DN4" s="334"/>
      <c r="DO4" s="334"/>
      <c r="DP4" s="334"/>
      <c r="DQ4" s="334"/>
      <c r="DR4" s="334"/>
      <c r="DS4" s="334"/>
      <c r="DT4" s="334"/>
      <c r="DU4" s="334"/>
      <c r="DV4" s="334"/>
      <c r="DW4" s="334"/>
      <c r="DX4" s="334"/>
      <c r="DY4" s="334"/>
      <c r="DZ4" s="334"/>
      <c r="EA4" s="334"/>
      <c r="EB4" s="334"/>
      <c r="EC4" s="334"/>
      <c r="ED4" s="334"/>
      <c r="EE4" s="334"/>
      <c r="EF4" s="334"/>
      <c r="EG4" s="334"/>
      <c r="EH4" s="334"/>
      <c r="EI4" s="334"/>
      <c r="EJ4" s="334"/>
      <c r="EK4" s="334"/>
      <c r="EL4" s="334"/>
      <c r="EM4" s="334"/>
      <c r="EN4" s="334"/>
      <c r="EO4" s="334"/>
      <c r="EP4" s="334"/>
      <c r="EQ4" s="334"/>
      <c r="ER4" s="334"/>
      <c r="ES4" s="334"/>
      <c r="ET4" s="334"/>
      <c r="EU4" s="334"/>
      <c r="EV4" s="334"/>
      <c r="EW4" s="334"/>
    </row>
    <row r="5" spans="1:153" x14ac:dyDescent="0.25">
      <c r="A5" s="60" t="s">
        <v>2</v>
      </c>
      <c r="B5" s="223"/>
      <c r="C5" s="61" t="s">
        <v>3</v>
      </c>
      <c r="D5" s="310">
        <f>+D6+D60</f>
        <v>148929289342</v>
      </c>
      <c r="E5" s="310">
        <f>+E6+E60</f>
        <v>134173484797.73001</v>
      </c>
      <c r="F5" s="311">
        <f>+E5/D5</f>
        <v>0.90092073487045998</v>
      </c>
      <c r="G5" s="310">
        <f>+G6+G60</f>
        <v>142576598773.89966</v>
      </c>
      <c r="H5" s="312">
        <f>+G5/D5</f>
        <v>0.95734424977002286</v>
      </c>
      <c r="I5" s="313">
        <f>+I6+I60</f>
        <v>145220109236.64001</v>
      </c>
      <c r="J5" s="313">
        <f>+J6+J60</f>
        <v>141260013005.34863</v>
      </c>
      <c r="K5" s="89">
        <f>+(J5-G5)/G5</f>
        <v>-9.2342346491157985E-3</v>
      </c>
      <c r="L5" s="86">
        <f>+L6+L60</f>
        <v>11494506268.421753</v>
      </c>
      <c r="M5" s="97"/>
      <c r="N5" s="86">
        <f>+N6+N60</f>
        <v>5614497519.9055462</v>
      </c>
      <c r="O5" s="97"/>
      <c r="P5" s="86">
        <f>+P6+P60</f>
        <v>12363481377.636566</v>
      </c>
      <c r="Q5" s="97"/>
      <c r="R5" s="86">
        <f>+R6+R60</f>
        <v>111787527839.38477</v>
      </c>
      <c r="S5" s="97"/>
      <c r="T5" s="310">
        <f>+T6+T60</f>
        <v>147442976415.96631</v>
      </c>
      <c r="U5" s="339">
        <f t="shared" ref="U5:U25" si="0">+J5/G5*100-100</f>
        <v>-0.92342346491157912</v>
      </c>
    </row>
    <row r="6" spans="1:153" s="64" customFormat="1" x14ac:dyDescent="0.25">
      <c r="A6" s="63" t="s">
        <v>4</v>
      </c>
      <c r="B6" s="224"/>
      <c r="C6" s="63" t="s">
        <v>5</v>
      </c>
      <c r="D6" s="314">
        <f>D7+D12</f>
        <v>131210369257</v>
      </c>
      <c r="E6" s="314">
        <f t="shared" ref="E6:G6" si="1">E7+E12</f>
        <v>113166935770.85001</v>
      </c>
      <c r="F6" s="311">
        <f t="shared" ref="F6:F72" si="2">+E6/D6</f>
        <v>0.86248469851640641</v>
      </c>
      <c r="G6" s="314">
        <f t="shared" si="1"/>
        <v>119689977122.44366</v>
      </c>
      <c r="H6" s="312">
        <f t="shared" ref="H6:H70" si="3">+G6/D6</f>
        <v>0.91219907237673037</v>
      </c>
      <c r="I6" s="315">
        <f>I7+I12</f>
        <v>122237690494.58</v>
      </c>
      <c r="J6" s="315">
        <f t="shared" ref="J6:L6" si="4">J7+J12</f>
        <v>140755637685.51984</v>
      </c>
      <c r="K6" s="89">
        <f t="shared" ref="K6:K70" si="5">+(J6-G6)/G6</f>
        <v>0.17600187642717868</v>
      </c>
      <c r="L6" s="84">
        <f t="shared" si="4"/>
        <v>11494506268.421753</v>
      </c>
      <c r="M6" s="97"/>
      <c r="N6" s="84">
        <f t="shared" ref="N6" si="6">N7+N12</f>
        <v>5614497519.9055462</v>
      </c>
      <c r="O6" s="97"/>
      <c r="P6" s="84">
        <f t="shared" ref="P6" si="7">P7+P12</f>
        <v>12313043845.653687</v>
      </c>
      <c r="Q6" s="97"/>
      <c r="R6" s="84">
        <f t="shared" ref="R6" si="8">R7+R12</f>
        <v>111333590051.53885</v>
      </c>
      <c r="S6" s="97"/>
      <c r="T6" s="314">
        <f t="shared" ref="T6" si="9">T7+T12</f>
        <v>146938601096.13751</v>
      </c>
      <c r="U6" s="340">
        <f t="shared" si="0"/>
        <v>17.60018764271787</v>
      </c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</row>
    <row r="7" spans="1:153" x14ac:dyDescent="0.25">
      <c r="A7" s="65" t="s">
        <v>6</v>
      </c>
      <c r="B7" s="225"/>
      <c r="C7" s="66" t="s">
        <v>7</v>
      </c>
      <c r="D7" s="316">
        <f>+D8</f>
        <v>15911638600</v>
      </c>
      <c r="E7" s="316">
        <f t="shared" ref="E7:T8" si="10">+E8</f>
        <v>11965599195.58</v>
      </c>
      <c r="F7" s="311">
        <f t="shared" si="2"/>
        <v>0.75200295182546439</v>
      </c>
      <c r="G7" s="316">
        <f t="shared" si="10"/>
        <v>14007338999.320999</v>
      </c>
      <c r="H7" s="312">
        <f t="shared" si="3"/>
        <v>0.88032033352749728</v>
      </c>
      <c r="I7" s="317">
        <f t="shared" si="10"/>
        <v>14459473207.58</v>
      </c>
      <c r="J7" s="317">
        <f t="shared" si="10"/>
        <v>16422288760.272699</v>
      </c>
      <c r="K7" s="89">
        <f t="shared" si="5"/>
        <v>0.17240603379905092</v>
      </c>
      <c r="L7" s="85">
        <f t="shared" si="10"/>
        <v>0</v>
      </c>
      <c r="M7" s="97"/>
      <c r="N7" s="85">
        <f t="shared" si="10"/>
        <v>0</v>
      </c>
      <c r="O7" s="97"/>
      <c r="P7" s="85">
        <f t="shared" si="10"/>
        <v>1642228876.0272701</v>
      </c>
      <c r="Q7" s="97"/>
      <c r="R7" s="85">
        <f t="shared" si="10"/>
        <v>14780059884.24543</v>
      </c>
      <c r="S7" s="97"/>
      <c r="T7" s="316">
        <f t="shared" si="10"/>
        <v>21494000000.037502</v>
      </c>
      <c r="U7" s="339">
        <f t="shared" si="0"/>
        <v>17.240603379905096</v>
      </c>
    </row>
    <row r="8" spans="1:153" s="64" customFormat="1" x14ac:dyDescent="0.25">
      <c r="A8" s="67" t="s">
        <v>8</v>
      </c>
      <c r="B8" s="222"/>
      <c r="C8" s="63" t="s">
        <v>9</v>
      </c>
      <c r="D8" s="314">
        <f>+D9</f>
        <v>15911638600</v>
      </c>
      <c r="E8" s="314">
        <f t="shared" si="10"/>
        <v>11965599195.58</v>
      </c>
      <c r="F8" s="311">
        <f t="shared" si="2"/>
        <v>0.75200295182546439</v>
      </c>
      <c r="G8" s="314">
        <f t="shared" si="10"/>
        <v>14007338999.320999</v>
      </c>
      <c r="H8" s="312">
        <f t="shared" si="3"/>
        <v>0.88032033352749728</v>
      </c>
      <c r="I8" s="315">
        <f>+I9</f>
        <v>14459473207.58</v>
      </c>
      <c r="J8" s="315">
        <f t="shared" si="10"/>
        <v>16422288760.272699</v>
      </c>
      <c r="K8" s="89">
        <f t="shared" si="5"/>
        <v>0.17240603379905092</v>
      </c>
      <c r="L8" s="84">
        <f t="shared" si="10"/>
        <v>0</v>
      </c>
      <c r="M8" s="97"/>
      <c r="N8" s="84">
        <f t="shared" si="10"/>
        <v>0</v>
      </c>
      <c r="O8" s="97"/>
      <c r="P8" s="84">
        <f t="shared" si="10"/>
        <v>1642228876.0272701</v>
      </c>
      <c r="Q8" s="97"/>
      <c r="R8" s="84">
        <f t="shared" si="10"/>
        <v>14780059884.24543</v>
      </c>
      <c r="S8" s="97"/>
      <c r="T8" s="314">
        <f t="shared" si="10"/>
        <v>21494000000.037502</v>
      </c>
      <c r="U8" s="340">
        <f t="shared" si="0"/>
        <v>17.240603379905096</v>
      </c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2"/>
      <c r="CA8" s="62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2"/>
      <c r="CS8" s="62"/>
      <c r="CT8" s="62"/>
      <c r="CU8" s="62"/>
      <c r="CV8" s="62"/>
      <c r="CW8" s="62"/>
      <c r="CX8" s="62"/>
      <c r="CY8" s="62"/>
      <c r="CZ8" s="62"/>
      <c r="DA8" s="62"/>
      <c r="DB8" s="62"/>
      <c r="DC8" s="62"/>
      <c r="DD8" s="62"/>
      <c r="DE8" s="62"/>
      <c r="DF8" s="62"/>
      <c r="DG8" s="62"/>
      <c r="DH8" s="62"/>
      <c r="DI8" s="62"/>
      <c r="DJ8" s="62"/>
      <c r="DK8" s="62"/>
      <c r="DL8" s="62"/>
      <c r="DM8" s="62"/>
      <c r="DN8" s="62"/>
      <c r="DO8" s="62"/>
      <c r="DP8" s="62"/>
      <c r="DQ8" s="62"/>
      <c r="DR8" s="62"/>
      <c r="DS8" s="62"/>
      <c r="DT8" s="62"/>
      <c r="DU8" s="62"/>
      <c r="DV8" s="62"/>
      <c r="DW8" s="62"/>
      <c r="DX8" s="62"/>
      <c r="DY8" s="62"/>
      <c r="DZ8" s="62"/>
      <c r="EA8" s="62"/>
      <c r="EB8" s="62"/>
      <c r="EC8" s="62"/>
      <c r="ED8" s="62"/>
      <c r="EE8" s="62"/>
      <c r="EF8" s="62"/>
      <c r="EG8" s="62"/>
      <c r="EH8" s="62"/>
      <c r="EI8" s="62"/>
      <c r="EJ8" s="62"/>
      <c r="EK8" s="62"/>
      <c r="EL8" s="62"/>
      <c r="EM8" s="62"/>
      <c r="EN8" s="62"/>
      <c r="EO8" s="62"/>
      <c r="EP8" s="62"/>
      <c r="EQ8" s="62"/>
      <c r="ER8" s="62"/>
      <c r="ES8" s="62"/>
      <c r="ET8" s="62"/>
      <c r="EU8" s="62"/>
      <c r="EV8" s="62"/>
      <c r="EW8" s="62"/>
    </row>
    <row r="9" spans="1:153" x14ac:dyDescent="0.25">
      <c r="A9" s="68" t="s">
        <v>10</v>
      </c>
      <c r="B9" s="226">
        <v>31</v>
      </c>
      <c r="C9" s="66" t="s">
        <v>11</v>
      </c>
      <c r="D9" s="316">
        <f>+D10+D11</f>
        <v>15911638600</v>
      </c>
      <c r="E9" s="316">
        <f t="shared" ref="E9:G9" si="11">+E10+E11</f>
        <v>11965599195.58</v>
      </c>
      <c r="F9" s="311">
        <f t="shared" si="2"/>
        <v>0.75200295182546439</v>
      </c>
      <c r="G9" s="316">
        <f t="shared" si="11"/>
        <v>14007338999.320999</v>
      </c>
      <c r="H9" s="312">
        <f t="shared" si="3"/>
        <v>0.88032033352749728</v>
      </c>
      <c r="I9" s="317">
        <f t="shared" ref="I9:L9" si="12">+I10+I11</f>
        <v>14459473207.58</v>
      </c>
      <c r="J9" s="317">
        <f t="shared" si="12"/>
        <v>16422288760.272699</v>
      </c>
      <c r="K9" s="89">
        <f t="shared" si="5"/>
        <v>0.17240603379905092</v>
      </c>
      <c r="L9" s="85">
        <f t="shared" si="12"/>
        <v>0</v>
      </c>
      <c r="M9" s="97"/>
      <c r="N9" s="85">
        <f t="shared" ref="N9" si="13">+N10+N11</f>
        <v>0</v>
      </c>
      <c r="O9" s="97"/>
      <c r="P9" s="85">
        <f t="shared" ref="P9" si="14">+P10+P11</f>
        <v>1642228876.0272701</v>
      </c>
      <c r="Q9" s="97"/>
      <c r="R9" s="85">
        <f t="shared" ref="R9" si="15">+R10+R11</f>
        <v>14780059884.24543</v>
      </c>
      <c r="S9" s="97"/>
      <c r="T9" s="316">
        <f t="shared" ref="T9" si="16">+T10+T11</f>
        <v>21494000000.037502</v>
      </c>
      <c r="U9" s="339">
        <f t="shared" si="0"/>
        <v>17.240603379905096</v>
      </c>
      <c r="X9" s="354"/>
    </row>
    <row r="10" spans="1:153" s="64" customFormat="1" x14ac:dyDescent="0.25">
      <c r="A10" s="69" t="s">
        <v>12</v>
      </c>
      <c r="B10" s="222"/>
      <c r="C10" s="63" t="s">
        <v>13</v>
      </c>
      <c r="D10" s="314">
        <v>14074650894</v>
      </c>
      <c r="E10" s="314">
        <v>8451798841.8299999</v>
      </c>
      <c r="F10" s="311">
        <f t="shared" si="2"/>
        <v>0.60049793813592833</v>
      </c>
      <c r="G10" s="314">
        <f>+E10*1.2</f>
        <v>10142158610.195999</v>
      </c>
      <c r="H10" s="312">
        <f t="shared" si="3"/>
        <v>0.72059752576311387</v>
      </c>
      <c r="I10" s="315">
        <f>+'[2]COMPARATIVO RECAUDOS'!$F$10</f>
        <v>14459473207.58</v>
      </c>
      <c r="J10" s="315">
        <f>+G10*1.2</f>
        <v>12170590332.235199</v>
      </c>
      <c r="K10" s="89">
        <f t="shared" si="5"/>
        <v>0.2</v>
      </c>
      <c r="L10" s="80"/>
      <c r="M10" s="97"/>
      <c r="N10" s="80"/>
      <c r="O10" s="97"/>
      <c r="P10" s="80">
        <f>+J10*Q10</f>
        <v>1217059033.22352</v>
      </c>
      <c r="Q10" s="97">
        <v>0.1</v>
      </c>
      <c r="R10" s="80">
        <f>+J10*S10</f>
        <v>10953531299.011679</v>
      </c>
      <c r="S10" s="97">
        <v>0.9</v>
      </c>
      <c r="T10" s="314">
        <v>17242301572</v>
      </c>
      <c r="U10" s="340">
        <f t="shared" si="0"/>
        <v>20</v>
      </c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DW10" s="62"/>
      <c r="DX10" s="62"/>
      <c r="DY10" s="62"/>
      <c r="DZ10" s="62"/>
      <c r="EA10" s="62"/>
      <c r="EB10" s="62"/>
      <c r="EC10" s="62"/>
      <c r="ED10" s="62"/>
      <c r="EE10" s="62"/>
      <c r="EF10" s="62"/>
      <c r="EG10" s="62"/>
      <c r="EH10" s="62"/>
      <c r="EI10" s="62"/>
      <c r="EJ10" s="62"/>
      <c r="EK10" s="62"/>
      <c r="EL10" s="62"/>
      <c r="EM10" s="62"/>
      <c r="EN10" s="62"/>
      <c r="EO10" s="62"/>
      <c r="EP10" s="62"/>
      <c r="EQ10" s="62"/>
      <c r="ER10" s="62"/>
      <c r="ES10" s="62"/>
      <c r="ET10" s="62"/>
      <c r="EU10" s="62"/>
      <c r="EV10" s="62"/>
      <c r="EW10" s="62"/>
    </row>
    <row r="11" spans="1:153" x14ac:dyDescent="0.25">
      <c r="A11" s="70" t="s">
        <v>14</v>
      </c>
      <c r="B11" s="227"/>
      <c r="C11" s="71" t="s">
        <v>15</v>
      </c>
      <c r="D11" s="316">
        <v>1836987706</v>
      </c>
      <c r="E11" s="316">
        <v>3513800353.75</v>
      </c>
      <c r="F11" s="311">
        <f t="shared" si="2"/>
        <v>1.912805590518198</v>
      </c>
      <c r="G11" s="316">
        <f>+E11*1.1</f>
        <v>3865180389.1250005</v>
      </c>
      <c r="H11" s="312">
        <f t="shared" si="3"/>
        <v>2.1040861495700183</v>
      </c>
      <c r="I11" s="317"/>
      <c r="J11" s="317">
        <f>+G11*1.1</f>
        <v>4251698428.0375009</v>
      </c>
      <c r="K11" s="89">
        <f t="shared" si="5"/>
        <v>0.10000000000000009</v>
      </c>
      <c r="L11" s="81"/>
      <c r="M11" s="97"/>
      <c r="N11" s="81"/>
      <c r="O11" s="97"/>
      <c r="P11" s="81">
        <f>+J11*Q11</f>
        <v>425169842.8037501</v>
      </c>
      <c r="Q11" s="97">
        <v>0.1</v>
      </c>
      <c r="R11" s="81">
        <f>+J11*S11</f>
        <v>3826528585.2337508</v>
      </c>
      <c r="S11" s="97">
        <v>0.9</v>
      </c>
      <c r="T11" s="316">
        <f>+J11</f>
        <v>4251698428.0375009</v>
      </c>
      <c r="U11" s="339">
        <f t="shared" si="0"/>
        <v>10.000000000000014</v>
      </c>
      <c r="X11" s="356"/>
    </row>
    <row r="12" spans="1:153" s="64" customFormat="1" x14ac:dyDescent="0.25">
      <c r="A12" s="69" t="s">
        <v>16</v>
      </c>
      <c r="B12" s="222"/>
      <c r="C12" s="63" t="s">
        <v>17</v>
      </c>
      <c r="D12" s="314">
        <f>+D13+D27+D47+D52</f>
        <v>115298730657</v>
      </c>
      <c r="E12" s="314">
        <f>+E13+E27+E47+E52</f>
        <v>101201336575.27</v>
      </c>
      <c r="F12" s="311">
        <f t="shared" si="2"/>
        <v>0.87773157604251462</v>
      </c>
      <c r="G12" s="314">
        <f>+G13+G27+G47+G52</f>
        <v>105682638123.12267</v>
      </c>
      <c r="H12" s="312">
        <f t="shared" si="3"/>
        <v>0.91659845274026419</v>
      </c>
      <c r="I12" s="315">
        <f>+I13+I27+I47+I52</f>
        <v>107778217287</v>
      </c>
      <c r="J12" s="315">
        <f>+J13+J27+J47+J52</f>
        <v>124333348925.24713</v>
      </c>
      <c r="K12" s="89">
        <f t="shared" si="5"/>
        <v>0.17647847492599461</v>
      </c>
      <c r="L12" s="84">
        <f>+L13+L27+L47+L52</f>
        <v>11494506268.421753</v>
      </c>
      <c r="M12" s="97"/>
      <c r="N12" s="84">
        <f>+N13+N27+N47+N52</f>
        <v>5614497519.9055462</v>
      </c>
      <c r="O12" s="97"/>
      <c r="P12" s="84">
        <f>+P13+P27+P47+P52</f>
        <v>10670814969.626417</v>
      </c>
      <c r="Q12" s="97"/>
      <c r="R12" s="84">
        <f>+R13+R27+R47+R52</f>
        <v>96553530167.293427</v>
      </c>
      <c r="S12" s="97"/>
      <c r="T12" s="314">
        <f>+T13+T27+T47+T52</f>
        <v>125444601096.10001</v>
      </c>
      <c r="U12" s="340">
        <f t="shared" si="0"/>
        <v>17.647847492599468</v>
      </c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2"/>
      <c r="DK12" s="62"/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2"/>
      <c r="DW12" s="62"/>
      <c r="DX12" s="62"/>
      <c r="DY12" s="62"/>
      <c r="DZ12" s="62"/>
      <c r="EA12" s="62"/>
      <c r="EB12" s="62"/>
      <c r="EC12" s="62"/>
      <c r="ED12" s="62"/>
      <c r="EE12" s="62"/>
      <c r="EF12" s="62"/>
      <c r="EG12" s="62"/>
      <c r="EH12" s="62"/>
      <c r="EI12" s="62"/>
      <c r="EJ12" s="62"/>
      <c r="EK12" s="62"/>
      <c r="EL12" s="62"/>
      <c r="EM12" s="62"/>
      <c r="EN12" s="62"/>
      <c r="EO12" s="62"/>
      <c r="EP12" s="62"/>
      <c r="EQ12" s="62"/>
      <c r="ER12" s="62"/>
      <c r="ES12" s="62"/>
      <c r="ET12" s="62"/>
      <c r="EU12" s="62"/>
      <c r="EV12" s="62"/>
      <c r="EW12" s="62"/>
    </row>
    <row r="13" spans="1:153" x14ac:dyDescent="0.25">
      <c r="A13" s="72" t="s">
        <v>18</v>
      </c>
      <c r="B13" s="227"/>
      <c r="C13" s="66" t="s">
        <v>19</v>
      </c>
      <c r="D13" s="316">
        <f>+D14</f>
        <v>14424839860</v>
      </c>
      <c r="E13" s="316">
        <f t="shared" ref="E13:T14" si="17">+E14</f>
        <v>13324895573.67</v>
      </c>
      <c r="F13" s="311">
        <f t="shared" si="2"/>
        <v>0.92374651663342622</v>
      </c>
      <c r="G13" s="316">
        <f t="shared" si="17"/>
        <v>14849541058.836666</v>
      </c>
      <c r="H13" s="312">
        <f t="shared" si="3"/>
        <v>1.0294423510388049</v>
      </c>
      <c r="I13" s="317">
        <f t="shared" si="17"/>
        <v>17891714098</v>
      </c>
      <c r="J13" s="317">
        <f t="shared" si="17"/>
        <v>16976626273.808336</v>
      </c>
      <c r="K13" s="89">
        <f t="shared" si="5"/>
        <v>0.1432424885418182</v>
      </c>
      <c r="L13" s="85">
        <f t="shared" si="17"/>
        <v>1697662627.3808334</v>
      </c>
      <c r="M13" s="97"/>
      <c r="N13" s="85">
        <f t="shared" si="17"/>
        <v>3395325254.7616668</v>
      </c>
      <c r="O13" s="97"/>
      <c r="P13" s="85">
        <f t="shared" si="17"/>
        <v>1028180886.8204167</v>
      </c>
      <c r="Q13" s="97"/>
      <c r="R13" s="85">
        <f t="shared" si="17"/>
        <v>10855457504.845417</v>
      </c>
      <c r="S13" s="97"/>
      <c r="T13" s="316">
        <f t="shared" si="17"/>
        <v>17976333808</v>
      </c>
      <c r="U13" s="339">
        <f t="shared" si="0"/>
        <v>14.324248854181818</v>
      </c>
    </row>
    <row r="14" spans="1:153" s="64" customFormat="1" ht="12.75" customHeight="1" x14ac:dyDescent="0.25">
      <c r="A14" s="63" t="s">
        <v>20</v>
      </c>
      <c r="B14" s="224"/>
      <c r="C14" s="63" t="s">
        <v>21</v>
      </c>
      <c r="D14" s="314">
        <f>+D15</f>
        <v>14424839860</v>
      </c>
      <c r="E14" s="314">
        <f t="shared" si="17"/>
        <v>13324895573.67</v>
      </c>
      <c r="F14" s="311">
        <f t="shared" si="2"/>
        <v>0.92374651663342622</v>
      </c>
      <c r="G14" s="314">
        <f t="shared" si="17"/>
        <v>14849541058.836666</v>
      </c>
      <c r="H14" s="312">
        <f t="shared" si="3"/>
        <v>1.0294423510388049</v>
      </c>
      <c r="I14" s="315">
        <f t="shared" si="17"/>
        <v>17891714098</v>
      </c>
      <c r="J14" s="315">
        <f t="shared" si="17"/>
        <v>16976626273.808336</v>
      </c>
      <c r="K14" s="89">
        <f t="shared" si="5"/>
        <v>0.1432424885418182</v>
      </c>
      <c r="L14" s="84">
        <f t="shared" si="17"/>
        <v>1697662627.3808334</v>
      </c>
      <c r="M14" s="97"/>
      <c r="N14" s="84">
        <f t="shared" si="17"/>
        <v>3395325254.7616668</v>
      </c>
      <c r="O14" s="97"/>
      <c r="P14" s="84">
        <f t="shared" si="17"/>
        <v>1028180886.8204167</v>
      </c>
      <c r="Q14" s="97"/>
      <c r="R14" s="84">
        <f t="shared" si="17"/>
        <v>10855457504.845417</v>
      </c>
      <c r="S14" s="97"/>
      <c r="T14" s="314">
        <f t="shared" si="17"/>
        <v>17976333808</v>
      </c>
      <c r="U14" s="340">
        <f t="shared" si="0"/>
        <v>14.324248854181818</v>
      </c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62"/>
      <c r="CX14" s="62"/>
      <c r="CY14" s="62"/>
      <c r="CZ14" s="62"/>
      <c r="DA14" s="62"/>
      <c r="DB14" s="62"/>
      <c r="DC14" s="62"/>
      <c r="DD14" s="62"/>
      <c r="DE14" s="62"/>
      <c r="DF14" s="62"/>
      <c r="DG14" s="62"/>
      <c r="DH14" s="62"/>
      <c r="DI14" s="62"/>
      <c r="DJ14" s="62"/>
      <c r="DK14" s="62"/>
      <c r="DL14" s="62"/>
      <c r="DM14" s="62"/>
      <c r="DN14" s="62"/>
      <c r="DO14" s="62"/>
      <c r="DP14" s="62"/>
      <c r="DQ14" s="62"/>
      <c r="DR14" s="62"/>
      <c r="DS14" s="62"/>
      <c r="DT14" s="62"/>
      <c r="DU14" s="62"/>
      <c r="DV14" s="62"/>
      <c r="DW14" s="62"/>
      <c r="DX14" s="62"/>
      <c r="DY14" s="62"/>
      <c r="DZ14" s="62"/>
      <c r="EA14" s="62"/>
      <c r="EB14" s="62"/>
      <c r="EC14" s="62"/>
      <c r="ED14" s="62"/>
      <c r="EE14" s="62"/>
      <c r="EF14" s="62"/>
      <c r="EG14" s="62"/>
      <c r="EH14" s="62"/>
      <c r="EI14" s="62"/>
      <c r="EJ14" s="62"/>
      <c r="EK14" s="62"/>
      <c r="EL14" s="62"/>
      <c r="EM14" s="62"/>
      <c r="EN14" s="62"/>
      <c r="EO14" s="62"/>
      <c r="EP14" s="62"/>
      <c r="EQ14" s="62"/>
      <c r="ER14" s="62"/>
      <c r="ES14" s="62"/>
      <c r="ET14" s="62"/>
      <c r="EU14" s="62"/>
      <c r="EV14" s="62"/>
      <c r="EW14" s="62"/>
    </row>
    <row r="15" spans="1:153" x14ac:dyDescent="0.25">
      <c r="A15" s="73" t="s">
        <v>22</v>
      </c>
      <c r="B15" s="228"/>
      <c r="C15" s="66" t="s">
        <v>23</v>
      </c>
      <c r="D15" s="316">
        <f>+D16+D23</f>
        <v>14424839860</v>
      </c>
      <c r="E15" s="316">
        <f t="shared" ref="E15:G15" si="18">+E16+E23</f>
        <v>13324895573.67</v>
      </c>
      <c r="F15" s="311">
        <f t="shared" si="2"/>
        <v>0.92374651663342622</v>
      </c>
      <c r="G15" s="316">
        <f t="shared" si="18"/>
        <v>14849541058.836666</v>
      </c>
      <c r="H15" s="312">
        <f t="shared" si="3"/>
        <v>1.0294423510388049</v>
      </c>
      <c r="I15" s="317">
        <f t="shared" ref="I15:L15" si="19">+I16+I23</f>
        <v>17891714098</v>
      </c>
      <c r="J15" s="317">
        <f t="shared" si="19"/>
        <v>16976626273.808336</v>
      </c>
      <c r="K15" s="89">
        <f t="shared" si="5"/>
        <v>0.1432424885418182</v>
      </c>
      <c r="L15" s="85">
        <f t="shared" si="19"/>
        <v>1697662627.3808334</v>
      </c>
      <c r="M15" s="97"/>
      <c r="N15" s="85">
        <f t="shared" ref="N15" si="20">+N16+N23</f>
        <v>3395325254.7616668</v>
      </c>
      <c r="O15" s="97"/>
      <c r="P15" s="85">
        <f t="shared" ref="P15" si="21">+P16+P23</f>
        <v>1028180886.8204167</v>
      </c>
      <c r="Q15" s="97"/>
      <c r="R15" s="85">
        <f t="shared" ref="R15" si="22">+R16+R23</f>
        <v>10855457504.845417</v>
      </c>
      <c r="S15" s="97"/>
      <c r="T15" s="316">
        <f t="shared" ref="T15" si="23">+T16+T23</f>
        <v>17976333808</v>
      </c>
      <c r="U15" s="339">
        <f t="shared" si="0"/>
        <v>14.324248854181818</v>
      </c>
    </row>
    <row r="16" spans="1:153" s="64" customFormat="1" x14ac:dyDescent="0.25">
      <c r="A16" s="74" t="s">
        <v>24</v>
      </c>
      <c r="B16" s="222"/>
      <c r="C16" s="63" t="s">
        <v>25</v>
      </c>
      <c r="D16" s="314">
        <f>+D17+D20</f>
        <v>14302168579</v>
      </c>
      <c r="E16" s="314">
        <f t="shared" ref="E16:G16" si="24">+E17+E20</f>
        <v>13297619103.67</v>
      </c>
      <c r="F16" s="311">
        <f t="shared" si="2"/>
        <v>0.92976243638989209</v>
      </c>
      <c r="G16" s="314">
        <f t="shared" si="24"/>
        <v>14813172432.17</v>
      </c>
      <c r="H16" s="312">
        <f t="shared" si="3"/>
        <v>1.0357291169061111</v>
      </c>
      <c r="I16" s="315">
        <f t="shared" ref="I16:L16" si="25">+I17+I20</f>
        <v>17846333808</v>
      </c>
      <c r="J16" s="315">
        <f t="shared" si="25"/>
        <v>16846626273.808336</v>
      </c>
      <c r="K16" s="89">
        <f t="shared" si="5"/>
        <v>0.1372733525481856</v>
      </c>
      <c r="L16" s="84">
        <f t="shared" si="25"/>
        <v>1684662627.3808334</v>
      </c>
      <c r="M16" s="97"/>
      <c r="N16" s="84">
        <f t="shared" ref="N16" si="26">+N17+N20</f>
        <v>3369325254.7616668</v>
      </c>
      <c r="O16" s="97"/>
      <c r="P16" s="84">
        <f t="shared" ref="P16" si="27">+P17+P20</f>
        <v>1015180886.8204167</v>
      </c>
      <c r="Q16" s="97"/>
      <c r="R16" s="84">
        <f t="shared" ref="R16" si="28">+R17+R20</f>
        <v>10777457504.845417</v>
      </c>
      <c r="S16" s="97"/>
      <c r="T16" s="314">
        <f t="shared" ref="T16" si="29">+T17+T20</f>
        <v>17846333808</v>
      </c>
      <c r="U16" s="340">
        <f t="shared" si="0"/>
        <v>13.727335254818556</v>
      </c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62"/>
      <c r="CO16" s="62"/>
      <c r="CP16" s="62"/>
      <c r="CQ16" s="62"/>
      <c r="CR16" s="62"/>
      <c r="CS16" s="62"/>
      <c r="CT16" s="62"/>
      <c r="CU16" s="62"/>
      <c r="CV16" s="62"/>
      <c r="CW16" s="62"/>
      <c r="CX16" s="62"/>
      <c r="CY16" s="62"/>
      <c r="CZ16" s="62"/>
      <c r="DA16" s="62"/>
      <c r="DB16" s="62"/>
      <c r="DC16" s="62"/>
      <c r="DD16" s="62"/>
      <c r="DE16" s="62"/>
      <c r="DF16" s="62"/>
      <c r="DG16" s="62"/>
      <c r="DH16" s="62"/>
      <c r="DI16" s="62"/>
      <c r="DJ16" s="62"/>
      <c r="DK16" s="62"/>
      <c r="DL16" s="62"/>
      <c r="DM16" s="62"/>
      <c r="DN16" s="62"/>
      <c r="DO16" s="62"/>
      <c r="DP16" s="62"/>
      <c r="DQ16" s="62"/>
      <c r="DR16" s="62"/>
      <c r="DS16" s="62"/>
      <c r="DT16" s="62"/>
      <c r="DU16" s="62"/>
      <c r="DV16" s="62"/>
      <c r="DW16" s="62"/>
      <c r="DX16" s="62"/>
      <c r="DY16" s="62"/>
      <c r="DZ16" s="62"/>
      <c r="EA16" s="62"/>
      <c r="EB16" s="62"/>
      <c r="EC16" s="62"/>
      <c r="ED16" s="62"/>
      <c r="EE16" s="62"/>
      <c r="EF16" s="62"/>
      <c r="EG16" s="62"/>
      <c r="EH16" s="62"/>
      <c r="EI16" s="62"/>
      <c r="EJ16" s="62"/>
      <c r="EK16" s="62"/>
      <c r="EL16" s="62"/>
      <c r="EM16" s="62"/>
      <c r="EN16" s="62"/>
      <c r="EO16" s="62"/>
      <c r="EP16" s="62"/>
      <c r="EQ16" s="62"/>
      <c r="ER16" s="62"/>
      <c r="ES16" s="62"/>
      <c r="ET16" s="62"/>
      <c r="EU16" s="62"/>
      <c r="EV16" s="62"/>
      <c r="EW16" s="62"/>
    </row>
    <row r="17" spans="1:153" x14ac:dyDescent="0.25">
      <c r="A17" s="75" t="s">
        <v>26</v>
      </c>
      <c r="B17" s="227">
        <v>41</v>
      </c>
      <c r="C17" s="66" t="s">
        <v>27</v>
      </c>
      <c r="D17" s="316">
        <f>+D18+D19</f>
        <v>12075022817</v>
      </c>
      <c r="E17" s="316">
        <f t="shared" ref="E17:G17" si="30">+E18+E19</f>
        <v>10560318551.67</v>
      </c>
      <c r="F17" s="311">
        <f t="shared" si="2"/>
        <v>0.8745588900090937</v>
      </c>
      <c r="G17" s="316">
        <f t="shared" si="30"/>
        <v>11588971674.17</v>
      </c>
      <c r="H17" s="312">
        <f t="shared" si="3"/>
        <v>0.95974739342556725</v>
      </c>
      <c r="I17" s="317">
        <f t="shared" ref="I17:L17" si="31">+I18+I19</f>
        <v>13673438495</v>
      </c>
      <c r="J17" s="317">
        <f t="shared" si="31"/>
        <v>13389634811.208336</v>
      </c>
      <c r="K17" s="89">
        <f t="shared" si="5"/>
        <v>0.15537730073598605</v>
      </c>
      <c r="L17" s="85">
        <f t="shared" si="31"/>
        <v>1338963481.1208334</v>
      </c>
      <c r="M17" s="97"/>
      <c r="N17" s="85">
        <f t="shared" ref="N17" si="32">+N18+N19</f>
        <v>2677926962.2416668</v>
      </c>
      <c r="O17" s="97"/>
      <c r="P17" s="85">
        <f t="shared" ref="P17" si="33">+P18+P19</f>
        <v>669481740.5604167</v>
      </c>
      <c r="Q17" s="97"/>
      <c r="R17" s="85">
        <f t="shared" ref="R17" si="34">+R18+R19</f>
        <v>8703262627.2854176</v>
      </c>
      <c r="S17" s="97"/>
      <c r="T17" s="316">
        <f t="shared" ref="T17" si="35">+T18+T19</f>
        <v>13673438495</v>
      </c>
      <c r="U17" s="339">
        <f t="shared" si="0"/>
        <v>15.537730073598595</v>
      </c>
    </row>
    <row r="18" spans="1:153" s="64" customFormat="1" x14ac:dyDescent="0.25">
      <c r="A18" s="74" t="s">
        <v>29</v>
      </c>
      <c r="B18" s="222"/>
      <c r="C18" s="63" t="s">
        <v>30</v>
      </c>
      <c r="D18" s="314">
        <v>11224669097</v>
      </c>
      <c r="E18" s="314">
        <v>10286531225</v>
      </c>
      <c r="F18" s="311">
        <f t="shared" si="2"/>
        <v>0.91642177921746182</v>
      </c>
      <c r="G18" s="314">
        <f>+(E18/10)*11</f>
        <v>11315184347.5</v>
      </c>
      <c r="H18" s="312">
        <f t="shared" si="3"/>
        <v>1.008063957139208</v>
      </c>
      <c r="I18" s="315">
        <f>+'[2]COMPARATIVO RECAUDOS'!$F$14</f>
        <v>13673438495</v>
      </c>
      <c r="J18" s="315">
        <f>+G18*1.1</f>
        <v>12446702782.250002</v>
      </c>
      <c r="K18" s="89">
        <f t="shared" si="5"/>
        <v>0.10000000000000017</v>
      </c>
      <c r="L18" s="80">
        <f>+J18*M18</f>
        <v>1244670278.2250001</v>
      </c>
      <c r="M18" s="97">
        <v>0.1</v>
      </c>
      <c r="N18" s="80">
        <f>+J18*O18</f>
        <v>2489340556.4500003</v>
      </c>
      <c r="O18" s="97">
        <v>0.2</v>
      </c>
      <c r="P18" s="80">
        <f>+J18*Q18</f>
        <v>622335139.11250007</v>
      </c>
      <c r="Q18" s="97">
        <v>0.05</v>
      </c>
      <c r="R18" s="80">
        <f>+J18*S18</f>
        <v>8090356808.4625006</v>
      </c>
      <c r="S18" s="97">
        <f>100%-M18-O18-Q18</f>
        <v>0.64999999999999991</v>
      </c>
      <c r="T18" s="314">
        <f>13673438495-1589818840</f>
        <v>12083619655</v>
      </c>
      <c r="U18" s="340">
        <f t="shared" si="0"/>
        <v>10.000000000000014</v>
      </c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/>
      <c r="CD18" s="62"/>
      <c r="CE18" s="62"/>
      <c r="CF18" s="62"/>
      <c r="CG18" s="62"/>
      <c r="CH18" s="62"/>
      <c r="CI18" s="62"/>
      <c r="CJ18" s="62"/>
      <c r="CK18" s="62"/>
      <c r="CL18" s="62"/>
      <c r="CM18" s="62"/>
      <c r="CN18" s="62"/>
      <c r="CO18" s="62"/>
      <c r="CP18" s="62"/>
      <c r="CQ18" s="62"/>
      <c r="CR18" s="62"/>
      <c r="CS18" s="62"/>
      <c r="CT18" s="62"/>
      <c r="CU18" s="62"/>
      <c r="CV18" s="62"/>
      <c r="CW18" s="62"/>
      <c r="CX18" s="62"/>
      <c r="CY18" s="62"/>
      <c r="CZ18" s="62"/>
      <c r="DA18" s="62"/>
      <c r="DB18" s="62"/>
      <c r="DC18" s="62"/>
      <c r="DD18" s="62"/>
      <c r="DE18" s="62"/>
      <c r="DF18" s="62"/>
      <c r="DG18" s="62"/>
      <c r="DH18" s="62"/>
      <c r="DI18" s="62"/>
      <c r="DJ18" s="62"/>
      <c r="DK18" s="62"/>
      <c r="DL18" s="62"/>
      <c r="DM18" s="62"/>
      <c r="DN18" s="62"/>
      <c r="DO18" s="62"/>
      <c r="DP18" s="62"/>
      <c r="DQ18" s="62"/>
      <c r="DR18" s="62"/>
      <c r="DS18" s="62"/>
      <c r="DT18" s="62"/>
      <c r="DU18" s="62"/>
      <c r="DV18" s="62"/>
      <c r="DW18" s="62"/>
      <c r="DX18" s="62"/>
      <c r="DY18" s="62"/>
      <c r="DZ18" s="62"/>
      <c r="EA18" s="62"/>
      <c r="EB18" s="62"/>
      <c r="EC18" s="62"/>
      <c r="ED18" s="62"/>
      <c r="EE18" s="62"/>
      <c r="EF18" s="62"/>
      <c r="EG18" s="62"/>
      <c r="EH18" s="62"/>
      <c r="EI18" s="62"/>
      <c r="EJ18" s="62"/>
      <c r="EK18" s="62"/>
      <c r="EL18" s="62"/>
      <c r="EM18" s="62"/>
      <c r="EN18" s="62"/>
      <c r="EO18" s="62"/>
      <c r="EP18" s="62"/>
      <c r="EQ18" s="62"/>
      <c r="ER18" s="62"/>
      <c r="ES18" s="62"/>
      <c r="ET18" s="62"/>
      <c r="EU18" s="62"/>
      <c r="EV18" s="62"/>
      <c r="EW18" s="62"/>
    </row>
    <row r="19" spans="1:153" x14ac:dyDescent="0.25">
      <c r="A19" s="75" t="s">
        <v>31</v>
      </c>
      <c r="B19" s="227"/>
      <c r="C19" s="66" t="s">
        <v>32</v>
      </c>
      <c r="D19" s="316">
        <v>850353720</v>
      </c>
      <c r="E19" s="316">
        <v>273787326.67000002</v>
      </c>
      <c r="F19" s="311">
        <f t="shared" si="2"/>
        <v>0.32196875280324522</v>
      </c>
      <c r="G19" s="316">
        <f>+E19</f>
        <v>273787326.67000002</v>
      </c>
      <c r="H19" s="312">
        <f t="shared" si="3"/>
        <v>0.32196875280324522</v>
      </c>
      <c r="I19" s="317"/>
      <c r="J19" s="317">
        <f>+G18/12</f>
        <v>942932028.95833337</v>
      </c>
      <c r="K19" s="89">
        <f t="shared" si="5"/>
        <v>2.4440309579955963</v>
      </c>
      <c r="L19" s="81">
        <f>+J19*M19</f>
        <v>94293202.895833343</v>
      </c>
      <c r="M19" s="97">
        <v>0.1</v>
      </c>
      <c r="N19" s="81">
        <f>+J19*O19</f>
        <v>188586405.79166669</v>
      </c>
      <c r="O19" s="97">
        <v>0.2</v>
      </c>
      <c r="P19" s="81">
        <f>+J19*Q19</f>
        <v>47146601.447916672</v>
      </c>
      <c r="Q19" s="97">
        <v>0.05</v>
      </c>
      <c r="R19" s="81">
        <f>+J19*S19</f>
        <v>612905818.82291663</v>
      </c>
      <c r="S19" s="97">
        <f>100%-M19-O19-Q19</f>
        <v>0.64999999999999991</v>
      </c>
      <c r="T19" s="316">
        <f>476945652+1112873188</f>
        <v>1589818840</v>
      </c>
      <c r="U19" s="339">
        <f t="shared" si="0"/>
        <v>244.40309579955959</v>
      </c>
    </row>
    <row r="20" spans="1:153" s="64" customFormat="1" x14ac:dyDescent="0.25">
      <c r="A20" s="74" t="s">
        <v>34</v>
      </c>
      <c r="B20" s="222">
        <v>42</v>
      </c>
      <c r="C20" s="63" t="s">
        <v>35</v>
      </c>
      <c r="D20" s="314">
        <f>+D21+D22</f>
        <v>2227145762</v>
      </c>
      <c r="E20" s="314">
        <f t="shared" ref="E20:G20" si="36">+E21+E22</f>
        <v>2737300552</v>
      </c>
      <c r="F20" s="311">
        <f t="shared" si="2"/>
        <v>1.229062147033374</v>
      </c>
      <c r="G20" s="314">
        <f t="shared" si="36"/>
        <v>3224200758</v>
      </c>
      <c r="H20" s="312">
        <f t="shared" si="3"/>
        <v>1.4476828652223617</v>
      </c>
      <c r="I20" s="315">
        <f t="shared" ref="I20:R20" si="37">+I21+I22</f>
        <v>4172895313</v>
      </c>
      <c r="J20" s="315">
        <f t="shared" si="37"/>
        <v>3456991462.6000004</v>
      </c>
      <c r="K20" s="89">
        <f t="shared" si="5"/>
        <v>7.2201057586873868E-2</v>
      </c>
      <c r="L20" s="84">
        <f t="shared" si="37"/>
        <v>345699146.26000005</v>
      </c>
      <c r="M20" s="97"/>
      <c r="N20" s="84">
        <f t="shared" si="37"/>
        <v>691398292.5200001</v>
      </c>
      <c r="O20" s="97"/>
      <c r="P20" s="84">
        <f t="shared" si="37"/>
        <v>345699146.26000005</v>
      </c>
      <c r="Q20" s="97"/>
      <c r="R20" s="84">
        <f t="shared" si="37"/>
        <v>2074194877.5600002</v>
      </c>
      <c r="S20" s="97"/>
      <c r="T20" s="314">
        <f t="shared" ref="T20" si="38">+T21+T22</f>
        <v>4172895313</v>
      </c>
      <c r="U20" s="340">
        <f t="shared" si="0"/>
        <v>7.2201057586873958</v>
      </c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/>
      <c r="CG20" s="62"/>
      <c r="CH20" s="62"/>
      <c r="CI20" s="62"/>
      <c r="CJ20" s="62"/>
      <c r="CK20" s="62"/>
      <c r="CL20" s="62"/>
      <c r="CM20" s="62"/>
      <c r="CN20" s="62"/>
      <c r="CO20" s="62"/>
      <c r="CP20" s="62"/>
      <c r="CQ20" s="62"/>
      <c r="CR20" s="62"/>
      <c r="CS20" s="62"/>
      <c r="CT20" s="62"/>
      <c r="CU20" s="62"/>
      <c r="CV20" s="62"/>
      <c r="CW20" s="62"/>
      <c r="CX20" s="62"/>
      <c r="CY20" s="62"/>
      <c r="CZ20" s="62"/>
      <c r="DA20" s="62"/>
      <c r="DB20" s="62"/>
      <c r="DC20" s="62"/>
      <c r="DD20" s="62"/>
      <c r="DE20" s="62"/>
      <c r="DF20" s="62"/>
      <c r="DG20" s="62"/>
      <c r="DH20" s="62"/>
      <c r="DI20" s="62"/>
      <c r="DJ20" s="62"/>
      <c r="DK20" s="62"/>
      <c r="DL20" s="62"/>
      <c r="DM20" s="62"/>
      <c r="DN20" s="62"/>
      <c r="DO20" s="62"/>
      <c r="DP20" s="62"/>
      <c r="DQ20" s="62"/>
      <c r="DR20" s="62"/>
      <c r="DS20" s="62"/>
      <c r="DT20" s="62"/>
      <c r="DU20" s="62"/>
      <c r="DV20" s="62"/>
      <c r="DW20" s="62"/>
      <c r="DX20" s="62"/>
      <c r="DY20" s="62"/>
      <c r="DZ20" s="62"/>
      <c r="EA20" s="62"/>
      <c r="EB20" s="62"/>
      <c r="EC20" s="62"/>
      <c r="ED20" s="62"/>
      <c r="EE20" s="62"/>
      <c r="EF20" s="62"/>
      <c r="EG20" s="62"/>
      <c r="EH20" s="62"/>
      <c r="EI20" s="62"/>
      <c r="EJ20" s="62"/>
      <c r="EK20" s="62"/>
      <c r="EL20" s="62"/>
      <c r="EM20" s="62"/>
      <c r="EN20" s="62"/>
      <c r="EO20" s="62"/>
      <c r="EP20" s="62"/>
      <c r="EQ20" s="62"/>
      <c r="ER20" s="62"/>
      <c r="ES20" s="62"/>
      <c r="ET20" s="62"/>
      <c r="EU20" s="62"/>
      <c r="EV20" s="62"/>
      <c r="EW20" s="62"/>
    </row>
    <row r="21" spans="1:153" x14ac:dyDescent="0.25">
      <c r="A21" s="75" t="s">
        <v>36</v>
      </c>
      <c r="B21" s="227"/>
      <c r="C21" s="66" t="s">
        <v>37</v>
      </c>
      <c r="D21" s="316">
        <v>2070304512</v>
      </c>
      <c r="E21" s="316">
        <v>2434501030</v>
      </c>
      <c r="F21" s="311">
        <f t="shared" si="2"/>
        <v>1.1759144685668346</v>
      </c>
      <c r="G21" s="316">
        <f>+(E21/10)*12</f>
        <v>2921401236</v>
      </c>
      <c r="H21" s="312">
        <f t="shared" si="3"/>
        <v>1.4110973622802017</v>
      </c>
      <c r="I21" s="317">
        <f>+'[2]COMPARATIVO RECAUDOS'!$F$15</f>
        <v>4172895313</v>
      </c>
      <c r="J21" s="317">
        <f>+G21*1.1</f>
        <v>3213541359.6000004</v>
      </c>
      <c r="K21" s="89">
        <f t="shared" si="5"/>
        <v>0.10000000000000013</v>
      </c>
      <c r="L21" s="81">
        <f>+J21*M21</f>
        <v>321354135.96000004</v>
      </c>
      <c r="M21" s="97">
        <v>0.1</v>
      </c>
      <c r="N21" s="81">
        <f>+J21*O21</f>
        <v>642708271.92000008</v>
      </c>
      <c r="O21" s="97">
        <v>0.2</v>
      </c>
      <c r="P21" s="81">
        <f>+J21*Q21</f>
        <v>321354135.96000004</v>
      </c>
      <c r="Q21" s="97">
        <v>0.1</v>
      </c>
      <c r="R21" s="81">
        <f>+J21*S21</f>
        <v>1928124815.7600002</v>
      </c>
      <c r="S21" s="97">
        <v>0.6</v>
      </c>
      <c r="T21" s="316">
        <f>4172895313-1447142270</f>
        <v>2725753043</v>
      </c>
      <c r="U21" s="339">
        <f t="shared" si="0"/>
        <v>10.000000000000014</v>
      </c>
    </row>
    <row r="22" spans="1:153" s="64" customFormat="1" x14ac:dyDescent="0.25">
      <c r="A22" s="74" t="s">
        <v>38</v>
      </c>
      <c r="B22" s="222"/>
      <c r="C22" s="63" t="s">
        <v>39</v>
      </c>
      <c r="D22" s="314">
        <v>156841250</v>
      </c>
      <c r="E22" s="314">
        <v>302799522</v>
      </c>
      <c r="F22" s="311">
        <f t="shared" si="2"/>
        <v>1.9306115068580492</v>
      </c>
      <c r="G22" s="314">
        <f>+E22</f>
        <v>302799522</v>
      </c>
      <c r="H22" s="312">
        <f t="shared" si="3"/>
        <v>1.9306115068580492</v>
      </c>
      <c r="I22" s="315"/>
      <c r="J22" s="315">
        <f>+G21/12</f>
        <v>243450103</v>
      </c>
      <c r="K22" s="89">
        <f t="shared" si="5"/>
        <v>-0.19600235366289648</v>
      </c>
      <c r="L22" s="80">
        <f>+J22*M22</f>
        <v>24345010.300000001</v>
      </c>
      <c r="M22" s="97">
        <v>0.1</v>
      </c>
      <c r="N22" s="80">
        <f>+J22*O22</f>
        <v>48690020.600000001</v>
      </c>
      <c r="O22" s="97">
        <v>0.2</v>
      </c>
      <c r="P22" s="80">
        <f>+J22*Q22</f>
        <v>24345010.300000001</v>
      </c>
      <c r="Q22" s="97">
        <v>0.1</v>
      </c>
      <c r="R22" s="80">
        <f>+S22*J22</f>
        <v>146070061.79999998</v>
      </c>
      <c r="S22" s="97">
        <v>0.6</v>
      </c>
      <c r="T22" s="314">
        <v>1447142270</v>
      </c>
      <c r="U22" s="340">
        <f t="shared" si="0"/>
        <v>-19.600235366289638</v>
      </c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/>
      <c r="CG22" s="62"/>
      <c r="CH22" s="62"/>
      <c r="CI22" s="62"/>
      <c r="CJ22" s="62"/>
      <c r="CK22" s="62"/>
      <c r="CL22" s="62"/>
      <c r="CM22" s="62"/>
      <c r="CN22" s="62"/>
      <c r="CO22" s="62"/>
      <c r="CP22" s="62"/>
      <c r="CQ22" s="62"/>
      <c r="CR22" s="62"/>
      <c r="CS22" s="62"/>
      <c r="CT22" s="62"/>
      <c r="CU22" s="62"/>
      <c r="CV22" s="62"/>
      <c r="CW22" s="62"/>
      <c r="CX22" s="62"/>
      <c r="CY22" s="62"/>
      <c r="CZ22" s="62"/>
      <c r="DA22" s="62"/>
      <c r="DB22" s="62"/>
      <c r="DC22" s="62"/>
      <c r="DD22" s="62"/>
      <c r="DE22" s="62"/>
      <c r="DF22" s="62"/>
      <c r="DG22" s="62"/>
      <c r="DH22" s="62"/>
      <c r="DI22" s="62"/>
      <c r="DJ22" s="62"/>
      <c r="DK22" s="62"/>
      <c r="DL22" s="62"/>
      <c r="DM22" s="62"/>
      <c r="DN22" s="62"/>
      <c r="DO22" s="62"/>
      <c r="DP22" s="62"/>
      <c r="DQ22" s="62"/>
      <c r="DR22" s="62"/>
      <c r="DS22" s="62"/>
      <c r="DT22" s="62"/>
      <c r="DU22" s="62"/>
      <c r="DV22" s="62"/>
      <c r="DW22" s="62"/>
      <c r="DX22" s="62"/>
      <c r="DY22" s="62"/>
      <c r="DZ22" s="62"/>
      <c r="EA22" s="62"/>
      <c r="EB22" s="62"/>
      <c r="EC22" s="62"/>
      <c r="ED22" s="62"/>
      <c r="EE22" s="62"/>
      <c r="EF22" s="62"/>
      <c r="EG22" s="62"/>
      <c r="EH22" s="62"/>
      <c r="EI22" s="62"/>
      <c r="EJ22" s="62"/>
      <c r="EK22" s="62"/>
      <c r="EL22" s="62"/>
      <c r="EM22" s="62"/>
      <c r="EN22" s="62"/>
      <c r="EO22" s="62"/>
      <c r="EP22" s="62"/>
      <c r="EQ22" s="62"/>
      <c r="ER22" s="62"/>
      <c r="ES22" s="62"/>
      <c r="ET22" s="62"/>
      <c r="EU22" s="62"/>
      <c r="EV22" s="62"/>
      <c r="EW22" s="62"/>
    </row>
    <row r="23" spans="1:153" x14ac:dyDescent="0.25">
      <c r="A23" s="75" t="s">
        <v>40</v>
      </c>
      <c r="B23" s="227"/>
      <c r="C23" s="66" t="s">
        <v>41</v>
      </c>
      <c r="D23" s="316">
        <f>+D24</f>
        <v>122671281</v>
      </c>
      <c r="E23" s="316">
        <f t="shared" ref="E23:T23" si="39">+E24</f>
        <v>27276470</v>
      </c>
      <c r="F23" s="311">
        <f t="shared" si="2"/>
        <v>0.22235416291120333</v>
      </c>
      <c r="G23" s="316">
        <f t="shared" si="39"/>
        <v>36368626.666666672</v>
      </c>
      <c r="H23" s="312">
        <f t="shared" si="3"/>
        <v>0.29647221721493777</v>
      </c>
      <c r="I23" s="317">
        <f t="shared" si="39"/>
        <v>45380290</v>
      </c>
      <c r="J23" s="317">
        <f t="shared" si="39"/>
        <v>130000000</v>
      </c>
      <c r="K23" s="89">
        <f t="shared" si="5"/>
        <v>2.5745094581520256</v>
      </c>
      <c r="L23" s="85">
        <f t="shared" si="39"/>
        <v>13000000</v>
      </c>
      <c r="M23" s="97"/>
      <c r="N23" s="85">
        <f t="shared" si="39"/>
        <v>26000000</v>
      </c>
      <c r="O23" s="97"/>
      <c r="P23" s="85">
        <f t="shared" si="39"/>
        <v>13000000</v>
      </c>
      <c r="Q23" s="97"/>
      <c r="R23" s="85">
        <f t="shared" si="39"/>
        <v>78000000</v>
      </c>
      <c r="S23" s="97"/>
      <c r="T23" s="316">
        <f t="shared" si="39"/>
        <v>130000000</v>
      </c>
      <c r="U23" s="339">
        <f t="shared" si="0"/>
        <v>257.45094581520254</v>
      </c>
    </row>
    <row r="24" spans="1:153" s="64" customFormat="1" x14ac:dyDescent="0.25">
      <c r="A24" s="74" t="s">
        <v>42</v>
      </c>
      <c r="B24" s="222">
        <v>43</v>
      </c>
      <c r="C24" s="63" t="s">
        <v>43</v>
      </c>
      <c r="D24" s="314">
        <f>+D25+D26</f>
        <v>122671281</v>
      </c>
      <c r="E24" s="314">
        <f t="shared" ref="E24:G24" si="40">+E25+E26</f>
        <v>27276470</v>
      </c>
      <c r="F24" s="311">
        <f t="shared" si="2"/>
        <v>0.22235416291120333</v>
      </c>
      <c r="G24" s="314">
        <f t="shared" si="40"/>
        <v>36368626.666666672</v>
      </c>
      <c r="H24" s="312">
        <f t="shared" si="3"/>
        <v>0.29647221721493777</v>
      </c>
      <c r="I24" s="315">
        <f t="shared" ref="I24:L24" si="41">+I25+I26</f>
        <v>45380290</v>
      </c>
      <c r="J24" s="315">
        <f t="shared" si="41"/>
        <v>130000000</v>
      </c>
      <c r="K24" s="89">
        <f t="shared" si="5"/>
        <v>2.5745094581520256</v>
      </c>
      <c r="L24" s="84">
        <f t="shared" si="41"/>
        <v>13000000</v>
      </c>
      <c r="M24" s="97"/>
      <c r="N24" s="84">
        <f t="shared" ref="N24" si="42">+N25+N26</f>
        <v>26000000</v>
      </c>
      <c r="O24" s="97"/>
      <c r="P24" s="84">
        <f t="shared" ref="P24" si="43">+P25+P26</f>
        <v>13000000</v>
      </c>
      <c r="Q24" s="97"/>
      <c r="R24" s="84">
        <f t="shared" ref="R24" si="44">+R25+R26</f>
        <v>78000000</v>
      </c>
      <c r="S24" s="97"/>
      <c r="T24" s="314">
        <f t="shared" ref="T24" si="45">+T25+T26</f>
        <v>130000000</v>
      </c>
      <c r="U24" s="340">
        <f t="shared" si="0"/>
        <v>257.45094581520254</v>
      </c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62"/>
      <c r="CH24" s="62"/>
      <c r="CI24" s="62"/>
      <c r="CJ24" s="62"/>
      <c r="CK24" s="62"/>
      <c r="CL24" s="62"/>
      <c r="CM24" s="62"/>
      <c r="CN24" s="62"/>
      <c r="CO24" s="62"/>
      <c r="CP24" s="62"/>
      <c r="CQ24" s="62"/>
      <c r="CR24" s="62"/>
      <c r="CS24" s="62"/>
      <c r="CT24" s="62"/>
      <c r="CU24" s="62"/>
      <c r="CV24" s="62"/>
      <c r="CW24" s="62"/>
      <c r="CX24" s="62"/>
      <c r="CY24" s="62"/>
      <c r="CZ24" s="62"/>
      <c r="DA24" s="62"/>
      <c r="DB24" s="62"/>
      <c r="DC24" s="62"/>
      <c r="DD24" s="62"/>
      <c r="DE24" s="62"/>
      <c r="DF24" s="62"/>
      <c r="DG24" s="62"/>
      <c r="DH24" s="62"/>
      <c r="DI24" s="62"/>
      <c r="DJ24" s="62"/>
      <c r="DK24" s="62"/>
      <c r="DL24" s="62"/>
      <c r="DM24" s="62"/>
      <c r="DN24" s="62"/>
      <c r="DO24" s="62"/>
      <c r="DP24" s="62"/>
      <c r="DQ24" s="62"/>
      <c r="DR24" s="62"/>
      <c r="DS24" s="62"/>
      <c r="DT24" s="62"/>
      <c r="DU24" s="62"/>
      <c r="DV24" s="62"/>
      <c r="DW24" s="62"/>
      <c r="DX24" s="62"/>
      <c r="DY24" s="62"/>
      <c r="DZ24" s="62"/>
      <c r="EA24" s="62"/>
      <c r="EB24" s="62"/>
      <c r="EC24" s="62"/>
      <c r="ED24" s="62"/>
      <c r="EE24" s="62"/>
      <c r="EF24" s="62"/>
      <c r="EG24" s="62"/>
      <c r="EH24" s="62"/>
      <c r="EI24" s="62"/>
      <c r="EJ24" s="62"/>
      <c r="EK24" s="62"/>
      <c r="EL24" s="62"/>
      <c r="EM24" s="62"/>
      <c r="EN24" s="62"/>
      <c r="EO24" s="62"/>
      <c r="EP24" s="62"/>
      <c r="EQ24" s="62"/>
      <c r="ER24" s="62"/>
      <c r="ES24" s="62"/>
      <c r="ET24" s="62"/>
      <c r="EU24" s="62"/>
      <c r="EV24" s="62"/>
      <c r="EW24" s="62"/>
    </row>
    <row r="25" spans="1:153" x14ac:dyDescent="0.25">
      <c r="A25" s="75" t="s">
        <v>44</v>
      </c>
      <c r="B25" s="227"/>
      <c r="C25" s="66" t="s">
        <v>30</v>
      </c>
      <c r="D25" s="316">
        <v>122671281</v>
      </c>
      <c r="E25" s="316">
        <v>27276470</v>
      </c>
      <c r="F25" s="311">
        <f t="shared" si="2"/>
        <v>0.22235416291120333</v>
      </c>
      <c r="G25" s="316">
        <f>+(E25/9)*12</f>
        <v>36368626.666666672</v>
      </c>
      <c r="H25" s="312">
        <f t="shared" si="3"/>
        <v>0.29647221721493777</v>
      </c>
      <c r="I25" s="317">
        <f>+'[2]COMPARATIVO RECAUDOS'!$F$17</f>
        <v>45380290</v>
      </c>
      <c r="J25" s="317">
        <v>120000000</v>
      </c>
      <c r="K25" s="89">
        <f t="shared" si="5"/>
        <v>2.2995471921403317</v>
      </c>
      <c r="L25" s="81">
        <f>+J25*M25</f>
        <v>12000000</v>
      </c>
      <c r="M25" s="97">
        <v>0.1</v>
      </c>
      <c r="N25" s="81">
        <f>+J25*O25</f>
        <v>24000000</v>
      </c>
      <c r="O25" s="97">
        <v>0.2</v>
      </c>
      <c r="P25" s="81">
        <f>+Q25*J25</f>
        <v>12000000</v>
      </c>
      <c r="Q25" s="97">
        <v>0.1</v>
      </c>
      <c r="R25" s="81">
        <f>+S25*J25</f>
        <v>72000000</v>
      </c>
      <c r="S25" s="97">
        <v>0.6</v>
      </c>
      <c r="T25" s="316">
        <f>+J25</f>
        <v>120000000</v>
      </c>
      <c r="U25" s="339">
        <f t="shared" si="0"/>
        <v>229.95471921403316</v>
      </c>
    </row>
    <row r="26" spans="1:153" s="64" customFormat="1" x14ac:dyDescent="0.25">
      <c r="A26" s="74" t="s">
        <v>45</v>
      </c>
      <c r="B26" s="222"/>
      <c r="C26" s="63" t="s">
        <v>32</v>
      </c>
      <c r="D26" s="314">
        <v>0</v>
      </c>
      <c r="E26" s="314">
        <v>0</v>
      </c>
      <c r="F26" s="311">
        <v>0</v>
      </c>
      <c r="G26" s="314">
        <f>+E26</f>
        <v>0</v>
      </c>
      <c r="H26" s="312">
        <v>0</v>
      </c>
      <c r="I26" s="315"/>
      <c r="J26" s="315">
        <v>10000000</v>
      </c>
      <c r="K26" s="89">
        <v>0</v>
      </c>
      <c r="L26" s="80">
        <f>+J26*M26</f>
        <v>1000000</v>
      </c>
      <c r="M26" s="97">
        <v>0.1</v>
      </c>
      <c r="N26" s="80">
        <f>+O26*J26</f>
        <v>2000000</v>
      </c>
      <c r="O26" s="97">
        <v>0.2</v>
      </c>
      <c r="P26" s="80">
        <f>+Q26*J26</f>
        <v>1000000</v>
      </c>
      <c r="Q26" s="97">
        <v>0.1</v>
      </c>
      <c r="R26" s="80">
        <f>+S26*J26</f>
        <v>6000000</v>
      </c>
      <c r="S26" s="97">
        <v>0.6</v>
      </c>
      <c r="T26" s="314">
        <f>+J26</f>
        <v>10000000</v>
      </c>
      <c r="U26" s="340">
        <v>0</v>
      </c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/>
      <c r="CG26" s="62"/>
      <c r="CH26" s="62"/>
      <c r="CI26" s="62"/>
      <c r="CJ26" s="62"/>
      <c r="CK26" s="62"/>
      <c r="CL26" s="62"/>
      <c r="CM26" s="62"/>
      <c r="CN26" s="62"/>
      <c r="CO26" s="62"/>
      <c r="CP26" s="62"/>
      <c r="CQ26" s="62"/>
      <c r="CR26" s="62"/>
      <c r="CS26" s="62"/>
      <c r="CT26" s="62"/>
      <c r="CU26" s="62"/>
      <c r="CV26" s="62"/>
      <c r="CW26" s="62"/>
      <c r="CX26" s="62"/>
      <c r="CY26" s="62"/>
      <c r="CZ26" s="62"/>
      <c r="DA26" s="62"/>
      <c r="DB26" s="62"/>
      <c r="DC26" s="62"/>
      <c r="DD26" s="62"/>
      <c r="DE26" s="62"/>
      <c r="DF26" s="62"/>
      <c r="DG26" s="62"/>
      <c r="DH26" s="62"/>
      <c r="DI26" s="62"/>
      <c r="DJ26" s="62"/>
      <c r="DK26" s="62"/>
      <c r="DL26" s="62"/>
      <c r="DM26" s="62"/>
      <c r="DN26" s="62"/>
      <c r="DO26" s="62"/>
      <c r="DP26" s="62"/>
      <c r="DQ26" s="62"/>
      <c r="DR26" s="62"/>
      <c r="DS26" s="62"/>
      <c r="DT26" s="62"/>
      <c r="DU26" s="62"/>
      <c r="DV26" s="62"/>
      <c r="DW26" s="62"/>
      <c r="DX26" s="62"/>
      <c r="DY26" s="62"/>
      <c r="DZ26" s="62"/>
      <c r="EA26" s="62"/>
      <c r="EB26" s="62"/>
      <c r="EC26" s="62"/>
      <c r="ED26" s="62"/>
      <c r="EE26" s="62"/>
      <c r="EF26" s="62"/>
      <c r="EG26" s="62"/>
      <c r="EH26" s="62"/>
      <c r="EI26" s="62"/>
      <c r="EJ26" s="62"/>
      <c r="EK26" s="62"/>
      <c r="EL26" s="62"/>
      <c r="EM26" s="62"/>
      <c r="EN26" s="62"/>
      <c r="EO26" s="62"/>
      <c r="EP26" s="62"/>
      <c r="EQ26" s="62"/>
      <c r="ER26" s="62"/>
      <c r="ES26" s="62"/>
      <c r="ET26" s="62"/>
      <c r="EU26" s="62"/>
      <c r="EV26" s="62"/>
      <c r="EW26" s="62"/>
    </row>
    <row r="27" spans="1:153" x14ac:dyDescent="0.25">
      <c r="A27" s="75" t="s">
        <v>46</v>
      </c>
      <c r="B27" s="227"/>
      <c r="C27" s="66" t="s">
        <v>47</v>
      </c>
      <c r="D27" s="316">
        <f>+D28+D30+D33+D36+D39+D42</f>
        <v>16867132558</v>
      </c>
      <c r="E27" s="316">
        <f t="shared" ref="E27:G27" si="46">+E28+E30+E33+E36+E39+E42</f>
        <v>15515622634.6</v>
      </c>
      <c r="F27" s="311">
        <f t="shared" si="2"/>
        <v>0.91987316642276673</v>
      </c>
      <c r="G27" s="316">
        <f t="shared" si="46"/>
        <v>18374263721.685997</v>
      </c>
      <c r="H27" s="312">
        <f t="shared" si="3"/>
        <v>1.0893531344763856</v>
      </c>
      <c r="I27" s="317">
        <f>+I28+I30+I33+I36+I39+I42</f>
        <v>17494582340</v>
      </c>
      <c r="J27" s="317">
        <f>+J28+J30+J33+J36+J39+J42</f>
        <v>21836413817.5588</v>
      </c>
      <c r="K27" s="89">
        <f t="shared" si="5"/>
        <v>0.18842388181174535</v>
      </c>
      <c r="L27" s="85">
        <f t="shared" ref="L27" si="47">+L28+L30+L33+L36+L39+L42</f>
        <v>9477065690.5489197</v>
      </c>
      <c r="M27" s="97"/>
      <c r="N27" s="85">
        <f t="shared" ref="N27" si="48">+N28+N30+N33+N36+N39+N42</f>
        <v>2183641381.7558799</v>
      </c>
      <c r="O27" s="97"/>
      <c r="P27" s="85">
        <f t="shared" ref="P27" si="49">+P28+P30+P33+P36+P39+P42</f>
        <v>1130634082.806</v>
      </c>
      <c r="Q27" s="97"/>
      <c r="R27" s="85">
        <f t="shared" ref="R27" si="50">+R28+R30+R33+R36+R39+R42</f>
        <v>9045072662.448</v>
      </c>
      <c r="S27" s="97"/>
      <c r="T27" s="316">
        <f>+T28+T30+T33+T36+T39+T42+T45</f>
        <v>21947958454.220001</v>
      </c>
      <c r="U27" s="339">
        <f t="shared" ref="U27:U71" si="51">+J27/G27*100-100</f>
        <v>18.842388181174542</v>
      </c>
      <c r="X27" s="355"/>
    </row>
    <row r="28" spans="1:153" s="64" customFormat="1" x14ac:dyDescent="0.25">
      <c r="A28" s="74" t="s">
        <v>49</v>
      </c>
      <c r="B28" s="222">
        <v>21</v>
      </c>
      <c r="C28" s="63" t="s">
        <v>50</v>
      </c>
      <c r="D28" s="314">
        <f>+D29</f>
        <v>78564081</v>
      </c>
      <c r="E28" s="314">
        <f t="shared" ref="E28:T28" si="52">+E29</f>
        <v>133609071.59</v>
      </c>
      <c r="F28" s="311">
        <f t="shared" si="2"/>
        <v>1.7006381273650997</v>
      </c>
      <c r="G28" s="314">
        <f t="shared" si="52"/>
        <v>160330885.90799999</v>
      </c>
      <c r="H28" s="312">
        <f t="shared" si="3"/>
        <v>2.0407657528381193</v>
      </c>
      <c r="I28" s="315">
        <f t="shared" si="52"/>
        <v>240496823</v>
      </c>
      <c r="J28" s="315">
        <f t="shared" si="52"/>
        <v>176363974.49880001</v>
      </c>
      <c r="K28" s="89">
        <f t="shared" si="5"/>
        <v>0.10000000000000012</v>
      </c>
      <c r="L28" s="84">
        <f t="shared" si="52"/>
        <v>158727577.04892001</v>
      </c>
      <c r="M28" s="97"/>
      <c r="N28" s="84">
        <f t="shared" si="52"/>
        <v>17636397.44988</v>
      </c>
      <c r="O28" s="97"/>
      <c r="P28" s="84">
        <f t="shared" si="52"/>
        <v>0</v>
      </c>
      <c r="Q28" s="97"/>
      <c r="R28" s="84">
        <f t="shared" si="52"/>
        <v>0</v>
      </c>
      <c r="S28" s="97"/>
      <c r="T28" s="314">
        <f t="shared" si="52"/>
        <v>240496823</v>
      </c>
      <c r="U28" s="340">
        <f t="shared" si="51"/>
        <v>10.000000000000014</v>
      </c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/>
      <c r="CG28" s="62"/>
      <c r="CH28" s="62"/>
      <c r="CI28" s="62"/>
      <c r="CJ28" s="62"/>
      <c r="CK28" s="62"/>
      <c r="CL28" s="62"/>
      <c r="CM28" s="62"/>
      <c r="CN28" s="62"/>
      <c r="CO28" s="62"/>
      <c r="CP28" s="62"/>
      <c r="CQ28" s="62"/>
      <c r="CR28" s="62"/>
      <c r="CS28" s="62"/>
      <c r="CT28" s="62"/>
      <c r="CU28" s="62"/>
      <c r="CV28" s="62"/>
      <c r="CW28" s="62"/>
      <c r="CX28" s="62"/>
      <c r="CY28" s="62"/>
      <c r="CZ28" s="62"/>
      <c r="DA28" s="62"/>
      <c r="DB28" s="62"/>
      <c r="DC28" s="62"/>
      <c r="DD28" s="62"/>
      <c r="DE28" s="62"/>
      <c r="DF28" s="62"/>
      <c r="DG28" s="62"/>
      <c r="DH28" s="62"/>
      <c r="DI28" s="62"/>
      <c r="DJ28" s="62"/>
      <c r="DK28" s="62"/>
      <c r="DL28" s="62"/>
      <c r="DM28" s="62"/>
      <c r="DN28" s="62"/>
      <c r="DO28" s="62"/>
      <c r="DP28" s="62"/>
      <c r="DQ28" s="62"/>
      <c r="DR28" s="62"/>
      <c r="DS28" s="62"/>
      <c r="DT28" s="62"/>
      <c r="DU28" s="62"/>
      <c r="DV28" s="62"/>
      <c r="DW28" s="62"/>
      <c r="DX28" s="62"/>
      <c r="DY28" s="62"/>
      <c r="DZ28" s="62"/>
      <c r="EA28" s="62"/>
      <c r="EB28" s="62"/>
      <c r="EC28" s="62"/>
      <c r="ED28" s="62"/>
      <c r="EE28" s="62"/>
      <c r="EF28" s="62"/>
      <c r="EG28" s="62"/>
      <c r="EH28" s="62"/>
      <c r="EI28" s="62"/>
      <c r="EJ28" s="62"/>
      <c r="EK28" s="62"/>
      <c r="EL28" s="62"/>
      <c r="EM28" s="62"/>
      <c r="EN28" s="62"/>
      <c r="EO28" s="62"/>
      <c r="EP28" s="62"/>
      <c r="EQ28" s="62"/>
      <c r="ER28" s="62"/>
      <c r="ES28" s="62"/>
      <c r="ET28" s="62"/>
      <c r="EU28" s="62"/>
      <c r="EV28" s="62"/>
      <c r="EW28" s="62"/>
    </row>
    <row r="29" spans="1:153" x14ac:dyDescent="0.25">
      <c r="A29" s="75" t="s">
        <v>51</v>
      </c>
      <c r="B29" s="227"/>
      <c r="C29" s="66" t="s">
        <v>30</v>
      </c>
      <c r="D29" s="316">
        <v>78564081</v>
      </c>
      <c r="E29" s="316">
        <v>133609071.59</v>
      </c>
      <c r="F29" s="311">
        <f t="shared" si="2"/>
        <v>1.7006381273650997</v>
      </c>
      <c r="G29" s="316">
        <f>+(E29/10)*12</f>
        <v>160330885.90799999</v>
      </c>
      <c r="H29" s="312">
        <f t="shared" si="3"/>
        <v>2.0407657528381193</v>
      </c>
      <c r="I29" s="317">
        <f>+'[2]COMPARATIVO RECAUDOS'!$F$19</f>
        <v>240496823</v>
      </c>
      <c r="J29" s="317">
        <f>+G29*1.1</f>
        <v>176363974.49880001</v>
      </c>
      <c r="K29" s="89">
        <f t="shared" si="5"/>
        <v>0.10000000000000012</v>
      </c>
      <c r="L29" s="81">
        <f>+J29*M29</f>
        <v>158727577.04892001</v>
      </c>
      <c r="M29" s="97">
        <v>0.9</v>
      </c>
      <c r="N29" s="81">
        <f>+O29*J29</f>
        <v>17636397.44988</v>
      </c>
      <c r="O29" s="97">
        <v>0.1</v>
      </c>
      <c r="P29" s="81"/>
      <c r="Q29" s="97"/>
      <c r="R29" s="81"/>
      <c r="S29" s="97"/>
      <c r="T29" s="316">
        <f>+I29</f>
        <v>240496823</v>
      </c>
      <c r="U29" s="339">
        <f t="shared" si="51"/>
        <v>10.000000000000014</v>
      </c>
    </row>
    <row r="30" spans="1:153" s="64" customFormat="1" x14ac:dyDescent="0.25">
      <c r="A30" s="74" t="s">
        <v>52</v>
      </c>
      <c r="B30" s="222">
        <v>22</v>
      </c>
      <c r="C30" s="63" t="s">
        <v>53</v>
      </c>
      <c r="D30" s="314">
        <f>+D31+D32</f>
        <v>2793096170</v>
      </c>
      <c r="E30" s="314">
        <f t="shared" ref="E30:G30" si="53">+E31+E32</f>
        <v>5934379560.9899998</v>
      </c>
      <c r="F30" s="311">
        <f t="shared" si="2"/>
        <v>2.1246599471689511</v>
      </c>
      <c r="G30" s="314">
        <f t="shared" si="53"/>
        <v>6973643119.789999</v>
      </c>
      <c r="H30" s="312">
        <f t="shared" si="3"/>
        <v>2.4967429316227228</v>
      </c>
      <c r="I30" s="315">
        <f t="shared" ref="I30:J30" si="54">+I31+I32</f>
        <v>2033632445</v>
      </c>
      <c r="J30" s="315">
        <f t="shared" si="54"/>
        <v>2247453257</v>
      </c>
      <c r="K30" s="89">
        <f t="shared" si="5"/>
        <v>-0.67772178495597024</v>
      </c>
      <c r="L30" s="84">
        <f t="shared" ref="L30:R30" si="55">+L31+L32</f>
        <v>2022707931.3000002</v>
      </c>
      <c r="M30" s="97"/>
      <c r="N30" s="84">
        <f t="shared" si="55"/>
        <v>224745325.70000002</v>
      </c>
      <c r="O30" s="97"/>
      <c r="P30" s="84">
        <f t="shared" si="55"/>
        <v>0</v>
      </c>
      <c r="Q30" s="97"/>
      <c r="R30" s="84">
        <f t="shared" si="55"/>
        <v>0</v>
      </c>
      <c r="S30" s="97"/>
      <c r="T30" s="314">
        <f t="shared" ref="T30" si="56">+T31+T32</f>
        <v>2247453257</v>
      </c>
      <c r="U30" s="340">
        <f t="shared" si="51"/>
        <v>-67.772178495597018</v>
      </c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/>
      <c r="CG30" s="62"/>
      <c r="CH30" s="62"/>
      <c r="CI30" s="62"/>
      <c r="CJ30" s="62"/>
      <c r="CK30" s="62"/>
      <c r="CL30" s="62"/>
      <c r="CM30" s="62"/>
      <c r="CN30" s="62"/>
      <c r="CO30" s="62"/>
      <c r="CP30" s="62"/>
      <c r="CQ30" s="62"/>
      <c r="CR30" s="62"/>
      <c r="CS30" s="62"/>
      <c r="CT30" s="62"/>
      <c r="CU30" s="62"/>
      <c r="CV30" s="62"/>
      <c r="CW30" s="62"/>
      <c r="CX30" s="62"/>
      <c r="CY30" s="62"/>
      <c r="CZ30" s="62"/>
      <c r="DA30" s="62"/>
      <c r="DB30" s="62"/>
      <c r="DC30" s="62"/>
      <c r="DD30" s="62"/>
      <c r="DE30" s="62"/>
      <c r="DF30" s="62"/>
      <c r="DG30" s="62"/>
      <c r="DH30" s="62"/>
      <c r="DI30" s="62"/>
      <c r="DJ30" s="62"/>
      <c r="DK30" s="62"/>
      <c r="DL30" s="62"/>
      <c r="DM30" s="62"/>
      <c r="DN30" s="62"/>
      <c r="DO30" s="62"/>
      <c r="DP30" s="62"/>
      <c r="DQ30" s="62"/>
      <c r="DR30" s="62"/>
      <c r="DS30" s="62"/>
      <c r="DT30" s="62"/>
      <c r="DU30" s="62"/>
      <c r="DV30" s="62"/>
      <c r="DW30" s="62"/>
      <c r="DX30" s="62"/>
      <c r="DY30" s="62"/>
      <c r="DZ30" s="62"/>
      <c r="EA30" s="62"/>
      <c r="EB30" s="62"/>
      <c r="EC30" s="62"/>
      <c r="ED30" s="62"/>
      <c r="EE30" s="62"/>
      <c r="EF30" s="62"/>
      <c r="EG30" s="62"/>
      <c r="EH30" s="62"/>
      <c r="EI30" s="62"/>
      <c r="EJ30" s="62"/>
      <c r="EK30" s="62"/>
      <c r="EL30" s="62"/>
      <c r="EM30" s="62"/>
      <c r="EN30" s="62"/>
      <c r="EO30" s="62"/>
      <c r="EP30" s="62"/>
      <c r="EQ30" s="62"/>
      <c r="ER30" s="62"/>
      <c r="ES30" s="62"/>
      <c r="ET30" s="62"/>
      <c r="EU30" s="62"/>
      <c r="EV30" s="62"/>
      <c r="EW30" s="62"/>
    </row>
    <row r="31" spans="1:153" x14ac:dyDescent="0.25">
      <c r="A31" s="73" t="s">
        <v>54</v>
      </c>
      <c r="B31" s="228"/>
      <c r="C31" s="66" t="s">
        <v>55</v>
      </c>
      <c r="D31" s="316">
        <v>2129269875</v>
      </c>
      <c r="E31" s="316">
        <v>5196317794</v>
      </c>
      <c r="F31" s="311">
        <f t="shared" si="2"/>
        <v>2.4404223508774341</v>
      </c>
      <c r="G31" s="316">
        <f>+(E31/10)*12</f>
        <v>6235581352.7999992</v>
      </c>
      <c r="H31" s="312">
        <f t="shared" si="3"/>
        <v>2.9285068210529204</v>
      </c>
      <c r="I31" s="317">
        <f>+'[2]COMPARATIVO RECAUDOS'!$F$20</f>
        <v>2033632445</v>
      </c>
      <c r="J31" s="317">
        <v>1926388506</v>
      </c>
      <c r="K31" s="89">
        <f t="shared" si="5"/>
        <v>-0.69106513137945313</v>
      </c>
      <c r="L31" s="81">
        <f>+J31*M31</f>
        <v>1733749655.4000001</v>
      </c>
      <c r="M31" s="97">
        <v>0.9</v>
      </c>
      <c r="N31" s="81">
        <f>+J31*O31</f>
        <v>192638850.60000002</v>
      </c>
      <c r="O31" s="97">
        <v>0.1</v>
      </c>
      <c r="P31" s="81"/>
      <c r="Q31" s="97"/>
      <c r="R31" s="81"/>
      <c r="S31" s="97"/>
      <c r="T31" s="316">
        <f>+J31</f>
        <v>1926388506</v>
      </c>
      <c r="U31" s="339">
        <f t="shared" si="51"/>
        <v>-69.106513137945313</v>
      </c>
    </row>
    <row r="32" spans="1:153" s="64" customFormat="1" x14ac:dyDescent="0.25">
      <c r="A32" s="74" t="s">
        <v>56</v>
      </c>
      <c r="B32" s="222"/>
      <c r="C32" s="63" t="s">
        <v>39</v>
      </c>
      <c r="D32" s="314">
        <v>663826295</v>
      </c>
      <c r="E32" s="314">
        <v>738061766.99000001</v>
      </c>
      <c r="F32" s="311">
        <f t="shared" si="2"/>
        <v>1.1118296647016672</v>
      </c>
      <c r="G32" s="314">
        <f>+E32</f>
        <v>738061766.99000001</v>
      </c>
      <c r="H32" s="312">
        <f t="shared" si="3"/>
        <v>1.1118296647016672</v>
      </c>
      <c r="I32" s="315"/>
      <c r="J32" s="315">
        <v>321064751</v>
      </c>
      <c r="K32" s="89">
        <f t="shared" si="5"/>
        <v>-0.5649893201901216</v>
      </c>
      <c r="L32" s="80">
        <f>+J32*M32</f>
        <v>288958275.90000004</v>
      </c>
      <c r="M32" s="97">
        <v>0.9</v>
      </c>
      <c r="N32" s="80">
        <f>+J32*O32</f>
        <v>32106475.100000001</v>
      </c>
      <c r="O32" s="97">
        <v>0.1</v>
      </c>
      <c r="P32" s="80"/>
      <c r="Q32" s="97"/>
      <c r="R32" s="80"/>
      <c r="S32" s="97"/>
      <c r="T32" s="314">
        <f>+J32</f>
        <v>321064751</v>
      </c>
      <c r="U32" s="340">
        <f t="shared" si="51"/>
        <v>-56.498932019012152</v>
      </c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2"/>
      <c r="CH32" s="62"/>
      <c r="CI32" s="62"/>
      <c r="CJ32" s="62"/>
      <c r="CK32" s="62"/>
      <c r="CL32" s="62"/>
      <c r="CM32" s="62"/>
      <c r="CN32" s="62"/>
      <c r="CO32" s="62"/>
      <c r="CP32" s="62"/>
      <c r="CQ32" s="62"/>
      <c r="CR32" s="62"/>
      <c r="CS32" s="62"/>
      <c r="CT32" s="62"/>
      <c r="CU32" s="62"/>
      <c r="CV32" s="62"/>
      <c r="CW32" s="62"/>
      <c r="CX32" s="62"/>
      <c r="CY32" s="62"/>
      <c r="CZ32" s="62"/>
      <c r="DA32" s="62"/>
      <c r="DB32" s="62"/>
      <c r="DC32" s="62"/>
      <c r="DD32" s="62"/>
      <c r="DE32" s="62"/>
      <c r="DF32" s="62"/>
      <c r="DG32" s="62"/>
      <c r="DH32" s="62"/>
      <c r="DI32" s="62"/>
      <c r="DJ32" s="62"/>
      <c r="DK32" s="62"/>
      <c r="DL32" s="62"/>
      <c r="DM32" s="62"/>
      <c r="DN32" s="62"/>
      <c r="DO32" s="62"/>
      <c r="DP32" s="62"/>
      <c r="DQ32" s="62"/>
      <c r="DR32" s="62"/>
      <c r="DS32" s="62"/>
      <c r="DT32" s="62"/>
      <c r="DU32" s="62"/>
      <c r="DV32" s="62"/>
      <c r="DW32" s="62"/>
      <c r="DX32" s="62"/>
      <c r="DY32" s="62"/>
      <c r="DZ32" s="62"/>
      <c r="EA32" s="62"/>
      <c r="EB32" s="62"/>
      <c r="EC32" s="62"/>
      <c r="ED32" s="62"/>
      <c r="EE32" s="62"/>
      <c r="EF32" s="62"/>
      <c r="EG32" s="62"/>
      <c r="EH32" s="62"/>
      <c r="EI32" s="62"/>
      <c r="EJ32" s="62"/>
      <c r="EK32" s="62"/>
      <c r="EL32" s="62"/>
      <c r="EM32" s="62"/>
      <c r="EN32" s="62"/>
      <c r="EO32" s="62"/>
      <c r="EP32" s="62"/>
      <c r="EQ32" s="62"/>
      <c r="ER32" s="62"/>
      <c r="ES32" s="62"/>
      <c r="ET32" s="62"/>
      <c r="EU32" s="62"/>
      <c r="EV32" s="62"/>
      <c r="EW32" s="62"/>
    </row>
    <row r="33" spans="1:153" x14ac:dyDescent="0.25">
      <c r="A33" s="75" t="s">
        <v>57</v>
      </c>
      <c r="B33" s="227">
        <v>23</v>
      </c>
      <c r="C33" s="66" t="s">
        <v>58</v>
      </c>
      <c r="D33" s="316">
        <f>+D34+D35</f>
        <v>5213166714</v>
      </c>
      <c r="E33" s="316">
        <f t="shared" ref="E33:G33" si="57">+E34+E35</f>
        <v>1617828035.02</v>
      </c>
      <c r="F33" s="311">
        <f t="shared" si="2"/>
        <v>0.31033498903369233</v>
      </c>
      <c r="G33" s="316">
        <f t="shared" si="57"/>
        <v>1885381994.188</v>
      </c>
      <c r="H33" s="312">
        <f t="shared" si="3"/>
        <v>0.36165772123204726</v>
      </c>
      <c r="I33" s="317">
        <f t="shared" ref="I33:J33" si="58">+I34+I35</f>
        <v>7098025775</v>
      </c>
      <c r="J33" s="317">
        <f t="shared" si="58"/>
        <v>8106255758</v>
      </c>
      <c r="K33" s="89">
        <f t="shared" si="5"/>
        <v>3.2995296353677221</v>
      </c>
      <c r="L33" s="85">
        <f t="shared" ref="L33:R33" si="59">+L34+L35</f>
        <v>7295630182.1999998</v>
      </c>
      <c r="M33" s="97"/>
      <c r="N33" s="85">
        <f t="shared" si="59"/>
        <v>810625575.80000007</v>
      </c>
      <c r="O33" s="97"/>
      <c r="P33" s="85">
        <f t="shared" si="59"/>
        <v>0</v>
      </c>
      <c r="Q33" s="97"/>
      <c r="R33" s="85">
        <f t="shared" si="59"/>
        <v>0</v>
      </c>
      <c r="S33" s="97"/>
      <c r="T33" s="316">
        <f t="shared" ref="T33" si="60">+T34+T35</f>
        <v>8106255758</v>
      </c>
      <c r="U33" s="339">
        <f t="shared" si="51"/>
        <v>329.95296353677219</v>
      </c>
    </row>
    <row r="34" spans="1:153" s="64" customFormat="1" x14ac:dyDescent="0.25">
      <c r="A34" s="74" t="s">
        <v>59</v>
      </c>
      <c r="B34" s="222"/>
      <c r="C34" s="63" t="s">
        <v>55</v>
      </c>
      <c r="D34" s="314">
        <v>5067947331</v>
      </c>
      <c r="E34" s="314">
        <v>1337769795.8399999</v>
      </c>
      <c r="F34" s="311">
        <f t="shared" si="2"/>
        <v>0.26396679137863754</v>
      </c>
      <c r="G34" s="314">
        <f>+(E34/10)*12</f>
        <v>1605323755.0079999</v>
      </c>
      <c r="H34" s="312">
        <f t="shared" si="3"/>
        <v>0.31676014965436505</v>
      </c>
      <c r="I34" s="315">
        <f>+'[2]COMPARATIVO RECAUDOS'!$F$21</f>
        <v>7098025775</v>
      </c>
      <c r="J34" s="315">
        <v>7482697623</v>
      </c>
      <c r="K34" s="89">
        <f t="shared" si="5"/>
        <v>3.6611766627490736</v>
      </c>
      <c r="L34" s="80">
        <f>+J34*M34</f>
        <v>6734427860.6999998</v>
      </c>
      <c r="M34" s="97">
        <v>0.9</v>
      </c>
      <c r="N34" s="80">
        <f>+J34*O34</f>
        <v>748269762.30000007</v>
      </c>
      <c r="O34" s="97">
        <v>0.1</v>
      </c>
      <c r="P34" s="80"/>
      <c r="Q34" s="97"/>
      <c r="R34" s="80"/>
      <c r="S34" s="97"/>
      <c r="T34" s="314">
        <f>+J34</f>
        <v>7482697623</v>
      </c>
      <c r="U34" s="340">
        <f t="shared" si="51"/>
        <v>366.11766627490738</v>
      </c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/>
      <c r="CG34" s="62"/>
      <c r="CH34" s="62"/>
      <c r="CI34" s="62"/>
      <c r="CJ34" s="62"/>
      <c r="CK34" s="62"/>
      <c r="CL34" s="62"/>
      <c r="CM34" s="62"/>
      <c r="CN34" s="62"/>
      <c r="CO34" s="62"/>
      <c r="CP34" s="62"/>
      <c r="CQ34" s="62"/>
      <c r="CR34" s="62"/>
      <c r="CS34" s="62"/>
      <c r="CT34" s="62"/>
      <c r="CU34" s="62"/>
      <c r="CV34" s="62"/>
      <c r="CW34" s="62"/>
      <c r="CX34" s="62"/>
      <c r="CY34" s="62"/>
      <c r="CZ34" s="62"/>
      <c r="DA34" s="62"/>
      <c r="DB34" s="62"/>
      <c r="DC34" s="62"/>
      <c r="DD34" s="62"/>
      <c r="DE34" s="62"/>
      <c r="DF34" s="62"/>
      <c r="DG34" s="62"/>
      <c r="DH34" s="62"/>
      <c r="DI34" s="62"/>
      <c r="DJ34" s="62"/>
      <c r="DK34" s="62"/>
      <c r="DL34" s="62"/>
      <c r="DM34" s="62"/>
      <c r="DN34" s="62"/>
      <c r="DO34" s="62"/>
      <c r="DP34" s="62"/>
      <c r="DQ34" s="62"/>
      <c r="DR34" s="62"/>
      <c r="DS34" s="62"/>
      <c r="DT34" s="62"/>
      <c r="DU34" s="62"/>
      <c r="DV34" s="62"/>
      <c r="DW34" s="62"/>
      <c r="DX34" s="62"/>
      <c r="DY34" s="62"/>
      <c r="DZ34" s="62"/>
      <c r="EA34" s="62"/>
      <c r="EB34" s="62"/>
      <c r="EC34" s="62"/>
      <c r="ED34" s="62"/>
      <c r="EE34" s="62"/>
      <c r="EF34" s="62"/>
      <c r="EG34" s="62"/>
      <c r="EH34" s="62"/>
      <c r="EI34" s="62"/>
      <c r="EJ34" s="62"/>
      <c r="EK34" s="62"/>
      <c r="EL34" s="62"/>
      <c r="EM34" s="62"/>
      <c r="EN34" s="62"/>
      <c r="EO34" s="62"/>
      <c r="EP34" s="62"/>
      <c r="EQ34" s="62"/>
      <c r="ER34" s="62"/>
      <c r="ES34" s="62"/>
      <c r="ET34" s="62"/>
      <c r="EU34" s="62"/>
      <c r="EV34" s="62"/>
      <c r="EW34" s="62"/>
    </row>
    <row r="35" spans="1:153" x14ac:dyDescent="0.25">
      <c r="A35" s="75" t="s">
        <v>60</v>
      </c>
      <c r="B35" s="227"/>
      <c r="C35" s="66" t="s">
        <v>39</v>
      </c>
      <c r="D35" s="316">
        <v>145219383</v>
      </c>
      <c r="E35" s="316">
        <v>280058239.18000001</v>
      </c>
      <c r="F35" s="311">
        <f t="shared" si="2"/>
        <v>1.9285183106720678</v>
      </c>
      <c r="G35" s="316">
        <f>+E35</f>
        <v>280058239.18000001</v>
      </c>
      <c r="H35" s="312">
        <f t="shared" si="3"/>
        <v>1.9285183106720678</v>
      </c>
      <c r="I35" s="317"/>
      <c r="J35" s="317">
        <v>623558135</v>
      </c>
      <c r="K35" s="89">
        <f t="shared" si="5"/>
        <v>1.2265302275189431</v>
      </c>
      <c r="L35" s="81">
        <f>+J35*M35</f>
        <v>561202321.5</v>
      </c>
      <c r="M35" s="97">
        <v>0.9</v>
      </c>
      <c r="N35" s="81">
        <f>+J35*O35</f>
        <v>62355813.5</v>
      </c>
      <c r="O35" s="97">
        <v>0.1</v>
      </c>
      <c r="P35" s="81"/>
      <c r="Q35" s="97"/>
      <c r="R35" s="81"/>
      <c r="S35" s="97"/>
      <c r="T35" s="316">
        <f>+J35</f>
        <v>623558135</v>
      </c>
      <c r="U35" s="339">
        <f t="shared" si="51"/>
        <v>122.65302275189433</v>
      </c>
    </row>
    <row r="36" spans="1:153" s="64" customFormat="1" x14ac:dyDescent="0.25">
      <c r="A36" s="74" t="s">
        <v>61</v>
      </c>
      <c r="B36" s="222">
        <v>51</v>
      </c>
      <c r="C36" s="63" t="s">
        <v>62</v>
      </c>
      <c r="D36" s="314">
        <f>+D37+D38</f>
        <v>1424686900</v>
      </c>
      <c r="E36" s="314">
        <f t="shared" ref="E36:G36" si="61">+E37+E38</f>
        <v>1594782766</v>
      </c>
      <c r="F36" s="311">
        <f t="shared" si="2"/>
        <v>1.1193917526721133</v>
      </c>
      <c r="G36" s="314">
        <f t="shared" si="61"/>
        <v>1903026398.1999998</v>
      </c>
      <c r="H36" s="312">
        <f t="shared" si="3"/>
        <v>1.3357506117309002</v>
      </c>
      <c r="I36" s="315">
        <f t="shared" ref="I36:R36" si="62">+I37+I38</f>
        <v>1802435123</v>
      </c>
      <c r="J36" s="315">
        <f t="shared" si="62"/>
        <v>2278275217.3399997</v>
      </c>
      <c r="K36" s="89">
        <f t="shared" si="5"/>
        <v>0.19718529364329021</v>
      </c>
      <c r="L36" s="84">
        <f t="shared" si="62"/>
        <v>0</v>
      </c>
      <c r="M36" s="97"/>
      <c r="N36" s="84">
        <f t="shared" si="62"/>
        <v>227827521.734</v>
      </c>
      <c r="O36" s="97"/>
      <c r="P36" s="84">
        <f t="shared" si="62"/>
        <v>227827521.734</v>
      </c>
      <c r="Q36" s="97"/>
      <c r="R36" s="84">
        <f t="shared" si="62"/>
        <v>1822620173.872</v>
      </c>
      <c r="S36" s="97"/>
      <c r="T36" s="314">
        <f t="shared" ref="T36" si="63">+T37+T38</f>
        <v>2299999999.5</v>
      </c>
      <c r="U36" s="340">
        <f t="shared" si="51"/>
        <v>19.718529364329029</v>
      </c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62"/>
      <c r="CG36" s="62"/>
      <c r="CH36" s="62"/>
      <c r="CI36" s="62"/>
      <c r="CJ36" s="62"/>
      <c r="CK36" s="62"/>
      <c r="CL36" s="62"/>
      <c r="CM36" s="62"/>
      <c r="CN36" s="62"/>
      <c r="CO36" s="62"/>
      <c r="CP36" s="62"/>
      <c r="CQ36" s="62"/>
      <c r="CR36" s="62"/>
      <c r="CS36" s="62"/>
      <c r="CT36" s="62"/>
      <c r="CU36" s="62"/>
      <c r="CV36" s="62"/>
      <c r="CW36" s="62"/>
      <c r="CX36" s="62"/>
      <c r="CY36" s="62"/>
      <c r="CZ36" s="62"/>
      <c r="DA36" s="62"/>
      <c r="DB36" s="62"/>
      <c r="DC36" s="62"/>
      <c r="DD36" s="62"/>
      <c r="DE36" s="62"/>
      <c r="DF36" s="62"/>
      <c r="DG36" s="62"/>
      <c r="DH36" s="62"/>
      <c r="DI36" s="62"/>
      <c r="DJ36" s="62"/>
      <c r="DK36" s="62"/>
      <c r="DL36" s="62"/>
      <c r="DM36" s="62"/>
      <c r="DN36" s="62"/>
      <c r="DO36" s="62"/>
      <c r="DP36" s="62"/>
      <c r="DQ36" s="62"/>
      <c r="DR36" s="62"/>
      <c r="DS36" s="62"/>
      <c r="DT36" s="62"/>
      <c r="DU36" s="62"/>
      <c r="DV36" s="62"/>
      <c r="DW36" s="62"/>
      <c r="DX36" s="62"/>
      <c r="DY36" s="62"/>
      <c r="DZ36" s="62"/>
      <c r="EA36" s="62"/>
      <c r="EB36" s="62"/>
      <c r="EC36" s="62"/>
      <c r="ED36" s="62"/>
      <c r="EE36" s="62"/>
      <c r="EF36" s="62"/>
      <c r="EG36" s="62"/>
      <c r="EH36" s="62"/>
      <c r="EI36" s="62"/>
      <c r="EJ36" s="62"/>
      <c r="EK36" s="62"/>
      <c r="EL36" s="62"/>
      <c r="EM36" s="62"/>
      <c r="EN36" s="62"/>
      <c r="EO36" s="62"/>
      <c r="EP36" s="62"/>
      <c r="EQ36" s="62"/>
      <c r="ER36" s="62"/>
      <c r="ES36" s="62"/>
      <c r="ET36" s="62"/>
      <c r="EU36" s="62"/>
      <c r="EV36" s="62"/>
      <c r="EW36" s="62"/>
    </row>
    <row r="37" spans="1:153" x14ac:dyDescent="0.25">
      <c r="A37" s="75" t="s">
        <v>63</v>
      </c>
      <c r="B37" s="227"/>
      <c r="C37" s="66" t="s">
        <v>55</v>
      </c>
      <c r="D37" s="316">
        <v>1323171610</v>
      </c>
      <c r="E37" s="316">
        <v>1541218161</v>
      </c>
      <c r="F37" s="311">
        <f t="shared" si="2"/>
        <v>1.1647908323849239</v>
      </c>
      <c r="G37" s="316">
        <f>+(E37/10)*12</f>
        <v>1849461793.1999998</v>
      </c>
      <c r="H37" s="312">
        <f t="shared" si="3"/>
        <v>1.3977489988619087</v>
      </c>
      <c r="I37" s="317">
        <f>+'[2]COMPARATIVO RECAUDOS'!$F$23</f>
        <v>1802435123</v>
      </c>
      <c r="J37" s="317">
        <f>+G37*1.2</f>
        <v>2219354151.8399997</v>
      </c>
      <c r="K37" s="89">
        <f t="shared" si="5"/>
        <v>0.19999999999999996</v>
      </c>
      <c r="L37" s="81"/>
      <c r="M37" s="97"/>
      <c r="N37" s="81">
        <f>+J37*O37</f>
        <v>221935415.18399999</v>
      </c>
      <c r="O37" s="97">
        <v>0.1</v>
      </c>
      <c r="P37" s="81">
        <f>+J37*Q37</f>
        <v>221935415.18399999</v>
      </c>
      <c r="Q37" s="97">
        <v>0.1</v>
      </c>
      <c r="R37" s="81">
        <f>+S37*J37</f>
        <v>1775483321.4719999</v>
      </c>
      <c r="S37" s="97">
        <v>0.8</v>
      </c>
      <c r="T37" s="316">
        <f>2300000000-58921066</f>
        <v>2241078934</v>
      </c>
      <c r="U37" s="339">
        <f t="shared" si="51"/>
        <v>20</v>
      </c>
    </row>
    <row r="38" spans="1:153" s="64" customFormat="1" x14ac:dyDescent="0.25">
      <c r="A38" s="74" t="s">
        <v>64</v>
      </c>
      <c r="B38" s="222"/>
      <c r="C38" s="63" t="s">
        <v>39</v>
      </c>
      <c r="D38" s="314">
        <v>101515290</v>
      </c>
      <c r="E38" s="314">
        <v>53564605</v>
      </c>
      <c r="F38" s="311">
        <f t="shared" si="2"/>
        <v>0.52765061302588012</v>
      </c>
      <c r="G38" s="314">
        <f>+E38</f>
        <v>53564605</v>
      </c>
      <c r="H38" s="312">
        <f t="shared" si="3"/>
        <v>0.52765061302588012</v>
      </c>
      <c r="I38" s="315"/>
      <c r="J38" s="315">
        <f>+G38*1.1</f>
        <v>58921065.500000007</v>
      </c>
      <c r="K38" s="89">
        <f t="shared" si="5"/>
        <v>0.10000000000000014</v>
      </c>
      <c r="L38" s="80"/>
      <c r="M38" s="97"/>
      <c r="N38" s="80">
        <f>+J38*O38</f>
        <v>5892106.5500000007</v>
      </c>
      <c r="O38" s="97">
        <v>0.1</v>
      </c>
      <c r="P38" s="80">
        <f>+Q38*J38</f>
        <v>5892106.5500000007</v>
      </c>
      <c r="Q38" s="97">
        <v>0.1</v>
      </c>
      <c r="R38" s="80">
        <f>+S38*J38</f>
        <v>47136852.400000006</v>
      </c>
      <c r="S38" s="97">
        <v>0.8</v>
      </c>
      <c r="T38" s="314">
        <f>+J38</f>
        <v>58921065.500000007</v>
      </c>
      <c r="U38" s="340">
        <f t="shared" si="51"/>
        <v>10.000000000000014</v>
      </c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2"/>
      <c r="CA38" s="62"/>
      <c r="CB38" s="62"/>
      <c r="CC38" s="62"/>
      <c r="CD38" s="62"/>
      <c r="CE38" s="62"/>
      <c r="CF38" s="62"/>
      <c r="CG38" s="62"/>
      <c r="CH38" s="62"/>
      <c r="CI38" s="62"/>
      <c r="CJ38" s="62"/>
      <c r="CK38" s="62"/>
      <c r="CL38" s="62"/>
      <c r="CM38" s="62"/>
      <c r="CN38" s="62"/>
      <c r="CO38" s="62"/>
      <c r="CP38" s="62"/>
      <c r="CQ38" s="62"/>
      <c r="CR38" s="62"/>
      <c r="CS38" s="62"/>
      <c r="CT38" s="62"/>
      <c r="CU38" s="62"/>
      <c r="CV38" s="62"/>
      <c r="CW38" s="62"/>
      <c r="CX38" s="62"/>
      <c r="CY38" s="62"/>
      <c r="CZ38" s="62"/>
      <c r="DA38" s="62"/>
      <c r="DB38" s="62"/>
      <c r="DC38" s="62"/>
      <c r="DD38" s="62"/>
      <c r="DE38" s="62"/>
      <c r="DF38" s="62"/>
      <c r="DG38" s="62"/>
      <c r="DH38" s="62"/>
      <c r="DI38" s="62"/>
      <c r="DJ38" s="62"/>
      <c r="DK38" s="62"/>
      <c r="DL38" s="62"/>
      <c r="DM38" s="62"/>
      <c r="DN38" s="62"/>
      <c r="DO38" s="62"/>
      <c r="DP38" s="62"/>
      <c r="DQ38" s="62"/>
      <c r="DR38" s="62"/>
      <c r="DS38" s="62"/>
      <c r="DT38" s="62"/>
      <c r="DU38" s="62"/>
      <c r="DV38" s="62"/>
      <c r="DW38" s="62"/>
      <c r="DX38" s="62"/>
      <c r="DY38" s="62"/>
      <c r="DZ38" s="62"/>
      <c r="EA38" s="62"/>
      <c r="EB38" s="62"/>
      <c r="EC38" s="62"/>
      <c r="ED38" s="62"/>
      <c r="EE38" s="62"/>
      <c r="EF38" s="62"/>
      <c r="EG38" s="62"/>
      <c r="EH38" s="62"/>
      <c r="EI38" s="62"/>
      <c r="EJ38" s="62"/>
      <c r="EK38" s="62"/>
      <c r="EL38" s="62"/>
      <c r="EM38" s="62"/>
      <c r="EN38" s="62"/>
      <c r="EO38" s="62"/>
      <c r="EP38" s="62"/>
      <c r="EQ38" s="62"/>
      <c r="ER38" s="62"/>
      <c r="ES38" s="62"/>
      <c r="ET38" s="62"/>
      <c r="EU38" s="62"/>
      <c r="EV38" s="62"/>
      <c r="EW38" s="62"/>
    </row>
    <row r="39" spans="1:153" x14ac:dyDescent="0.25">
      <c r="A39" s="75" t="s">
        <v>65</v>
      </c>
      <c r="B39" s="227">
        <v>52</v>
      </c>
      <c r="C39" s="66" t="s">
        <v>66</v>
      </c>
      <c r="D39" s="316">
        <f>+D40+D41</f>
        <v>7207618693</v>
      </c>
      <c r="E39" s="316">
        <f t="shared" ref="E39:G39" si="64">+E40+E41</f>
        <v>6192382318</v>
      </c>
      <c r="F39" s="311">
        <f t="shared" si="2"/>
        <v>0.85914399495273075</v>
      </c>
      <c r="G39" s="316">
        <f t="shared" si="64"/>
        <v>7404812945.5999994</v>
      </c>
      <c r="H39" s="312">
        <f t="shared" si="3"/>
        <v>1.0273591405149545</v>
      </c>
      <c r="I39" s="317">
        <f t="shared" ref="I39:R39" si="65">+I40+I41</f>
        <v>6277351291</v>
      </c>
      <c r="J39" s="317">
        <f t="shared" si="65"/>
        <v>8872752616.7199993</v>
      </c>
      <c r="K39" s="89">
        <f t="shared" si="5"/>
        <v>0.19824129007772731</v>
      </c>
      <c r="L39" s="85">
        <f t="shared" si="65"/>
        <v>0</v>
      </c>
      <c r="M39" s="97"/>
      <c r="N39" s="85">
        <f t="shared" si="65"/>
        <v>887275261.67199993</v>
      </c>
      <c r="O39" s="97"/>
      <c r="P39" s="85">
        <f t="shared" si="65"/>
        <v>887275261.67199993</v>
      </c>
      <c r="Q39" s="97"/>
      <c r="R39" s="85">
        <f t="shared" si="65"/>
        <v>7098202093.3759995</v>
      </c>
      <c r="S39" s="97"/>
      <c r="T39" s="316">
        <f t="shared" ref="T39" si="66">+T40+T41</f>
        <v>8872752616.7199993</v>
      </c>
      <c r="U39" s="339">
        <f t="shared" si="51"/>
        <v>19.824129007772726</v>
      </c>
    </row>
    <row r="40" spans="1:153" s="64" customFormat="1" x14ac:dyDescent="0.25">
      <c r="A40" s="74" t="s">
        <v>67</v>
      </c>
      <c r="B40" s="222"/>
      <c r="C40" s="63" t="s">
        <v>55</v>
      </c>
      <c r="D40" s="314">
        <v>7090320866</v>
      </c>
      <c r="E40" s="314">
        <v>6062153138</v>
      </c>
      <c r="F40" s="311">
        <f t="shared" si="2"/>
        <v>0.85498995779861786</v>
      </c>
      <c r="G40" s="314">
        <f>+(E40/10)*12</f>
        <v>7274583765.5999994</v>
      </c>
      <c r="H40" s="312">
        <f t="shared" si="3"/>
        <v>1.0259879493583415</v>
      </c>
      <c r="I40" s="315">
        <f>+'[2]COMPARATIVO RECAUDOS'!$F$24</f>
        <v>6277351291</v>
      </c>
      <c r="J40" s="315">
        <f>+G40*1.2</f>
        <v>8729500518.7199993</v>
      </c>
      <c r="K40" s="89">
        <f t="shared" si="5"/>
        <v>0.2</v>
      </c>
      <c r="L40" s="80"/>
      <c r="M40" s="97"/>
      <c r="N40" s="80">
        <f>+O40*J40</f>
        <v>872950051.87199998</v>
      </c>
      <c r="O40" s="97">
        <v>0.1</v>
      </c>
      <c r="P40" s="80">
        <f>+Q40*J40</f>
        <v>872950051.87199998</v>
      </c>
      <c r="Q40" s="97">
        <v>0.1</v>
      </c>
      <c r="R40" s="80">
        <f>+S40*J40</f>
        <v>6983600414.9759998</v>
      </c>
      <c r="S40" s="97">
        <v>0.8</v>
      </c>
      <c r="T40" s="314">
        <f>+J40</f>
        <v>8729500518.7199993</v>
      </c>
      <c r="U40" s="340">
        <f t="shared" si="51"/>
        <v>20</v>
      </c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2"/>
      <c r="BM40" s="62"/>
      <c r="BN40" s="62"/>
      <c r="BO40" s="62"/>
      <c r="BP40" s="62"/>
      <c r="BQ40" s="62"/>
      <c r="BR40" s="62"/>
      <c r="BS40" s="62"/>
      <c r="BT40" s="62"/>
      <c r="BU40" s="62"/>
      <c r="BV40" s="62"/>
      <c r="BW40" s="62"/>
      <c r="BX40" s="62"/>
      <c r="BY40" s="62"/>
      <c r="BZ40" s="62"/>
      <c r="CA40" s="62"/>
      <c r="CB40" s="62"/>
      <c r="CC40" s="62"/>
      <c r="CD40" s="62"/>
      <c r="CE40" s="62"/>
      <c r="CF40" s="62"/>
      <c r="CG40" s="62"/>
      <c r="CH40" s="62"/>
      <c r="CI40" s="62"/>
      <c r="CJ40" s="62"/>
      <c r="CK40" s="62"/>
      <c r="CL40" s="62"/>
      <c r="CM40" s="62"/>
      <c r="CN40" s="62"/>
      <c r="CO40" s="62"/>
      <c r="CP40" s="62"/>
      <c r="CQ40" s="62"/>
      <c r="CR40" s="62"/>
      <c r="CS40" s="62"/>
      <c r="CT40" s="62"/>
      <c r="CU40" s="62"/>
      <c r="CV40" s="62"/>
      <c r="CW40" s="62"/>
      <c r="CX40" s="62"/>
      <c r="CY40" s="62"/>
      <c r="CZ40" s="62"/>
      <c r="DA40" s="62"/>
      <c r="DB40" s="62"/>
      <c r="DC40" s="62"/>
      <c r="DD40" s="62"/>
      <c r="DE40" s="62"/>
      <c r="DF40" s="62"/>
      <c r="DG40" s="62"/>
      <c r="DH40" s="62"/>
      <c r="DI40" s="62"/>
      <c r="DJ40" s="62"/>
      <c r="DK40" s="62"/>
      <c r="DL40" s="62"/>
      <c r="DM40" s="62"/>
      <c r="DN40" s="62"/>
      <c r="DO40" s="62"/>
      <c r="DP40" s="62"/>
      <c r="DQ40" s="62"/>
      <c r="DR40" s="62"/>
      <c r="DS40" s="62"/>
      <c r="DT40" s="62"/>
      <c r="DU40" s="62"/>
      <c r="DV40" s="62"/>
      <c r="DW40" s="62"/>
      <c r="DX40" s="62"/>
      <c r="DY40" s="62"/>
      <c r="DZ40" s="62"/>
      <c r="EA40" s="62"/>
      <c r="EB40" s="62"/>
      <c r="EC40" s="62"/>
      <c r="ED40" s="62"/>
      <c r="EE40" s="62"/>
      <c r="EF40" s="62"/>
      <c r="EG40" s="62"/>
      <c r="EH40" s="62"/>
      <c r="EI40" s="62"/>
      <c r="EJ40" s="62"/>
      <c r="EK40" s="62"/>
      <c r="EL40" s="62"/>
      <c r="EM40" s="62"/>
      <c r="EN40" s="62"/>
      <c r="EO40" s="62"/>
      <c r="EP40" s="62"/>
      <c r="EQ40" s="62"/>
      <c r="ER40" s="62"/>
      <c r="ES40" s="62"/>
      <c r="ET40" s="62"/>
      <c r="EU40" s="62"/>
      <c r="EV40" s="62"/>
      <c r="EW40" s="62"/>
    </row>
    <row r="41" spans="1:153" x14ac:dyDescent="0.25">
      <c r="A41" s="73" t="s">
        <v>68</v>
      </c>
      <c r="B41" s="228"/>
      <c r="C41" s="66" t="s">
        <v>39</v>
      </c>
      <c r="D41" s="316">
        <v>117297827</v>
      </c>
      <c r="E41" s="316">
        <v>130229180</v>
      </c>
      <c r="F41" s="311">
        <f t="shared" si="2"/>
        <v>1.1102437558370113</v>
      </c>
      <c r="G41" s="316">
        <f>+E41</f>
        <v>130229180</v>
      </c>
      <c r="H41" s="312">
        <f t="shared" si="3"/>
        <v>1.1102437558370113</v>
      </c>
      <c r="I41" s="317"/>
      <c r="J41" s="317">
        <f>+G41*1.1</f>
        <v>143252098</v>
      </c>
      <c r="K41" s="89">
        <f t="shared" si="5"/>
        <v>0.1</v>
      </c>
      <c r="L41" s="81"/>
      <c r="M41" s="97"/>
      <c r="N41" s="81">
        <f>+O41*J41</f>
        <v>14325209.800000001</v>
      </c>
      <c r="O41" s="97">
        <v>0.1</v>
      </c>
      <c r="P41" s="81">
        <f>+Q41*J41</f>
        <v>14325209.800000001</v>
      </c>
      <c r="Q41" s="97">
        <v>0.1</v>
      </c>
      <c r="R41" s="81">
        <f>+S41*J41</f>
        <v>114601678.40000001</v>
      </c>
      <c r="S41" s="97">
        <v>0.8</v>
      </c>
      <c r="T41" s="316">
        <f>+J41</f>
        <v>143252098</v>
      </c>
      <c r="U41" s="339">
        <f t="shared" si="51"/>
        <v>10.000000000000014</v>
      </c>
    </row>
    <row r="42" spans="1:153" s="64" customFormat="1" x14ac:dyDescent="0.25">
      <c r="A42" s="74" t="s">
        <v>69</v>
      </c>
      <c r="B42" s="222">
        <v>53</v>
      </c>
      <c r="C42" s="63" t="s">
        <v>70</v>
      </c>
      <c r="D42" s="314">
        <f>+D43+D44</f>
        <v>150000000</v>
      </c>
      <c r="E42" s="314">
        <f t="shared" ref="E42:G42" si="67">+E43+E44</f>
        <v>42640883</v>
      </c>
      <c r="F42" s="311">
        <f t="shared" si="2"/>
        <v>0.28427255333333334</v>
      </c>
      <c r="G42" s="314">
        <f t="shared" si="67"/>
        <v>47068378</v>
      </c>
      <c r="H42" s="312">
        <f t="shared" si="3"/>
        <v>0.31378918666666666</v>
      </c>
      <c r="I42" s="315">
        <f t="shared" ref="I42:R42" si="68">+I43+I44</f>
        <v>42640883</v>
      </c>
      <c r="J42" s="315">
        <f t="shared" si="68"/>
        <v>155312994</v>
      </c>
      <c r="K42" s="89">
        <f t="shared" si="5"/>
        <v>2.299731169831261</v>
      </c>
      <c r="L42" s="84">
        <f t="shared" si="68"/>
        <v>0</v>
      </c>
      <c r="M42" s="97"/>
      <c r="N42" s="84">
        <f t="shared" si="68"/>
        <v>15531299.4</v>
      </c>
      <c r="O42" s="97"/>
      <c r="P42" s="84">
        <f t="shared" si="68"/>
        <v>15531299.4</v>
      </c>
      <c r="Q42" s="97"/>
      <c r="R42" s="84">
        <f t="shared" si="68"/>
        <v>124250395.2</v>
      </c>
      <c r="S42" s="97"/>
      <c r="T42" s="314">
        <f t="shared" ref="T42" si="69">+T43+T44</f>
        <v>180000000</v>
      </c>
      <c r="U42" s="340">
        <f t="shared" si="51"/>
        <v>229.97311698312609</v>
      </c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2"/>
      <c r="BM42" s="62"/>
      <c r="BN42" s="62"/>
      <c r="BO42" s="62"/>
      <c r="BP42" s="62"/>
      <c r="BQ42" s="62"/>
      <c r="BR42" s="62"/>
      <c r="BS42" s="62"/>
      <c r="BT42" s="62"/>
      <c r="BU42" s="62"/>
      <c r="BV42" s="62"/>
      <c r="BW42" s="62"/>
      <c r="BX42" s="62"/>
      <c r="BY42" s="62"/>
      <c r="BZ42" s="62"/>
      <c r="CA42" s="62"/>
      <c r="CB42" s="62"/>
      <c r="CC42" s="62"/>
      <c r="CD42" s="62"/>
      <c r="CE42" s="62"/>
      <c r="CF42" s="62"/>
      <c r="CG42" s="62"/>
      <c r="CH42" s="62"/>
      <c r="CI42" s="62"/>
      <c r="CJ42" s="62"/>
      <c r="CK42" s="62"/>
      <c r="CL42" s="62"/>
      <c r="CM42" s="62"/>
      <c r="CN42" s="62"/>
      <c r="CO42" s="62"/>
      <c r="CP42" s="62"/>
      <c r="CQ42" s="62"/>
      <c r="CR42" s="62"/>
      <c r="CS42" s="62"/>
      <c r="CT42" s="62"/>
      <c r="CU42" s="62"/>
      <c r="CV42" s="62"/>
      <c r="CW42" s="62"/>
      <c r="CX42" s="62"/>
      <c r="CY42" s="62"/>
      <c r="CZ42" s="62"/>
      <c r="DA42" s="62"/>
      <c r="DB42" s="62"/>
      <c r="DC42" s="62"/>
      <c r="DD42" s="62"/>
      <c r="DE42" s="62"/>
      <c r="DF42" s="62"/>
      <c r="DG42" s="62"/>
      <c r="DH42" s="62"/>
      <c r="DI42" s="62"/>
      <c r="DJ42" s="62"/>
      <c r="DK42" s="62"/>
      <c r="DL42" s="62"/>
      <c r="DM42" s="62"/>
      <c r="DN42" s="62"/>
      <c r="DO42" s="62"/>
      <c r="DP42" s="62"/>
      <c r="DQ42" s="62"/>
      <c r="DR42" s="62"/>
      <c r="DS42" s="62"/>
      <c r="DT42" s="62"/>
      <c r="DU42" s="62"/>
      <c r="DV42" s="62"/>
      <c r="DW42" s="62"/>
      <c r="DX42" s="62"/>
      <c r="DY42" s="62"/>
      <c r="DZ42" s="62"/>
      <c r="EA42" s="62"/>
      <c r="EB42" s="62"/>
      <c r="EC42" s="62"/>
      <c r="ED42" s="62"/>
      <c r="EE42" s="62"/>
      <c r="EF42" s="62"/>
      <c r="EG42" s="62"/>
      <c r="EH42" s="62"/>
      <c r="EI42" s="62"/>
      <c r="EJ42" s="62"/>
      <c r="EK42" s="62"/>
      <c r="EL42" s="62"/>
      <c r="EM42" s="62"/>
      <c r="EN42" s="62"/>
      <c r="EO42" s="62"/>
      <c r="EP42" s="62"/>
      <c r="EQ42" s="62"/>
      <c r="ER42" s="62"/>
      <c r="ES42" s="62"/>
      <c r="ET42" s="62"/>
      <c r="EU42" s="62"/>
      <c r="EV42" s="62"/>
      <c r="EW42" s="62"/>
    </row>
    <row r="43" spans="1:153" x14ac:dyDescent="0.25">
      <c r="A43" s="75" t="s">
        <v>71</v>
      </c>
      <c r="B43" s="227"/>
      <c r="C43" s="66" t="s">
        <v>13</v>
      </c>
      <c r="D43" s="316">
        <v>150000000</v>
      </c>
      <c r="E43" s="316">
        <v>22137475</v>
      </c>
      <c r="F43" s="311">
        <f t="shared" si="2"/>
        <v>0.14758316666666665</v>
      </c>
      <c r="G43" s="316">
        <f>+E43*1.2</f>
        <v>26564970</v>
      </c>
      <c r="H43" s="312">
        <f t="shared" si="3"/>
        <v>0.1770998</v>
      </c>
      <c r="I43" s="317">
        <f>+'[2]COMPARATIVO RECAUDOS'!$F$25</f>
        <v>42640883</v>
      </c>
      <c r="J43" s="317">
        <v>150000000</v>
      </c>
      <c r="K43" s="89">
        <f t="shared" si="5"/>
        <v>4.6465337623193248</v>
      </c>
      <c r="L43" s="81"/>
      <c r="M43" s="97"/>
      <c r="N43" s="81">
        <f>+J43*O43</f>
        <v>15000000</v>
      </c>
      <c r="O43" s="97">
        <v>0.1</v>
      </c>
      <c r="P43" s="81">
        <f>+J43*Q43</f>
        <v>15000000</v>
      </c>
      <c r="Q43" s="97">
        <v>0.1</v>
      </c>
      <c r="R43" s="81">
        <f>+J43*S43</f>
        <v>120000000</v>
      </c>
      <c r="S43" s="97">
        <v>0.8</v>
      </c>
      <c r="T43" s="316">
        <f>180000000-5312994</f>
        <v>174687006</v>
      </c>
      <c r="U43" s="339">
        <f t="shared" si="51"/>
        <v>464.6533762319325</v>
      </c>
    </row>
    <row r="44" spans="1:153" s="64" customFormat="1" x14ac:dyDescent="0.25">
      <c r="A44" s="74" t="s">
        <v>72</v>
      </c>
      <c r="B44" s="222"/>
      <c r="C44" s="63" t="s">
        <v>15</v>
      </c>
      <c r="D44" s="314">
        <v>0</v>
      </c>
      <c r="E44" s="314">
        <v>20503408</v>
      </c>
      <c r="F44" s="311">
        <v>0</v>
      </c>
      <c r="G44" s="314">
        <f>+E44</f>
        <v>20503408</v>
      </c>
      <c r="H44" s="312">
        <v>0</v>
      </c>
      <c r="I44" s="315"/>
      <c r="J44" s="315">
        <f>+G43*0.2</f>
        <v>5312994</v>
      </c>
      <c r="K44" s="89">
        <f t="shared" si="5"/>
        <v>-0.74087263931927805</v>
      </c>
      <c r="L44" s="80"/>
      <c r="M44" s="97"/>
      <c r="N44" s="80">
        <f>+J44*O44</f>
        <v>531299.4</v>
      </c>
      <c r="O44" s="97">
        <v>0.1</v>
      </c>
      <c r="P44" s="80">
        <f>+J44*Q44</f>
        <v>531299.4</v>
      </c>
      <c r="Q44" s="97">
        <v>0.1</v>
      </c>
      <c r="R44" s="80">
        <f>+J44*S44</f>
        <v>4250395.2</v>
      </c>
      <c r="S44" s="97">
        <v>0.8</v>
      </c>
      <c r="T44" s="314">
        <f>+J44</f>
        <v>5312994</v>
      </c>
      <c r="U44" s="340">
        <f t="shared" si="51"/>
        <v>-74.087263931927808</v>
      </c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2"/>
      <c r="BL44" s="62"/>
      <c r="BM44" s="62"/>
      <c r="BN44" s="62"/>
      <c r="BO44" s="62"/>
      <c r="BP44" s="62"/>
      <c r="BQ44" s="62"/>
      <c r="BR44" s="62"/>
      <c r="BS44" s="62"/>
      <c r="BT44" s="62"/>
      <c r="BU44" s="62"/>
      <c r="BV44" s="62"/>
      <c r="BW44" s="62"/>
      <c r="BX44" s="62"/>
      <c r="BY44" s="62"/>
      <c r="BZ44" s="62"/>
      <c r="CA44" s="62"/>
      <c r="CB44" s="62"/>
      <c r="CC44" s="62"/>
      <c r="CD44" s="62"/>
      <c r="CE44" s="62"/>
      <c r="CF44" s="62"/>
      <c r="CG44" s="62"/>
      <c r="CH44" s="62"/>
      <c r="CI44" s="62"/>
      <c r="CJ44" s="62"/>
      <c r="CK44" s="62"/>
      <c r="CL44" s="62"/>
      <c r="CM44" s="62"/>
      <c r="CN44" s="62"/>
      <c r="CO44" s="62"/>
      <c r="CP44" s="62"/>
      <c r="CQ44" s="62"/>
      <c r="CR44" s="62"/>
      <c r="CS44" s="62"/>
      <c r="CT44" s="62"/>
      <c r="CU44" s="62"/>
      <c r="CV44" s="62"/>
      <c r="CW44" s="62"/>
      <c r="CX44" s="62"/>
      <c r="CY44" s="62"/>
      <c r="CZ44" s="62"/>
      <c r="DA44" s="62"/>
      <c r="DB44" s="62"/>
      <c r="DC44" s="62"/>
      <c r="DD44" s="62"/>
      <c r="DE44" s="62"/>
      <c r="DF44" s="62"/>
      <c r="DG44" s="62"/>
      <c r="DH44" s="62"/>
      <c r="DI44" s="62"/>
      <c r="DJ44" s="62"/>
      <c r="DK44" s="62"/>
      <c r="DL44" s="62"/>
      <c r="DM44" s="62"/>
      <c r="DN44" s="62"/>
      <c r="DO44" s="62"/>
      <c r="DP44" s="62"/>
      <c r="DQ44" s="62"/>
      <c r="DR44" s="62"/>
      <c r="DS44" s="62"/>
      <c r="DT44" s="62"/>
      <c r="DU44" s="62"/>
      <c r="DV44" s="62"/>
      <c r="DW44" s="62"/>
      <c r="DX44" s="62"/>
      <c r="DY44" s="62"/>
      <c r="DZ44" s="62"/>
      <c r="EA44" s="62"/>
      <c r="EB44" s="62"/>
      <c r="EC44" s="62"/>
      <c r="ED44" s="62"/>
      <c r="EE44" s="62"/>
      <c r="EF44" s="62"/>
      <c r="EG44" s="62"/>
      <c r="EH44" s="62"/>
      <c r="EI44" s="62"/>
      <c r="EJ44" s="62"/>
      <c r="EK44" s="62"/>
      <c r="EL44" s="62"/>
      <c r="EM44" s="62"/>
      <c r="EN44" s="62"/>
      <c r="EO44" s="62"/>
      <c r="EP44" s="62"/>
      <c r="EQ44" s="62"/>
      <c r="ER44" s="62"/>
      <c r="ES44" s="62"/>
      <c r="ET44" s="62"/>
      <c r="EU44" s="62"/>
      <c r="EV44" s="62"/>
      <c r="EW44" s="62"/>
    </row>
    <row r="45" spans="1:153" s="64" customFormat="1" ht="26.4" x14ac:dyDescent="0.25">
      <c r="A45" s="74"/>
      <c r="B45" s="222"/>
      <c r="C45" s="357" t="s">
        <v>593</v>
      </c>
      <c r="D45" s="314">
        <f>+D46+D47</f>
        <v>176758239</v>
      </c>
      <c r="E45" s="314">
        <f t="shared" ref="E45" si="70">+E46+E47</f>
        <v>469029141</v>
      </c>
      <c r="F45" s="311">
        <f t="shared" ref="F45:F46" si="71">+E45/D45</f>
        <v>2.6535065276363157</v>
      </c>
      <c r="G45" s="314">
        <f t="shared" ref="G45" si="72">+G46+G47</f>
        <v>486471611.60000002</v>
      </c>
      <c r="H45" s="312">
        <f t="shared" ref="H45:H46" si="73">+G45/D45</f>
        <v>2.7521863441963803</v>
      </c>
      <c r="I45" s="315">
        <v>0</v>
      </c>
      <c r="J45" s="315">
        <v>0</v>
      </c>
      <c r="K45" s="89">
        <f t="shared" ref="K45:K46" si="74">+(J45-G45)/G45</f>
        <v>-1</v>
      </c>
      <c r="L45" s="84">
        <f t="shared" ref="L45" si="75">+L46+L47</f>
        <v>319777950.4920001</v>
      </c>
      <c r="M45" s="97"/>
      <c r="N45" s="84">
        <f t="shared" ref="N45" si="76">+N46+N47</f>
        <v>35530883.388000011</v>
      </c>
      <c r="O45" s="97"/>
      <c r="P45" s="84">
        <f t="shared" ref="P45" si="77">+P46+P47</f>
        <v>0</v>
      </c>
      <c r="Q45" s="97"/>
      <c r="R45" s="84">
        <f t="shared" ref="R45" si="78">+R46+R47</f>
        <v>0</v>
      </c>
      <c r="S45" s="97"/>
      <c r="T45" s="314">
        <f>+T46</f>
        <v>1000000</v>
      </c>
      <c r="U45" s="340">
        <f t="shared" si="51"/>
        <v>-100</v>
      </c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2"/>
      <c r="BH45" s="62"/>
      <c r="BI45" s="62"/>
      <c r="BJ45" s="62"/>
      <c r="BK45" s="62"/>
      <c r="BL45" s="62"/>
      <c r="BM45" s="62"/>
      <c r="BN45" s="62"/>
      <c r="BO45" s="62"/>
      <c r="BP45" s="62"/>
      <c r="BQ45" s="62"/>
      <c r="BR45" s="62"/>
      <c r="BS45" s="62"/>
      <c r="BT45" s="62"/>
      <c r="BU45" s="62"/>
      <c r="BV45" s="62"/>
      <c r="BW45" s="62"/>
      <c r="BX45" s="62"/>
      <c r="BY45" s="62"/>
      <c r="BZ45" s="62"/>
      <c r="CA45" s="62"/>
      <c r="CB45" s="62"/>
      <c r="CC45" s="62"/>
      <c r="CD45" s="62"/>
      <c r="CE45" s="62"/>
      <c r="CF45" s="62"/>
      <c r="CG45" s="62"/>
      <c r="CH45" s="62"/>
      <c r="CI45" s="62"/>
      <c r="CJ45" s="62"/>
      <c r="CK45" s="62"/>
      <c r="CL45" s="62"/>
      <c r="CM45" s="62"/>
      <c r="CN45" s="62"/>
      <c r="CO45" s="62"/>
      <c r="CP45" s="62"/>
      <c r="CQ45" s="62"/>
      <c r="CR45" s="62"/>
      <c r="CS45" s="62"/>
      <c r="CT45" s="62"/>
      <c r="CU45" s="62"/>
      <c r="CV45" s="62"/>
      <c r="CW45" s="62"/>
      <c r="CX45" s="62"/>
      <c r="CY45" s="62"/>
      <c r="CZ45" s="62"/>
      <c r="DA45" s="62"/>
      <c r="DB45" s="62"/>
      <c r="DC45" s="62"/>
      <c r="DD45" s="62"/>
      <c r="DE45" s="62"/>
      <c r="DF45" s="62"/>
      <c r="DG45" s="62"/>
      <c r="DH45" s="62"/>
      <c r="DI45" s="62"/>
      <c r="DJ45" s="62"/>
      <c r="DK45" s="62"/>
      <c r="DL45" s="62"/>
      <c r="DM45" s="62"/>
      <c r="DN45" s="62"/>
      <c r="DO45" s="62"/>
      <c r="DP45" s="62"/>
      <c r="DQ45" s="62"/>
      <c r="DR45" s="62"/>
      <c r="DS45" s="62"/>
      <c r="DT45" s="62"/>
      <c r="DU45" s="62"/>
      <c r="DV45" s="62"/>
      <c r="DW45" s="62"/>
      <c r="DX45" s="62"/>
      <c r="DY45" s="62"/>
      <c r="DZ45" s="62"/>
      <c r="EA45" s="62"/>
      <c r="EB45" s="62"/>
      <c r="EC45" s="62"/>
      <c r="ED45" s="62"/>
      <c r="EE45" s="62"/>
      <c r="EF45" s="62"/>
      <c r="EG45" s="62"/>
      <c r="EH45" s="62"/>
      <c r="EI45" s="62"/>
      <c r="EJ45" s="62"/>
      <c r="EK45" s="62"/>
      <c r="EL45" s="62"/>
      <c r="EM45" s="62"/>
      <c r="EN45" s="62"/>
      <c r="EO45" s="62"/>
      <c r="EP45" s="62"/>
      <c r="EQ45" s="62"/>
      <c r="ER45" s="62"/>
      <c r="ES45" s="62"/>
      <c r="ET45" s="62"/>
      <c r="EU45" s="62"/>
      <c r="EV45" s="62"/>
      <c r="EW45" s="62"/>
    </row>
    <row r="46" spans="1:153" s="64" customFormat="1" x14ac:dyDescent="0.25">
      <c r="A46" s="74"/>
      <c r="B46" s="222"/>
      <c r="C46" s="66" t="s">
        <v>13</v>
      </c>
      <c r="D46" s="316">
        <v>150000000</v>
      </c>
      <c r="E46" s="316">
        <v>22137475</v>
      </c>
      <c r="F46" s="311">
        <f t="shared" si="71"/>
        <v>0.14758316666666665</v>
      </c>
      <c r="G46" s="316">
        <f>+E46*1.2</f>
        <v>26564970</v>
      </c>
      <c r="H46" s="312">
        <f t="shared" si="73"/>
        <v>0.1770998</v>
      </c>
      <c r="I46" s="317">
        <v>0</v>
      </c>
      <c r="J46" s="317">
        <v>0</v>
      </c>
      <c r="K46" s="89">
        <f t="shared" si="74"/>
        <v>-1</v>
      </c>
      <c r="L46" s="81"/>
      <c r="M46" s="97"/>
      <c r="N46" s="81">
        <f>+J46*O46</f>
        <v>0</v>
      </c>
      <c r="O46" s="97">
        <v>0.1</v>
      </c>
      <c r="P46" s="81">
        <f>+J46*Q46</f>
        <v>0</v>
      </c>
      <c r="Q46" s="97">
        <v>0.1</v>
      </c>
      <c r="R46" s="81">
        <f>+J46*S46</f>
        <v>0</v>
      </c>
      <c r="S46" s="97">
        <v>0.8</v>
      </c>
      <c r="T46" s="316">
        <v>1000000</v>
      </c>
      <c r="U46" s="339">
        <f t="shared" si="51"/>
        <v>-100</v>
      </c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62"/>
      <c r="BH46" s="62"/>
      <c r="BI46" s="62"/>
      <c r="BJ46" s="62"/>
      <c r="BK46" s="62"/>
      <c r="BL46" s="62"/>
      <c r="BM46" s="62"/>
      <c r="BN46" s="62"/>
      <c r="BO46" s="62"/>
      <c r="BP46" s="62"/>
      <c r="BQ46" s="62"/>
      <c r="BR46" s="62"/>
      <c r="BS46" s="62"/>
      <c r="BT46" s="62"/>
      <c r="BU46" s="62"/>
      <c r="BV46" s="62"/>
      <c r="BW46" s="62"/>
      <c r="BX46" s="62"/>
      <c r="BY46" s="62"/>
      <c r="BZ46" s="62"/>
      <c r="CA46" s="62"/>
      <c r="CB46" s="62"/>
      <c r="CC46" s="62"/>
      <c r="CD46" s="62"/>
      <c r="CE46" s="62"/>
      <c r="CF46" s="62"/>
      <c r="CG46" s="62"/>
      <c r="CH46" s="62"/>
      <c r="CI46" s="62"/>
      <c r="CJ46" s="62"/>
      <c r="CK46" s="62"/>
      <c r="CL46" s="62"/>
      <c r="CM46" s="62"/>
      <c r="CN46" s="62"/>
      <c r="CO46" s="62"/>
      <c r="CP46" s="62"/>
      <c r="CQ46" s="62"/>
      <c r="CR46" s="62"/>
      <c r="CS46" s="62"/>
      <c r="CT46" s="62"/>
      <c r="CU46" s="62"/>
      <c r="CV46" s="62"/>
      <c r="CW46" s="62"/>
      <c r="CX46" s="62"/>
      <c r="CY46" s="62"/>
      <c r="CZ46" s="62"/>
      <c r="DA46" s="62"/>
      <c r="DB46" s="62"/>
      <c r="DC46" s="62"/>
      <c r="DD46" s="62"/>
      <c r="DE46" s="62"/>
      <c r="DF46" s="62"/>
      <c r="DG46" s="62"/>
      <c r="DH46" s="62"/>
      <c r="DI46" s="62"/>
      <c r="DJ46" s="62"/>
      <c r="DK46" s="62"/>
      <c r="DL46" s="62"/>
      <c r="DM46" s="62"/>
      <c r="DN46" s="62"/>
      <c r="DO46" s="62"/>
      <c r="DP46" s="62"/>
      <c r="DQ46" s="62"/>
      <c r="DR46" s="62"/>
      <c r="DS46" s="62"/>
      <c r="DT46" s="62"/>
      <c r="DU46" s="62"/>
      <c r="DV46" s="62"/>
      <c r="DW46" s="62"/>
      <c r="DX46" s="62"/>
      <c r="DY46" s="62"/>
      <c r="DZ46" s="62"/>
      <c r="EA46" s="62"/>
      <c r="EB46" s="62"/>
      <c r="EC46" s="62"/>
      <c r="ED46" s="62"/>
      <c r="EE46" s="62"/>
      <c r="EF46" s="62"/>
      <c r="EG46" s="62"/>
      <c r="EH46" s="62"/>
      <c r="EI46" s="62"/>
      <c r="EJ46" s="62"/>
      <c r="EK46" s="62"/>
      <c r="EL46" s="62"/>
      <c r="EM46" s="62"/>
      <c r="EN46" s="62"/>
      <c r="EO46" s="62"/>
      <c r="EP46" s="62"/>
      <c r="EQ46" s="62"/>
      <c r="ER46" s="62"/>
      <c r="ES46" s="62"/>
      <c r="ET46" s="62"/>
      <c r="EU46" s="62"/>
      <c r="EV46" s="62"/>
      <c r="EW46" s="62"/>
    </row>
    <row r="47" spans="1:153" x14ac:dyDescent="0.25">
      <c r="A47" s="75" t="s">
        <v>73</v>
      </c>
      <c r="B47" s="227"/>
      <c r="C47" s="66" t="s">
        <v>74</v>
      </c>
      <c r="D47" s="316">
        <f>+D48</f>
        <v>26758239</v>
      </c>
      <c r="E47" s="316">
        <f t="shared" ref="E47:T48" si="79">+E48</f>
        <v>446891666</v>
      </c>
      <c r="F47" s="311">
        <f t="shared" si="2"/>
        <v>16.701086570009334</v>
      </c>
      <c r="G47" s="316">
        <f t="shared" si="79"/>
        <v>459906641.60000002</v>
      </c>
      <c r="H47" s="312">
        <f t="shared" si="3"/>
        <v>17.187477905403266</v>
      </c>
      <c r="I47" s="317">
        <f t="shared" si="79"/>
        <v>477994148</v>
      </c>
      <c r="J47" s="317">
        <f t="shared" si="79"/>
        <v>355308833.88000011</v>
      </c>
      <c r="K47" s="89">
        <f t="shared" si="5"/>
        <v>-0.22743269667971655</v>
      </c>
      <c r="L47" s="85">
        <f t="shared" si="79"/>
        <v>319777950.4920001</v>
      </c>
      <c r="M47" s="97"/>
      <c r="N47" s="85">
        <f t="shared" si="79"/>
        <v>35530883.388000011</v>
      </c>
      <c r="O47" s="97"/>
      <c r="P47" s="85">
        <f t="shared" si="79"/>
        <v>0</v>
      </c>
      <c r="Q47" s="97"/>
      <c r="R47" s="85">
        <f t="shared" si="79"/>
        <v>0</v>
      </c>
      <c r="S47" s="97"/>
      <c r="T47" s="316">
        <f t="shared" si="79"/>
        <v>355308833.88000011</v>
      </c>
      <c r="U47" s="339">
        <f t="shared" si="51"/>
        <v>-22.74326966797166</v>
      </c>
    </row>
    <row r="48" spans="1:153" s="64" customFormat="1" x14ac:dyDescent="0.25">
      <c r="A48" s="74" t="s">
        <v>75</v>
      </c>
      <c r="B48" s="222"/>
      <c r="C48" s="63" t="s">
        <v>76</v>
      </c>
      <c r="D48" s="314">
        <f>+D49</f>
        <v>26758239</v>
      </c>
      <c r="E48" s="314">
        <f t="shared" si="79"/>
        <v>446891666</v>
      </c>
      <c r="F48" s="311">
        <f t="shared" si="2"/>
        <v>16.701086570009334</v>
      </c>
      <c r="G48" s="314">
        <f t="shared" si="79"/>
        <v>459906641.60000002</v>
      </c>
      <c r="H48" s="312">
        <f t="shared" si="3"/>
        <v>17.187477905403266</v>
      </c>
      <c r="I48" s="315">
        <f t="shared" si="79"/>
        <v>477994148</v>
      </c>
      <c r="J48" s="315">
        <f t="shared" si="79"/>
        <v>355308833.88000011</v>
      </c>
      <c r="K48" s="89">
        <f t="shared" si="5"/>
        <v>-0.22743269667971655</v>
      </c>
      <c r="L48" s="84">
        <f t="shared" si="79"/>
        <v>319777950.4920001</v>
      </c>
      <c r="M48" s="97"/>
      <c r="N48" s="84">
        <f t="shared" si="79"/>
        <v>35530883.388000011</v>
      </c>
      <c r="O48" s="97"/>
      <c r="P48" s="84">
        <f t="shared" si="79"/>
        <v>0</v>
      </c>
      <c r="Q48" s="97"/>
      <c r="R48" s="84">
        <f t="shared" si="79"/>
        <v>0</v>
      </c>
      <c r="S48" s="97"/>
      <c r="T48" s="314">
        <f t="shared" si="79"/>
        <v>355308833.88000011</v>
      </c>
      <c r="U48" s="340">
        <f t="shared" si="51"/>
        <v>-22.74326966797166</v>
      </c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62"/>
      <c r="BH48" s="62"/>
      <c r="BI48" s="62"/>
      <c r="BJ48" s="62"/>
      <c r="BK48" s="62"/>
      <c r="BL48" s="62"/>
      <c r="BM48" s="62"/>
      <c r="BN48" s="62"/>
      <c r="BO48" s="62"/>
      <c r="BP48" s="62"/>
      <c r="BQ48" s="62"/>
      <c r="BR48" s="62"/>
      <c r="BS48" s="62"/>
      <c r="BT48" s="62"/>
      <c r="BU48" s="62"/>
      <c r="BV48" s="62"/>
      <c r="BW48" s="62"/>
      <c r="BX48" s="62"/>
      <c r="BY48" s="62"/>
      <c r="BZ48" s="62"/>
      <c r="CA48" s="62"/>
      <c r="CB48" s="62"/>
      <c r="CC48" s="62"/>
      <c r="CD48" s="62"/>
      <c r="CE48" s="62"/>
      <c r="CF48" s="62"/>
      <c r="CG48" s="62"/>
      <c r="CH48" s="62"/>
      <c r="CI48" s="62"/>
      <c r="CJ48" s="62"/>
      <c r="CK48" s="62"/>
      <c r="CL48" s="62"/>
      <c r="CM48" s="62"/>
      <c r="CN48" s="62"/>
      <c r="CO48" s="62"/>
      <c r="CP48" s="62"/>
      <c r="CQ48" s="62"/>
      <c r="CR48" s="62"/>
      <c r="CS48" s="62"/>
      <c r="CT48" s="62"/>
      <c r="CU48" s="62"/>
      <c r="CV48" s="62"/>
      <c r="CW48" s="62"/>
      <c r="CX48" s="62"/>
      <c r="CY48" s="62"/>
      <c r="CZ48" s="62"/>
      <c r="DA48" s="62"/>
      <c r="DB48" s="62"/>
      <c r="DC48" s="62"/>
      <c r="DD48" s="62"/>
      <c r="DE48" s="62"/>
      <c r="DF48" s="62"/>
      <c r="DG48" s="62"/>
      <c r="DH48" s="62"/>
      <c r="DI48" s="62"/>
      <c r="DJ48" s="62"/>
      <c r="DK48" s="62"/>
      <c r="DL48" s="62"/>
      <c r="DM48" s="62"/>
      <c r="DN48" s="62"/>
      <c r="DO48" s="62"/>
      <c r="DP48" s="62"/>
      <c r="DQ48" s="62"/>
      <c r="DR48" s="62"/>
      <c r="DS48" s="62"/>
      <c r="DT48" s="62"/>
      <c r="DU48" s="62"/>
      <c r="DV48" s="62"/>
      <c r="DW48" s="62"/>
      <c r="DX48" s="62"/>
      <c r="DY48" s="62"/>
      <c r="DZ48" s="62"/>
      <c r="EA48" s="62"/>
      <c r="EB48" s="62"/>
      <c r="EC48" s="62"/>
      <c r="ED48" s="62"/>
      <c r="EE48" s="62"/>
      <c r="EF48" s="62"/>
      <c r="EG48" s="62"/>
      <c r="EH48" s="62"/>
      <c r="EI48" s="62"/>
      <c r="EJ48" s="62"/>
      <c r="EK48" s="62"/>
      <c r="EL48" s="62"/>
      <c r="EM48" s="62"/>
      <c r="EN48" s="62"/>
      <c r="EO48" s="62"/>
      <c r="EP48" s="62"/>
      <c r="EQ48" s="62"/>
      <c r="ER48" s="62"/>
      <c r="ES48" s="62"/>
      <c r="ET48" s="62"/>
      <c r="EU48" s="62"/>
      <c r="EV48" s="62"/>
      <c r="EW48" s="62"/>
    </row>
    <row r="49" spans="1:153" x14ac:dyDescent="0.25">
      <c r="A49" s="75" t="s">
        <v>77</v>
      </c>
      <c r="B49" s="227">
        <v>24</v>
      </c>
      <c r="C49" s="66" t="s">
        <v>78</v>
      </c>
      <c r="D49" s="316">
        <f>+D50+D51</f>
        <v>26758239</v>
      </c>
      <c r="E49" s="316">
        <f t="shared" ref="E49:G49" si="80">+E50+E51</f>
        <v>446891666</v>
      </c>
      <c r="F49" s="311">
        <f t="shared" si="2"/>
        <v>16.701086570009334</v>
      </c>
      <c r="G49" s="316">
        <f t="shared" si="80"/>
        <v>459906641.60000002</v>
      </c>
      <c r="H49" s="312">
        <f t="shared" si="3"/>
        <v>17.187477905403266</v>
      </c>
      <c r="I49" s="317">
        <f t="shared" ref="I49:L49" si="81">+I50+I51</f>
        <v>477994148</v>
      </c>
      <c r="J49" s="317">
        <f t="shared" si="81"/>
        <v>355308833.88000011</v>
      </c>
      <c r="K49" s="89">
        <f t="shared" si="5"/>
        <v>-0.22743269667971655</v>
      </c>
      <c r="L49" s="85">
        <f t="shared" si="81"/>
        <v>319777950.4920001</v>
      </c>
      <c r="M49" s="97"/>
      <c r="N49" s="85">
        <f t="shared" ref="N49" si="82">+N50+N51</f>
        <v>35530883.388000011</v>
      </c>
      <c r="O49" s="97"/>
      <c r="P49" s="85">
        <f t="shared" ref="P49" si="83">+P50+P51</f>
        <v>0</v>
      </c>
      <c r="Q49" s="97"/>
      <c r="R49" s="85">
        <f t="shared" ref="R49" si="84">+R50+R51</f>
        <v>0</v>
      </c>
      <c r="S49" s="97"/>
      <c r="T49" s="316">
        <f t="shared" ref="T49" si="85">+T50+T51</f>
        <v>355308833.88000011</v>
      </c>
      <c r="U49" s="339">
        <f t="shared" si="51"/>
        <v>-22.74326966797166</v>
      </c>
    </row>
    <row r="50" spans="1:153" s="64" customFormat="1" x14ac:dyDescent="0.25">
      <c r="A50" s="74" t="s">
        <v>79</v>
      </c>
      <c r="B50" s="222"/>
      <c r="C50" s="63" t="s">
        <v>30</v>
      </c>
      <c r="D50" s="314">
        <v>22641587</v>
      </c>
      <c r="E50" s="314">
        <v>260299512</v>
      </c>
      <c r="F50" s="311">
        <f t="shared" si="2"/>
        <v>11.496522394830363</v>
      </c>
      <c r="G50" s="314">
        <f>+E50*1.05</f>
        <v>273314487.60000002</v>
      </c>
      <c r="H50" s="312">
        <f t="shared" si="3"/>
        <v>12.071348514571882</v>
      </c>
      <c r="I50" s="315">
        <f>+'[2]COMPARATIVO RECAUDOS'!$F$28</f>
        <v>477994148</v>
      </c>
      <c r="J50" s="315">
        <f>+G50*1.1</f>
        <v>300645936.36000007</v>
      </c>
      <c r="K50" s="89">
        <f t="shared" si="5"/>
        <v>0.10000000000000017</v>
      </c>
      <c r="L50" s="80">
        <f>+J50*M50</f>
        <v>270581342.7240001</v>
      </c>
      <c r="M50" s="97">
        <v>0.9</v>
      </c>
      <c r="N50" s="80">
        <f>+J50*O50</f>
        <v>30064593.636000007</v>
      </c>
      <c r="O50" s="97">
        <v>0.1</v>
      </c>
      <c r="P50" s="80"/>
      <c r="Q50" s="97"/>
      <c r="R50" s="80"/>
      <c r="S50" s="97"/>
      <c r="T50" s="314">
        <f>+J50</f>
        <v>300645936.36000007</v>
      </c>
      <c r="U50" s="340">
        <f t="shared" si="51"/>
        <v>10.000000000000014</v>
      </c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62"/>
      <c r="BG50" s="62"/>
      <c r="BH50" s="62"/>
      <c r="BI50" s="62"/>
      <c r="BJ50" s="62"/>
      <c r="BK50" s="62"/>
      <c r="BL50" s="62"/>
      <c r="BM50" s="62"/>
      <c r="BN50" s="62"/>
      <c r="BO50" s="62"/>
      <c r="BP50" s="62"/>
      <c r="BQ50" s="62"/>
      <c r="BR50" s="62"/>
      <c r="BS50" s="62"/>
      <c r="BT50" s="62"/>
      <c r="BU50" s="62"/>
      <c r="BV50" s="62"/>
      <c r="BW50" s="62"/>
      <c r="BX50" s="62"/>
      <c r="BY50" s="62"/>
      <c r="BZ50" s="62"/>
      <c r="CA50" s="62"/>
      <c r="CB50" s="62"/>
      <c r="CC50" s="62"/>
      <c r="CD50" s="62"/>
      <c r="CE50" s="62"/>
      <c r="CF50" s="62"/>
      <c r="CG50" s="62"/>
      <c r="CH50" s="62"/>
      <c r="CI50" s="62"/>
      <c r="CJ50" s="62"/>
      <c r="CK50" s="62"/>
      <c r="CL50" s="62"/>
      <c r="CM50" s="62"/>
      <c r="CN50" s="62"/>
      <c r="CO50" s="62"/>
      <c r="CP50" s="62"/>
      <c r="CQ50" s="62"/>
      <c r="CR50" s="62"/>
      <c r="CS50" s="62"/>
      <c r="CT50" s="62"/>
      <c r="CU50" s="62"/>
      <c r="CV50" s="62"/>
      <c r="CW50" s="62"/>
      <c r="CX50" s="62"/>
      <c r="CY50" s="62"/>
      <c r="CZ50" s="62"/>
      <c r="DA50" s="62"/>
      <c r="DB50" s="62"/>
      <c r="DC50" s="62"/>
      <c r="DD50" s="62"/>
      <c r="DE50" s="62"/>
      <c r="DF50" s="62"/>
      <c r="DG50" s="62"/>
      <c r="DH50" s="62"/>
      <c r="DI50" s="62"/>
      <c r="DJ50" s="62"/>
      <c r="DK50" s="62"/>
      <c r="DL50" s="62"/>
      <c r="DM50" s="62"/>
      <c r="DN50" s="62"/>
      <c r="DO50" s="62"/>
      <c r="DP50" s="62"/>
      <c r="DQ50" s="62"/>
      <c r="DR50" s="62"/>
      <c r="DS50" s="62"/>
      <c r="DT50" s="62"/>
      <c r="DU50" s="62"/>
      <c r="DV50" s="62"/>
      <c r="DW50" s="62"/>
      <c r="DX50" s="62"/>
      <c r="DY50" s="62"/>
      <c r="DZ50" s="62"/>
      <c r="EA50" s="62"/>
      <c r="EB50" s="62"/>
      <c r="EC50" s="62"/>
      <c r="ED50" s="62"/>
      <c r="EE50" s="62"/>
      <c r="EF50" s="62"/>
      <c r="EG50" s="62"/>
      <c r="EH50" s="62"/>
      <c r="EI50" s="62"/>
      <c r="EJ50" s="62"/>
      <c r="EK50" s="62"/>
      <c r="EL50" s="62"/>
      <c r="EM50" s="62"/>
      <c r="EN50" s="62"/>
      <c r="EO50" s="62"/>
      <c r="EP50" s="62"/>
      <c r="EQ50" s="62"/>
      <c r="ER50" s="62"/>
      <c r="ES50" s="62"/>
      <c r="ET50" s="62"/>
      <c r="EU50" s="62"/>
      <c r="EV50" s="62"/>
      <c r="EW50" s="62"/>
    </row>
    <row r="51" spans="1:153" ht="11.25" customHeight="1" x14ac:dyDescent="0.25">
      <c r="A51" s="75" t="s">
        <v>80</v>
      </c>
      <c r="B51" s="227"/>
      <c r="C51" s="66" t="s">
        <v>32</v>
      </c>
      <c r="D51" s="316">
        <v>4116652</v>
      </c>
      <c r="E51" s="316">
        <v>186592154</v>
      </c>
      <c r="F51" s="311">
        <f t="shared" si="2"/>
        <v>45.326190797764788</v>
      </c>
      <c r="G51" s="316">
        <f>+E51</f>
        <v>186592154</v>
      </c>
      <c r="H51" s="312">
        <f t="shared" si="3"/>
        <v>45.326190797764788</v>
      </c>
      <c r="I51" s="317"/>
      <c r="J51" s="317">
        <f>+G50*0.2</f>
        <v>54662897.520000011</v>
      </c>
      <c r="K51" s="89">
        <f t="shared" si="5"/>
        <v>-0.70704610913061217</v>
      </c>
      <c r="L51" s="81">
        <f>+J51*M51</f>
        <v>49196607.768000014</v>
      </c>
      <c r="M51" s="97">
        <v>0.9</v>
      </c>
      <c r="N51" s="81">
        <f>+J51*O51</f>
        <v>5466289.7520000013</v>
      </c>
      <c r="O51" s="97">
        <v>0.1</v>
      </c>
      <c r="P51" s="81"/>
      <c r="Q51" s="97"/>
      <c r="R51" s="81"/>
      <c r="S51" s="97"/>
      <c r="T51" s="316">
        <f>+J51</f>
        <v>54662897.520000011</v>
      </c>
      <c r="U51" s="339">
        <f t="shared" si="51"/>
        <v>-70.704610913061217</v>
      </c>
    </row>
    <row r="52" spans="1:153" s="64" customFormat="1" ht="13.5" customHeight="1" x14ac:dyDescent="0.25">
      <c r="A52" s="74"/>
      <c r="B52" s="222"/>
      <c r="C52" s="63" t="s">
        <v>81</v>
      </c>
      <c r="D52" s="314">
        <f>+D53+D58</f>
        <v>83980000000</v>
      </c>
      <c r="E52" s="314">
        <f t="shared" ref="E52:G52" si="86">+E53+E58</f>
        <v>71913926701</v>
      </c>
      <c r="F52" s="311">
        <f t="shared" si="2"/>
        <v>0.85632206121695642</v>
      </c>
      <c r="G52" s="314">
        <f t="shared" si="86"/>
        <v>71998926701</v>
      </c>
      <c r="H52" s="312">
        <f t="shared" si="3"/>
        <v>0.85733420696594431</v>
      </c>
      <c r="I52" s="315">
        <f t="shared" ref="I52:L52" si="87">+I53+I58</f>
        <v>71913926701</v>
      </c>
      <c r="J52" s="315">
        <f t="shared" si="87"/>
        <v>85165000000</v>
      </c>
      <c r="K52" s="89">
        <f t="shared" si="5"/>
        <v>0.18286485510647391</v>
      </c>
      <c r="L52" s="84">
        <f t="shared" si="87"/>
        <v>0</v>
      </c>
      <c r="M52" s="97"/>
      <c r="N52" s="84">
        <f t="shared" ref="N52" si="88">+N53+N58</f>
        <v>0</v>
      </c>
      <c r="O52" s="97"/>
      <c r="P52" s="84">
        <f t="shared" ref="P52" si="89">+P53+P58</f>
        <v>8512000000</v>
      </c>
      <c r="Q52" s="97"/>
      <c r="R52" s="84">
        <f t="shared" ref="R52" si="90">+R53+R58</f>
        <v>76653000000</v>
      </c>
      <c r="S52" s="97"/>
      <c r="T52" s="314">
        <f>+T53+T58</f>
        <v>85165000000</v>
      </c>
      <c r="U52" s="340">
        <f t="shared" si="51"/>
        <v>18.286485510647395</v>
      </c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2"/>
      <c r="BR52" s="62"/>
      <c r="BS52" s="62"/>
      <c r="BT52" s="62"/>
      <c r="BU52" s="62"/>
      <c r="BV52" s="62"/>
      <c r="BW52" s="62"/>
      <c r="BX52" s="62"/>
      <c r="BY52" s="62"/>
      <c r="BZ52" s="62"/>
      <c r="CA52" s="62"/>
      <c r="CB52" s="62"/>
      <c r="CC52" s="62"/>
      <c r="CD52" s="62"/>
      <c r="CE52" s="62"/>
      <c r="CF52" s="62"/>
      <c r="CG52" s="62"/>
      <c r="CH52" s="62"/>
      <c r="CI52" s="62"/>
      <c r="CJ52" s="62"/>
      <c r="CK52" s="62"/>
      <c r="CL52" s="62"/>
      <c r="CM52" s="62"/>
      <c r="CN52" s="62"/>
      <c r="CO52" s="62"/>
      <c r="CP52" s="62"/>
      <c r="CQ52" s="62"/>
      <c r="CR52" s="62"/>
      <c r="CS52" s="62"/>
      <c r="CT52" s="62"/>
      <c r="CU52" s="62"/>
      <c r="CV52" s="62"/>
      <c r="CW52" s="62"/>
      <c r="CX52" s="62"/>
      <c r="CY52" s="62"/>
      <c r="CZ52" s="62"/>
      <c r="DA52" s="62"/>
      <c r="DB52" s="62"/>
      <c r="DC52" s="62"/>
      <c r="DD52" s="62"/>
      <c r="DE52" s="62"/>
      <c r="DF52" s="62"/>
      <c r="DG52" s="62"/>
      <c r="DH52" s="62"/>
      <c r="DI52" s="62"/>
      <c r="DJ52" s="62"/>
      <c r="DK52" s="62"/>
      <c r="DL52" s="62"/>
      <c r="DM52" s="62"/>
      <c r="DN52" s="62"/>
      <c r="DO52" s="62"/>
      <c r="DP52" s="62"/>
      <c r="DQ52" s="62"/>
      <c r="DR52" s="62"/>
      <c r="DS52" s="62"/>
      <c r="DT52" s="62"/>
      <c r="DU52" s="62"/>
      <c r="DV52" s="62"/>
      <c r="DW52" s="62"/>
      <c r="DX52" s="62"/>
      <c r="DY52" s="62"/>
      <c r="DZ52" s="62"/>
      <c r="EA52" s="62"/>
      <c r="EB52" s="62"/>
      <c r="EC52" s="62"/>
      <c r="ED52" s="62"/>
      <c r="EE52" s="62"/>
      <c r="EF52" s="62"/>
      <c r="EG52" s="62"/>
      <c r="EH52" s="62"/>
      <c r="EI52" s="62"/>
      <c r="EJ52" s="62"/>
      <c r="EK52" s="62"/>
      <c r="EL52" s="62"/>
      <c r="EM52" s="62"/>
      <c r="EN52" s="62"/>
      <c r="EO52" s="62"/>
      <c r="EP52" s="62"/>
      <c r="EQ52" s="62"/>
      <c r="ER52" s="62"/>
      <c r="ES52" s="62"/>
      <c r="ET52" s="62"/>
      <c r="EU52" s="62"/>
      <c r="EV52" s="62"/>
      <c r="EW52" s="62"/>
    </row>
    <row r="53" spans="1:153" ht="13.5" customHeight="1" x14ac:dyDescent="0.25">
      <c r="A53" s="75"/>
      <c r="B53" s="227"/>
      <c r="C53" s="66" t="s">
        <v>120</v>
      </c>
      <c r="D53" s="316">
        <f>+D54</f>
        <v>83817000000</v>
      </c>
      <c r="E53" s="316">
        <f t="shared" ref="E53:T54" si="91">+E54</f>
        <v>71835926701</v>
      </c>
      <c r="F53" s="311">
        <f t="shared" si="2"/>
        <v>0.85705676295978139</v>
      </c>
      <c r="G53" s="316">
        <f t="shared" si="91"/>
        <v>71835926701</v>
      </c>
      <c r="H53" s="312">
        <f t="shared" si="3"/>
        <v>0.85705676295978139</v>
      </c>
      <c r="I53" s="317">
        <f t="shared" si="91"/>
        <v>71835926701</v>
      </c>
      <c r="J53" s="317">
        <f t="shared" si="91"/>
        <v>85120000000</v>
      </c>
      <c r="K53" s="89">
        <f t="shared" si="5"/>
        <v>0.1849224184758109</v>
      </c>
      <c r="L53" s="85">
        <f t="shared" si="91"/>
        <v>0</v>
      </c>
      <c r="M53" s="97"/>
      <c r="N53" s="85">
        <f t="shared" si="91"/>
        <v>0</v>
      </c>
      <c r="O53" s="97"/>
      <c r="P53" s="85">
        <f t="shared" si="91"/>
        <v>8512000000</v>
      </c>
      <c r="Q53" s="97"/>
      <c r="R53" s="85">
        <f t="shared" si="91"/>
        <v>76608000000</v>
      </c>
      <c r="S53" s="97"/>
      <c r="T53" s="316">
        <f t="shared" si="91"/>
        <v>85120000000</v>
      </c>
      <c r="U53" s="339">
        <f t="shared" si="51"/>
        <v>18.492241847581099</v>
      </c>
    </row>
    <row r="54" spans="1:153" s="64" customFormat="1" ht="13.5" customHeight="1" x14ac:dyDescent="0.25">
      <c r="A54" s="74"/>
      <c r="B54" s="222"/>
      <c r="C54" s="63" t="s">
        <v>83</v>
      </c>
      <c r="D54" s="314">
        <f>+D55</f>
        <v>83817000000</v>
      </c>
      <c r="E54" s="314">
        <f t="shared" si="91"/>
        <v>71835926701</v>
      </c>
      <c r="F54" s="311">
        <f t="shared" si="2"/>
        <v>0.85705676295978139</v>
      </c>
      <c r="G54" s="314">
        <f t="shared" si="91"/>
        <v>71835926701</v>
      </c>
      <c r="H54" s="312">
        <f t="shared" si="3"/>
        <v>0.85705676295978139</v>
      </c>
      <c r="I54" s="315">
        <f t="shared" si="91"/>
        <v>71835926701</v>
      </c>
      <c r="J54" s="315">
        <f t="shared" si="91"/>
        <v>85120000000</v>
      </c>
      <c r="K54" s="89">
        <f t="shared" si="5"/>
        <v>0.1849224184758109</v>
      </c>
      <c r="L54" s="84">
        <f t="shared" si="91"/>
        <v>0</v>
      </c>
      <c r="M54" s="97"/>
      <c r="N54" s="84">
        <f t="shared" si="91"/>
        <v>0</v>
      </c>
      <c r="O54" s="97"/>
      <c r="P54" s="84">
        <f t="shared" si="91"/>
        <v>8512000000</v>
      </c>
      <c r="Q54" s="97"/>
      <c r="R54" s="84">
        <f t="shared" si="91"/>
        <v>76608000000</v>
      </c>
      <c r="S54" s="97"/>
      <c r="T54" s="314">
        <f t="shared" si="91"/>
        <v>85120000000</v>
      </c>
      <c r="U54" s="340">
        <f t="shared" si="51"/>
        <v>18.492241847581099</v>
      </c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2"/>
      <c r="BR54" s="62"/>
      <c r="BS54" s="62"/>
      <c r="BT54" s="62"/>
      <c r="BU54" s="62"/>
      <c r="BV54" s="62"/>
      <c r="BW54" s="62"/>
      <c r="BX54" s="62"/>
      <c r="BY54" s="62"/>
      <c r="BZ54" s="62"/>
      <c r="CA54" s="62"/>
      <c r="CB54" s="62"/>
      <c r="CC54" s="62"/>
      <c r="CD54" s="62"/>
      <c r="CE54" s="62"/>
      <c r="CF54" s="62"/>
      <c r="CG54" s="62"/>
      <c r="CH54" s="62"/>
      <c r="CI54" s="62"/>
      <c r="CJ54" s="62"/>
      <c r="CK54" s="62"/>
      <c r="CL54" s="62"/>
      <c r="CM54" s="62"/>
      <c r="CN54" s="62"/>
      <c r="CO54" s="62"/>
      <c r="CP54" s="62"/>
      <c r="CQ54" s="62"/>
      <c r="CR54" s="62"/>
      <c r="CS54" s="62"/>
      <c r="CT54" s="62"/>
      <c r="CU54" s="62"/>
      <c r="CV54" s="62"/>
      <c r="CW54" s="62"/>
      <c r="CX54" s="62"/>
      <c r="CY54" s="62"/>
      <c r="CZ54" s="62"/>
      <c r="DA54" s="62"/>
      <c r="DB54" s="62"/>
      <c r="DC54" s="62"/>
      <c r="DD54" s="62"/>
      <c r="DE54" s="62"/>
      <c r="DF54" s="62"/>
      <c r="DG54" s="62"/>
      <c r="DH54" s="62"/>
      <c r="DI54" s="62"/>
      <c r="DJ54" s="62"/>
      <c r="DK54" s="62"/>
      <c r="DL54" s="62"/>
      <c r="DM54" s="62"/>
      <c r="DN54" s="62"/>
      <c r="DO54" s="62"/>
      <c r="DP54" s="62"/>
      <c r="DQ54" s="62"/>
      <c r="DR54" s="62"/>
      <c r="DS54" s="62"/>
      <c r="DT54" s="62"/>
      <c r="DU54" s="62"/>
      <c r="DV54" s="62"/>
      <c r="DW54" s="62"/>
      <c r="DX54" s="62"/>
      <c r="DY54" s="62"/>
      <c r="DZ54" s="62"/>
      <c r="EA54" s="62"/>
      <c r="EB54" s="62"/>
      <c r="EC54" s="62"/>
      <c r="ED54" s="62"/>
      <c r="EE54" s="62"/>
      <c r="EF54" s="62"/>
      <c r="EG54" s="62"/>
      <c r="EH54" s="62"/>
      <c r="EI54" s="62"/>
      <c r="EJ54" s="62"/>
      <c r="EK54" s="62"/>
      <c r="EL54" s="62"/>
      <c r="EM54" s="62"/>
      <c r="EN54" s="62"/>
      <c r="EO54" s="62"/>
      <c r="EP54" s="62"/>
      <c r="EQ54" s="62"/>
      <c r="ER54" s="62"/>
      <c r="ES54" s="62"/>
      <c r="ET54" s="62"/>
      <c r="EU54" s="62"/>
      <c r="EV54" s="62"/>
      <c r="EW54" s="62"/>
    </row>
    <row r="55" spans="1:153" ht="13.5" customHeight="1" x14ac:dyDescent="0.25">
      <c r="A55" s="75"/>
      <c r="B55" s="227">
        <v>61</v>
      </c>
      <c r="C55" s="66" t="s">
        <v>84</v>
      </c>
      <c r="D55" s="316">
        <f>+D56+D57</f>
        <v>83817000000</v>
      </c>
      <c r="E55" s="316">
        <f t="shared" ref="E55:G55" si="92">+E56+E57</f>
        <v>71835926701</v>
      </c>
      <c r="F55" s="311">
        <f t="shared" si="2"/>
        <v>0.85705676295978139</v>
      </c>
      <c r="G55" s="316">
        <f t="shared" si="92"/>
        <v>71835926701</v>
      </c>
      <c r="H55" s="312">
        <f t="shared" si="3"/>
        <v>0.85705676295978139</v>
      </c>
      <c r="I55" s="318">
        <f>+I56+I57</f>
        <v>71835926701</v>
      </c>
      <c r="J55" s="318">
        <f>+J56+J57</f>
        <v>85120000000</v>
      </c>
      <c r="K55" s="89">
        <f t="shared" si="5"/>
        <v>0.1849224184758109</v>
      </c>
      <c r="L55" s="87">
        <f>+L56+L57</f>
        <v>0</v>
      </c>
      <c r="M55" s="97"/>
      <c r="N55" s="87">
        <f>+N56+N57</f>
        <v>0</v>
      </c>
      <c r="O55" s="97"/>
      <c r="P55" s="87">
        <f>+P56+P57</f>
        <v>8512000000</v>
      </c>
      <c r="Q55" s="97"/>
      <c r="R55" s="87">
        <f>+R56+R57</f>
        <v>76608000000</v>
      </c>
      <c r="S55" s="97"/>
      <c r="T55" s="316">
        <f t="shared" ref="T55" si="93">+T56+T57</f>
        <v>85120000000</v>
      </c>
      <c r="U55" s="339">
        <f t="shared" si="51"/>
        <v>18.492241847581099</v>
      </c>
    </row>
    <row r="56" spans="1:153" s="64" customFormat="1" ht="13.5" customHeight="1" x14ac:dyDescent="0.25">
      <c r="A56" s="74"/>
      <c r="B56" s="222"/>
      <c r="C56" s="63" t="s">
        <v>30</v>
      </c>
      <c r="D56" s="314">
        <v>75617000000</v>
      </c>
      <c r="E56" s="314">
        <v>65287736422</v>
      </c>
      <c r="F56" s="311">
        <f t="shared" si="2"/>
        <v>0.86340024626737377</v>
      </c>
      <c r="G56" s="314">
        <f>+E56</f>
        <v>65287736422</v>
      </c>
      <c r="H56" s="312">
        <f t="shared" si="3"/>
        <v>0.86340024626737377</v>
      </c>
      <c r="I56" s="315">
        <f>+'[2]COMPARATIVO RECAUDOS'!$F$30</f>
        <v>71835926701</v>
      </c>
      <c r="J56" s="315">
        <v>78120000000</v>
      </c>
      <c r="K56" s="89">
        <f t="shared" si="5"/>
        <v>0.19654937176954895</v>
      </c>
      <c r="L56" s="80"/>
      <c r="M56" s="97"/>
      <c r="N56" s="80"/>
      <c r="O56" s="97"/>
      <c r="P56" s="80">
        <f>+J56*Q56</f>
        <v>7812000000</v>
      </c>
      <c r="Q56" s="97">
        <v>0.1</v>
      </c>
      <c r="R56" s="80">
        <f>+J56*S56</f>
        <v>70308000000</v>
      </c>
      <c r="S56" s="97">
        <v>0.9</v>
      </c>
      <c r="T56" s="314">
        <f>85120000000-6118210716</f>
        <v>79001789284</v>
      </c>
      <c r="U56" s="340">
        <f t="shared" si="51"/>
        <v>19.654937176954903</v>
      </c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2"/>
      <c r="BE56" s="62"/>
      <c r="BF56" s="62"/>
      <c r="BG56" s="62"/>
      <c r="BH56" s="62"/>
      <c r="BI56" s="62"/>
      <c r="BJ56" s="62"/>
      <c r="BK56" s="62"/>
      <c r="BL56" s="62"/>
      <c r="BM56" s="62"/>
      <c r="BN56" s="62"/>
      <c r="BO56" s="62"/>
      <c r="BP56" s="62"/>
      <c r="BQ56" s="62"/>
      <c r="BR56" s="62"/>
      <c r="BS56" s="62"/>
      <c r="BT56" s="62"/>
      <c r="BU56" s="62"/>
      <c r="BV56" s="62"/>
      <c r="BW56" s="62"/>
      <c r="BX56" s="62"/>
      <c r="BY56" s="62"/>
      <c r="BZ56" s="62"/>
      <c r="CA56" s="62"/>
      <c r="CB56" s="62"/>
      <c r="CC56" s="62"/>
      <c r="CD56" s="62"/>
      <c r="CE56" s="62"/>
      <c r="CF56" s="62"/>
      <c r="CG56" s="62"/>
      <c r="CH56" s="62"/>
      <c r="CI56" s="62"/>
      <c r="CJ56" s="62"/>
      <c r="CK56" s="62"/>
      <c r="CL56" s="62"/>
      <c r="CM56" s="62"/>
      <c r="CN56" s="62"/>
      <c r="CO56" s="62"/>
      <c r="CP56" s="62"/>
      <c r="CQ56" s="62"/>
      <c r="CR56" s="62"/>
      <c r="CS56" s="62"/>
      <c r="CT56" s="62"/>
      <c r="CU56" s="62"/>
      <c r="CV56" s="62"/>
      <c r="CW56" s="62"/>
      <c r="CX56" s="62"/>
      <c r="CY56" s="62"/>
      <c r="CZ56" s="62"/>
      <c r="DA56" s="62"/>
      <c r="DB56" s="62"/>
      <c r="DC56" s="62"/>
      <c r="DD56" s="62"/>
      <c r="DE56" s="62"/>
      <c r="DF56" s="62"/>
      <c r="DG56" s="62"/>
      <c r="DH56" s="62"/>
      <c r="DI56" s="62"/>
      <c r="DJ56" s="62"/>
      <c r="DK56" s="62"/>
      <c r="DL56" s="62"/>
      <c r="DM56" s="62"/>
      <c r="DN56" s="62"/>
      <c r="DO56" s="62"/>
      <c r="DP56" s="62"/>
      <c r="DQ56" s="62"/>
      <c r="DR56" s="62"/>
      <c r="DS56" s="62"/>
      <c r="DT56" s="62"/>
      <c r="DU56" s="62"/>
      <c r="DV56" s="62"/>
      <c r="DW56" s="62"/>
      <c r="DX56" s="62"/>
      <c r="DY56" s="62"/>
      <c r="DZ56" s="62"/>
      <c r="EA56" s="62"/>
      <c r="EB56" s="62"/>
      <c r="EC56" s="62"/>
      <c r="ED56" s="62"/>
      <c r="EE56" s="62"/>
      <c r="EF56" s="62"/>
      <c r="EG56" s="62"/>
      <c r="EH56" s="62"/>
      <c r="EI56" s="62"/>
      <c r="EJ56" s="62"/>
      <c r="EK56" s="62"/>
      <c r="EL56" s="62"/>
      <c r="EM56" s="62"/>
      <c r="EN56" s="62"/>
      <c r="EO56" s="62"/>
      <c r="EP56" s="62"/>
      <c r="EQ56" s="62"/>
      <c r="ER56" s="62"/>
      <c r="ES56" s="62"/>
      <c r="ET56" s="62"/>
      <c r="EU56" s="62"/>
      <c r="EV56" s="62"/>
      <c r="EW56" s="62"/>
    </row>
    <row r="57" spans="1:153" ht="13.5" customHeight="1" x14ac:dyDescent="0.25">
      <c r="A57" s="75"/>
      <c r="B57" s="227"/>
      <c r="C57" s="66" t="s">
        <v>32</v>
      </c>
      <c r="D57" s="316">
        <v>8200000000</v>
      </c>
      <c r="E57" s="316">
        <v>6548190279</v>
      </c>
      <c r="F57" s="311">
        <f t="shared" si="2"/>
        <v>0.79855979012195122</v>
      </c>
      <c r="G57" s="316">
        <f>+E57</f>
        <v>6548190279</v>
      </c>
      <c r="H57" s="312">
        <f t="shared" si="3"/>
        <v>0.79855979012195122</v>
      </c>
      <c r="I57" s="318"/>
      <c r="J57" s="318">
        <v>7000000000</v>
      </c>
      <c r="K57" s="89">
        <f t="shared" si="5"/>
        <v>6.8997646945133925E-2</v>
      </c>
      <c r="L57" s="81"/>
      <c r="M57" s="97"/>
      <c r="N57" s="81"/>
      <c r="O57" s="97"/>
      <c r="P57" s="81">
        <f>+J57*Q57</f>
        <v>700000000</v>
      </c>
      <c r="Q57" s="97">
        <v>0.1</v>
      </c>
      <c r="R57" s="81">
        <f>+J57*S57</f>
        <v>6300000000</v>
      </c>
      <c r="S57" s="97">
        <v>0.9</v>
      </c>
      <c r="T57" s="316">
        <f>3059105358*2</f>
        <v>6118210716</v>
      </c>
      <c r="U57" s="339">
        <f t="shared" si="51"/>
        <v>6.8997646945133937</v>
      </c>
    </row>
    <row r="58" spans="1:153" s="64" customFormat="1" ht="13.5" customHeight="1" x14ac:dyDescent="0.25">
      <c r="A58" s="74"/>
      <c r="B58" s="222"/>
      <c r="C58" s="63" t="s">
        <v>121</v>
      </c>
      <c r="D58" s="314">
        <f>+D59</f>
        <v>163000000</v>
      </c>
      <c r="E58" s="314">
        <f t="shared" ref="E58:T58" si="94">+E59</f>
        <v>78000000</v>
      </c>
      <c r="F58" s="311">
        <f t="shared" si="2"/>
        <v>0.4785276073619632</v>
      </c>
      <c r="G58" s="314">
        <f t="shared" si="94"/>
        <v>163000000</v>
      </c>
      <c r="H58" s="312">
        <f t="shared" si="3"/>
        <v>1</v>
      </c>
      <c r="I58" s="315">
        <f t="shared" si="94"/>
        <v>78000000</v>
      </c>
      <c r="J58" s="315">
        <f t="shared" si="94"/>
        <v>45000000</v>
      </c>
      <c r="K58" s="89">
        <f t="shared" si="5"/>
        <v>-0.7239263803680982</v>
      </c>
      <c r="L58" s="84">
        <f t="shared" si="94"/>
        <v>0</v>
      </c>
      <c r="M58" s="97"/>
      <c r="N58" s="84">
        <f t="shared" si="94"/>
        <v>0</v>
      </c>
      <c r="O58" s="97"/>
      <c r="P58" s="84">
        <f t="shared" si="94"/>
        <v>0</v>
      </c>
      <c r="Q58" s="97"/>
      <c r="R58" s="84">
        <f t="shared" si="94"/>
        <v>45000000</v>
      </c>
      <c r="S58" s="97"/>
      <c r="T58" s="314">
        <f t="shared" si="94"/>
        <v>45000000</v>
      </c>
      <c r="U58" s="340">
        <f t="shared" si="51"/>
        <v>-72.392638036809814</v>
      </c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62"/>
      <c r="BB58" s="62"/>
      <c r="BC58" s="62"/>
      <c r="BD58" s="62"/>
      <c r="BE58" s="62"/>
      <c r="BF58" s="62"/>
      <c r="BG58" s="62"/>
      <c r="BH58" s="62"/>
      <c r="BI58" s="62"/>
      <c r="BJ58" s="62"/>
      <c r="BK58" s="62"/>
      <c r="BL58" s="62"/>
      <c r="BM58" s="62"/>
      <c r="BN58" s="62"/>
      <c r="BO58" s="62"/>
      <c r="BP58" s="62"/>
      <c r="BQ58" s="62"/>
      <c r="BR58" s="62"/>
      <c r="BS58" s="62"/>
      <c r="BT58" s="62"/>
      <c r="BU58" s="62"/>
      <c r="BV58" s="62"/>
      <c r="BW58" s="62"/>
      <c r="BX58" s="62"/>
      <c r="BY58" s="62"/>
      <c r="BZ58" s="62"/>
      <c r="CA58" s="62"/>
      <c r="CB58" s="62"/>
      <c r="CC58" s="62"/>
      <c r="CD58" s="62"/>
      <c r="CE58" s="62"/>
      <c r="CF58" s="62"/>
      <c r="CG58" s="62"/>
      <c r="CH58" s="62"/>
      <c r="CI58" s="62"/>
      <c r="CJ58" s="62"/>
      <c r="CK58" s="62"/>
      <c r="CL58" s="62"/>
      <c r="CM58" s="62"/>
      <c r="CN58" s="62"/>
      <c r="CO58" s="62"/>
      <c r="CP58" s="62"/>
      <c r="CQ58" s="62"/>
      <c r="CR58" s="62"/>
      <c r="CS58" s="62"/>
      <c r="CT58" s="62"/>
      <c r="CU58" s="62"/>
      <c r="CV58" s="62"/>
      <c r="CW58" s="62"/>
      <c r="CX58" s="62"/>
      <c r="CY58" s="62"/>
      <c r="CZ58" s="62"/>
      <c r="DA58" s="62"/>
      <c r="DB58" s="62"/>
      <c r="DC58" s="62"/>
      <c r="DD58" s="62"/>
      <c r="DE58" s="62"/>
      <c r="DF58" s="62"/>
      <c r="DG58" s="62"/>
      <c r="DH58" s="62"/>
      <c r="DI58" s="62"/>
      <c r="DJ58" s="62"/>
      <c r="DK58" s="62"/>
      <c r="DL58" s="62"/>
      <c r="DM58" s="62"/>
      <c r="DN58" s="62"/>
      <c r="DO58" s="62"/>
      <c r="DP58" s="62"/>
      <c r="DQ58" s="62"/>
      <c r="DR58" s="62"/>
      <c r="DS58" s="62"/>
      <c r="DT58" s="62"/>
      <c r="DU58" s="62"/>
      <c r="DV58" s="62"/>
      <c r="DW58" s="62"/>
      <c r="DX58" s="62"/>
      <c r="DY58" s="62"/>
      <c r="DZ58" s="62"/>
      <c r="EA58" s="62"/>
      <c r="EB58" s="62"/>
      <c r="EC58" s="62"/>
      <c r="ED58" s="62"/>
      <c r="EE58" s="62"/>
      <c r="EF58" s="62"/>
      <c r="EG58" s="62"/>
      <c r="EH58" s="62"/>
      <c r="EI58" s="62"/>
      <c r="EJ58" s="62"/>
      <c r="EK58" s="62"/>
      <c r="EL58" s="62"/>
      <c r="EM58" s="62"/>
      <c r="EN58" s="62"/>
      <c r="EO58" s="62"/>
      <c r="EP58" s="62"/>
      <c r="EQ58" s="62"/>
      <c r="ER58" s="62"/>
      <c r="ES58" s="62"/>
      <c r="ET58" s="62"/>
      <c r="EU58" s="62"/>
      <c r="EV58" s="62"/>
      <c r="EW58" s="62"/>
    </row>
    <row r="59" spans="1:153" ht="13.5" customHeight="1" x14ac:dyDescent="0.25">
      <c r="A59" s="75"/>
      <c r="B59" s="227">
        <v>62</v>
      </c>
      <c r="C59" s="66" t="s">
        <v>121</v>
      </c>
      <c r="D59" s="316">
        <v>163000000</v>
      </c>
      <c r="E59" s="316">
        <v>78000000</v>
      </c>
      <c r="F59" s="311">
        <f t="shared" si="2"/>
        <v>0.4785276073619632</v>
      </c>
      <c r="G59" s="316">
        <v>163000000</v>
      </c>
      <c r="H59" s="312">
        <f t="shared" si="3"/>
        <v>1</v>
      </c>
      <c r="I59" s="318">
        <f>+'[2]COMPARATIVO RECAUDOS'!$F$31</f>
        <v>78000000</v>
      </c>
      <c r="J59" s="318">
        <v>45000000</v>
      </c>
      <c r="K59" s="89">
        <f t="shared" si="5"/>
        <v>-0.7239263803680982</v>
      </c>
      <c r="L59" s="81"/>
      <c r="M59" s="97"/>
      <c r="N59" s="81"/>
      <c r="O59" s="97"/>
      <c r="P59" s="81"/>
      <c r="Q59" s="97"/>
      <c r="R59" s="81">
        <f>+S59*J59</f>
        <v>45000000</v>
      </c>
      <c r="S59" s="97">
        <v>1</v>
      </c>
      <c r="T59" s="316">
        <f>+J59</f>
        <v>45000000</v>
      </c>
      <c r="U59" s="339">
        <f t="shared" si="51"/>
        <v>-72.392638036809814</v>
      </c>
    </row>
    <row r="60" spans="1:153" s="64" customFormat="1" x14ac:dyDescent="0.25">
      <c r="A60" s="74" t="s">
        <v>85</v>
      </c>
      <c r="B60" s="222"/>
      <c r="C60" s="63" t="s">
        <v>86</v>
      </c>
      <c r="D60" s="314">
        <f>+D61+D63+D64</f>
        <v>17718920085</v>
      </c>
      <c r="E60" s="314">
        <f>+E61+E63</f>
        <v>21006549026.880001</v>
      </c>
      <c r="F60" s="311">
        <f t="shared" si="2"/>
        <v>1.1855434149546817</v>
      </c>
      <c r="G60" s="314">
        <f t="shared" ref="G60" si="95">+G61+G63+G64</f>
        <v>22886621651.456001</v>
      </c>
      <c r="H60" s="312">
        <f t="shared" si="3"/>
        <v>1.2916487879433878</v>
      </c>
      <c r="I60" s="315">
        <f>+I61+I63+I64</f>
        <v>22982418742.060001</v>
      </c>
      <c r="J60" s="315">
        <f>+J61+J63+J64</f>
        <v>504375319.82880008</v>
      </c>
      <c r="K60" s="89">
        <f t="shared" si="5"/>
        <v>-0.97796200210279993</v>
      </c>
      <c r="L60" s="84">
        <f>+L61+L63+L64</f>
        <v>0</v>
      </c>
      <c r="M60" s="97"/>
      <c r="N60" s="84">
        <f>+N61+N63+N64</f>
        <v>0</v>
      </c>
      <c r="O60" s="98"/>
      <c r="P60" s="84">
        <f>+P61+P63+P64</f>
        <v>50437531.982880011</v>
      </c>
      <c r="Q60" s="97"/>
      <c r="R60" s="84">
        <f>+R61+R63+R64</f>
        <v>453937787.84592009</v>
      </c>
      <c r="S60" s="97"/>
      <c r="T60" s="314">
        <f t="shared" ref="T60" si="96">+T61+T63+T64</f>
        <v>504375319.82880008</v>
      </c>
      <c r="U60" s="340">
        <f t="shared" si="51"/>
        <v>-97.796200210279991</v>
      </c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2"/>
      <c r="BK60" s="62"/>
      <c r="BL60" s="62"/>
      <c r="BM60" s="62"/>
      <c r="BN60" s="62"/>
      <c r="BO60" s="62"/>
      <c r="BP60" s="62"/>
      <c r="BQ60" s="62"/>
      <c r="BR60" s="62"/>
      <c r="BS60" s="62"/>
      <c r="BT60" s="62"/>
      <c r="BU60" s="62"/>
      <c r="BV60" s="62"/>
      <c r="BW60" s="62"/>
      <c r="BX60" s="62"/>
      <c r="BY60" s="62"/>
      <c r="BZ60" s="62"/>
      <c r="CA60" s="62"/>
      <c r="CB60" s="62"/>
      <c r="CC60" s="62"/>
      <c r="CD60" s="62"/>
      <c r="CE60" s="62"/>
      <c r="CF60" s="62"/>
      <c r="CG60" s="62"/>
      <c r="CH60" s="62"/>
      <c r="CI60" s="62"/>
      <c r="CJ60" s="62"/>
      <c r="CK60" s="62"/>
      <c r="CL60" s="62"/>
      <c r="CM60" s="62"/>
      <c r="CN60" s="62"/>
      <c r="CO60" s="62"/>
      <c r="CP60" s="62"/>
      <c r="CQ60" s="62"/>
      <c r="CR60" s="62"/>
      <c r="CS60" s="62"/>
      <c r="CT60" s="62"/>
      <c r="CU60" s="62"/>
      <c r="CV60" s="62"/>
      <c r="CW60" s="62"/>
      <c r="CX60" s="62"/>
      <c r="CY60" s="62"/>
      <c r="CZ60" s="62"/>
      <c r="DA60" s="62"/>
      <c r="DB60" s="62"/>
      <c r="DC60" s="62"/>
      <c r="DD60" s="62"/>
      <c r="DE60" s="62"/>
      <c r="DF60" s="62"/>
      <c r="DG60" s="62"/>
      <c r="DH60" s="62"/>
      <c r="DI60" s="62"/>
      <c r="DJ60" s="62"/>
      <c r="DK60" s="62"/>
      <c r="DL60" s="62"/>
      <c r="DM60" s="62"/>
      <c r="DN60" s="62"/>
      <c r="DO60" s="62"/>
      <c r="DP60" s="62"/>
      <c r="DQ60" s="62"/>
      <c r="DR60" s="62"/>
      <c r="DS60" s="62"/>
      <c r="DT60" s="62"/>
      <c r="DU60" s="62"/>
      <c r="DV60" s="62"/>
      <c r="DW60" s="62"/>
      <c r="DX60" s="62"/>
      <c r="DY60" s="62"/>
      <c r="DZ60" s="62"/>
      <c r="EA60" s="62"/>
      <c r="EB60" s="62"/>
      <c r="EC60" s="62"/>
      <c r="ED60" s="62"/>
      <c r="EE60" s="62"/>
      <c r="EF60" s="62"/>
      <c r="EG60" s="62"/>
      <c r="EH60" s="62"/>
      <c r="EI60" s="62"/>
      <c r="EJ60" s="62"/>
      <c r="EK60" s="62"/>
      <c r="EL60" s="62"/>
      <c r="EM60" s="62"/>
      <c r="EN60" s="62"/>
      <c r="EO60" s="62"/>
      <c r="EP60" s="62"/>
      <c r="EQ60" s="62"/>
      <c r="ER60" s="62"/>
      <c r="ES60" s="62"/>
      <c r="ET60" s="62"/>
      <c r="EU60" s="62"/>
      <c r="EV60" s="62"/>
      <c r="EW60" s="62"/>
    </row>
    <row r="61" spans="1:153" x14ac:dyDescent="0.25">
      <c r="A61" s="75" t="s">
        <v>87</v>
      </c>
      <c r="B61" s="227"/>
      <c r="C61" s="66" t="s">
        <v>88</v>
      </c>
      <c r="D61" s="316">
        <f>+D62</f>
        <v>245599803</v>
      </c>
      <c r="E61" s="316">
        <f t="shared" ref="E61:G61" si="97">+E62</f>
        <v>400297872.88</v>
      </c>
      <c r="F61" s="311">
        <f t="shared" si="2"/>
        <v>1.629878639927085</v>
      </c>
      <c r="G61" s="316">
        <f t="shared" si="97"/>
        <v>480357447.45600003</v>
      </c>
      <c r="H61" s="312">
        <f t="shared" si="3"/>
        <v>1.955854367912502</v>
      </c>
      <c r="I61" s="318">
        <f>+I62</f>
        <v>576167588.05999994</v>
      </c>
      <c r="J61" s="318">
        <f>+J62</f>
        <v>504375319.82880008</v>
      </c>
      <c r="K61" s="89">
        <f t="shared" si="5"/>
        <v>5.0000000000000107E-2</v>
      </c>
      <c r="L61" s="87">
        <f>+L62</f>
        <v>0</v>
      </c>
      <c r="M61" s="97"/>
      <c r="N61" s="87">
        <f>+N62</f>
        <v>0</v>
      </c>
      <c r="O61" s="98"/>
      <c r="P61" s="87">
        <f>+P62</f>
        <v>50437531.982880011</v>
      </c>
      <c r="Q61" s="97"/>
      <c r="R61" s="87">
        <f>+R62</f>
        <v>453937787.84592009</v>
      </c>
      <c r="S61" s="97"/>
      <c r="T61" s="316">
        <f t="shared" ref="T61" si="98">+T62</f>
        <v>504375319.82880008</v>
      </c>
      <c r="U61" s="339">
        <f t="shared" si="51"/>
        <v>5</v>
      </c>
    </row>
    <row r="62" spans="1:153" s="64" customFormat="1" x14ac:dyDescent="0.25">
      <c r="A62" s="63" t="s">
        <v>89</v>
      </c>
      <c r="B62" s="224">
        <v>71</v>
      </c>
      <c r="C62" s="63" t="s">
        <v>90</v>
      </c>
      <c r="D62" s="314">
        <v>245599803</v>
      </c>
      <c r="E62" s="314">
        <v>400297872.88</v>
      </c>
      <c r="F62" s="311">
        <f t="shared" si="2"/>
        <v>1.629878639927085</v>
      </c>
      <c r="G62" s="314">
        <f>+(E62/10)*12</f>
        <v>480357447.45600003</v>
      </c>
      <c r="H62" s="312">
        <f t="shared" si="3"/>
        <v>1.955854367912502</v>
      </c>
      <c r="I62" s="315">
        <f>+'[2]COMPARATIVO RECAUDOS'!$F$33</f>
        <v>576167588.05999994</v>
      </c>
      <c r="J62" s="315">
        <f>+G62*1.05</f>
        <v>504375319.82880008</v>
      </c>
      <c r="K62" s="89">
        <f t="shared" si="5"/>
        <v>5.0000000000000107E-2</v>
      </c>
      <c r="L62" s="80"/>
      <c r="M62" s="97"/>
      <c r="N62" s="80"/>
      <c r="O62" s="98"/>
      <c r="P62" s="80">
        <f>+J62*Q62</f>
        <v>50437531.982880011</v>
      </c>
      <c r="Q62" s="97">
        <v>0.1</v>
      </c>
      <c r="R62" s="80">
        <f>+J62*S62</f>
        <v>453937787.84592009</v>
      </c>
      <c r="S62" s="97">
        <v>0.9</v>
      </c>
      <c r="T62" s="314">
        <f>+J62</f>
        <v>504375319.82880008</v>
      </c>
      <c r="U62" s="340">
        <f t="shared" si="51"/>
        <v>5</v>
      </c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62"/>
      <c r="BA62" s="62"/>
      <c r="BB62" s="62"/>
      <c r="BC62" s="62"/>
      <c r="BD62" s="62"/>
      <c r="BE62" s="62"/>
      <c r="BF62" s="62"/>
      <c r="BG62" s="62"/>
      <c r="BH62" s="62"/>
      <c r="BI62" s="62"/>
      <c r="BJ62" s="62"/>
      <c r="BK62" s="62"/>
      <c r="BL62" s="62"/>
      <c r="BM62" s="62"/>
      <c r="BN62" s="62"/>
      <c r="BO62" s="62"/>
      <c r="BP62" s="62"/>
      <c r="BQ62" s="62"/>
      <c r="BR62" s="62"/>
      <c r="BS62" s="62"/>
      <c r="BT62" s="62"/>
      <c r="BU62" s="62"/>
      <c r="BV62" s="62"/>
      <c r="BW62" s="62"/>
      <c r="BX62" s="62"/>
      <c r="BY62" s="62"/>
      <c r="BZ62" s="62"/>
      <c r="CA62" s="62"/>
      <c r="CB62" s="62"/>
      <c r="CC62" s="62"/>
      <c r="CD62" s="62"/>
      <c r="CE62" s="62"/>
      <c r="CF62" s="62"/>
      <c r="CG62" s="62"/>
      <c r="CH62" s="62"/>
      <c r="CI62" s="62"/>
      <c r="CJ62" s="62"/>
      <c r="CK62" s="62"/>
      <c r="CL62" s="62"/>
      <c r="CM62" s="62"/>
      <c r="CN62" s="62"/>
      <c r="CO62" s="62"/>
      <c r="CP62" s="62"/>
      <c r="CQ62" s="62"/>
      <c r="CR62" s="62"/>
      <c r="CS62" s="62"/>
      <c r="CT62" s="62"/>
      <c r="CU62" s="62"/>
      <c r="CV62" s="62"/>
      <c r="CW62" s="62"/>
      <c r="CX62" s="62"/>
      <c r="CY62" s="62"/>
      <c r="CZ62" s="62"/>
      <c r="DA62" s="62"/>
      <c r="DB62" s="62"/>
      <c r="DC62" s="62"/>
      <c r="DD62" s="62"/>
      <c r="DE62" s="62"/>
      <c r="DF62" s="62"/>
      <c r="DG62" s="62"/>
      <c r="DH62" s="62"/>
      <c r="DI62" s="62"/>
      <c r="DJ62" s="62"/>
      <c r="DK62" s="62"/>
      <c r="DL62" s="62"/>
      <c r="DM62" s="62"/>
      <c r="DN62" s="62"/>
      <c r="DO62" s="62"/>
      <c r="DP62" s="62"/>
      <c r="DQ62" s="62"/>
      <c r="DR62" s="62"/>
      <c r="DS62" s="62"/>
      <c r="DT62" s="62"/>
      <c r="DU62" s="62"/>
      <c r="DV62" s="62"/>
      <c r="DW62" s="62"/>
      <c r="DX62" s="62"/>
      <c r="DY62" s="62"/>
      <c r="DZ62" s="62"/>
      <c r="EA62" s="62"/>
      <c r="EB62" s="62"/>
      <c r="EC62" s="62"/>
      <c r="ED62" s="62"/>
      <c r="EE62" s="62"/>
      <c r="EF62" s="62"/>
      <c r="EG62" s="62"/>
      <c r="EH62" s="62"/>
      <c r="EI62" s="62"/>
      <c r="EJ62" s="62"/>
      <c r="EK62" s="62"/>
      <c r="EL62" s="62"/>
      <c r="EM62" s="62"/>
      <c r="EN62" s="62"/>
      <c r="EO62" s="62"/>
      <c r="EP62" s="62"/>
      <c r="EQ62" s="62"/>
      <c r="ER62" s="62"/>
      <c r="ES62" s="62"/>
      <c r="ET62" s="62"/>
      <c r="EU62" s="62"/>
      <c r="EV62" s="62"/>
      <c r="EW62" s="62"/>
    </row>
    <row r="63" spans="1:153" x14ac:dyDescent="0.25">
      <c r="A63" s="75" t="s">
        <v>91</v>
      </c>
      <c r="B63" s="227"/>
      <c r="C63" s="66" t="s">
        <v>92</v>
      </c>
      <c r="D63" s="316">
        <f>+D65</f>
        <v>17473320282</v>
      </c>
      <c r="E63" s="316">
        <f t="shared" ref="E63:G63" si="99">+E65</f>
        <v>20606251154</v>
      </c>
      <c r="F63" s="311">
        <f t="shared" si="2"/>
        <v>1.1792979709315672</v>
      </c>
      <c r="G63" s="316">
        <f t="shared" si="99"/>
        <v>22406264204</v>
      </c>
      <c r="H63" s="312">
        <f t="shared" si="3"/>
        <v>1.2823129114780567</v>
      </c>
      <c r="I63" s="317">
        <f>+I65</f>
        <v>22406251154</v>
      </c>
      <c r="J63" s="317">
        <f>+J65</f>
        <v>0</v>
      </c>
      <c r="K63" s="89">
        <f t="shared" si="5"/>
        <v>-1</v>
      </c>
      <c r="L63" s="85">
        <f>+L65</f>
        <v>0</v>
      </c>
      <c r="M63" s="97"/>
      <c r="N63" s="85">
        <f>+N65</f>
        <v>0</v>
      </c>
      <c r="O63" s="98"/>
      <c r="P63" s="85">
        <f>+P65</f>
        <v>0</v>
      </c>
      <c r="Q63" s="97"/>
      <c r="R63" s="85">
        <f>+R65</f>
        <v>0</v>
      </c>
      <c r="S63" s="97"/>
      <c r="T63" s="316">
        <f t="shared" ref="T63" si="100">+T65</f>
        <v>0</v>
      </c>
      <c r="U63" s="339">
        <f t="shared" si="51"/>
        <v>-100</v>
      </c>
    </row>
    <row r="64" spans="1:153" hidden="1" x14ac:dyDescent="0.25">
      <c r="A64" s="75" t="s">
        <v>93</v>
      </c>
      <c r="B64" s="227">
        <v>72</v>
      </c>
      <c r="C64" s="66" t="s">
        <v>94</v>
      </c>
      <c r="D64" s="316">
        <v>0</v>
      </c>
      <c r="E64" s="316"/>
      <c r="F64" s="311">
        <v>0</v>
      </c>
      <c r="G64" s="316"/>
      <c r="H64" s="312">
        <v>0</v>
      </c>
      <c r="I64" s="318"/>
      <c r="J64" s="318"/>
      <c r="K64" s="89">
        <v>0</v>
      </c>
      <c r="L64" s="81"/>
      <c r="M64" s="97"/>
      <c r="N64" s="81"/>
      <c r="O64" s="98"/>
      <c r="P64" s="81"/>
      <c r="Q64" s="97"/>
      <c r="R64" s="81"/>
      <c r="S64" s="97"/>
      <c r="T64" s="316"/>
      <c r="U64" s="339" t="e">
        <f t="shared" si="51"/>
        <v>#DIV/0!</v>
      </c>
    </row>
    <row r="65" spans="1:153" s="64" customFormat="1" x14ac:dyDescent="0.25">
      <c r="A65" s="63" t="s">
        <v>95</v>
      </c>
      <c r="B65" s="224"/>
      <c r="C65" s="63" t="s">
        <v>96</v>
      </c>
      <c r="D65" s="314">
        <f>+D66</f>
        <v>17473320282</v>
      </c>
      <c r="E65" s="314">
        <f t="shared" ref="E65:T65" si="101">+E66</f>
        <v>20606251154</v>
      </c>
      <c r="F65" s="311">
        <f t="shared" si="2"/>
        <v>1.1792979709315672</v>
      </c>
      <c r="G65" s="314">
        <f t="shared" si="101"/>
        <v>22406264204</v>
      </c>
      <c r="H65" s="312">
        <f t="shared" si="3"/>
        <v>1.2823129114780567</v>
      </c>
      <c r="I65" s="315">
        <f t="shared" si="101"/>
        <v>22406251154</v>
      </c>
      <c r="J65" s="315">
        <f t="shared" si="101"/>
        <v>0</v>
      </c>
      <c r="K65" s="89">
        <f t="shared" si="5"/>
        <v>-1</v>
      </c>
      <c r="L65" s="84">
        <f t="shared" si="101"/>
        <v>0</v>
      </c>
      <c r="M65" s="97"/>
      <c r="N65" s="84">
        <f t="shared" si="101"/>
        <v>0</v>
      </c>
      <c r="O65" s="98"/>
      <c r="P65" s="84">
        <f t="shared" si="101"/>
        <v>0</v>
      </c>
      <c r="Q65" s="97"/>
      <c r="R65" s="84">
        <f t="shared" si="101"/>
        <v>0</v>
      </c>
      <c r="S65" s="97"/>
      <c r="T65" s="314">
        <f t="shared" si="101"/>
        <v>0</v>
      </c>
      <c r="U65" s="340">
        <f t="shared" si="51"/>
        <v>-100</v>
      </c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62"/>
      <c r="BD65" s="62"/>
      <c r="BE65" s="62"/>
      <c r="BF65" s="62"/>
      <c r="BG65" s="62"/>
      <c r="BH65" s="62"/>
      <c r="BI65" s="62"/>
      <c r="BJ65" s="62"/>
      <c r="BK65" s="62"/>
      <c r="BL65" s="62"/>
      <c r="BM65" s="62"/>
      <c r="BN65" s="62"/>
      <c r="BO65" s="62"/>
      <c r="BP65" s="62"/>
      <c r="BQ65" s="62"/>
      <c r="BR65" s="62"/>
      <c r="BS65" s="62"/>
      <c r="BT65" s="62"/>
      <c r="BU65" s="62"/>
      <c r="BV65" s="62"/>
      <c r="BW65" s="62"/>
      <c r="BX65" s="62"/>
      <c r="BY65" s="62"/>
      <c r="BZ65" s="62"/>
      <c r="CA65" s="62"/>
      <c r="CB65" s="62"/>
      <c r="CC65" s="62"/>
      <c r="CD65" s="62"/>
      <c r="CE65" s="62"/>
      <c r="CF65" s="62"/>
      <c r="CG65" s="62"/>
      <c r="CH65" s="62"/>
      <c r="CI65" s="62"/>
      <c r="CJ65" s="62"/>
      <c r="CK65" s="62"/>
      <c r="CL65" s="62"/>
      <c r="CM65" s="62"/>
      <c r="CN65" s="62"/>
      <c r="CO65" s="62"/>
      <c r="CP65" s="62"/>
      <c r="CQ65" s="62"/>
      <c r="CR65" s="62"/>
      <c r="CS65" s="62"/>
      <c r="CT65" s="62"/>
      <c r="CU65" s="62"/>
      <c r="CV65" s="62"/>
      <c r="CW65" s="62"/>
      <c r="CX65" s="62"/>
      <c r="CY65" s="62"/>
      <c r="CZ65" s="62"/>
      <c r="DA65" s="62"/>
      <c r="DB65" s="62"/>
      <c r="DC65" s="62"/>
      <c r="DD65" s="62"/>
      <c r="DE65" s="62"/>
      <c r="DF65" s="62"/>
      <c r="DG65" s="62"/>
      <c r="DH65" s="62"/>
      <c r="DI65" s="62"/>
      <c r="DJ65" s="62"/>
      <c r="DK65" s="62"/>
      <c r="DL65" s="62"/>
      <c r="DM65" s="62"/>
      <c r="DN65" s="62"/>
      <c r="DO65" s="62"/>
      <c r="DP65" s="62"/>
      <c r="DQ65" s="62"/>
      <c r="DR65" s="62"/>
      <c r="DS65" s="62"/>
      <c r="DT65" s="62"/>
      <c r="DU65" s="62"/>
      <c r="DV65" s="62"/>
      <c r="DW65" s="62"/>
      <c r="DX65" s="62"/>
      <c r="DY65" s="62"/>
      <c r="DZ65" s="62"/>
      <c r="EA65" s="62"/>
      <c r="EB65" s="62"/>
      <c r="EC65" s="62"/>
      <c r="ED65" s="62"/>
      <c r="EE65" s="62"/>
      <c r="EF65" s="62"/>
      <c r="EG65" s="62"/>
      <c r="EH65" s="62"/>
      <c r="EI65" s="62"/>
      <c r="EJ65" s="62"/>
      <c r="EK65" s="62"/>
      <c r="EL65" s="62"/>
      <c r="EM65" s="62"/>
      <c r="EN65" s="62"/>
      <c r="EO65" s="62"/>
      <c r="EP65" s="62"/>
      <c r="EQ65" s="62"/>
      <c r="ER65" s="62"/>
      <c r="ES65" s="62"/>
      <c r="ET65" s="62"/>
      <c r="EU65" s="62"/>
      <c r="EV65" s="62"/>
      <c r="EW65" s="62"/>
    </row>
    <row r="66" spans="1:153" x14ac:dyDescent="0.25">
      <c r="A66" s="75" t="s">
        <v>97</v>
      </c>
      <c r="B66" s="227">
        <v>81</v>
      </c>
      <c r="C66" s="66" t="s">
        <v>98</v>
      </c>
      <c r="D66" s="316">
        <f>+D67</f>
        <v>17473320282</v>
      </c>
      <c r="E66" s="316">
        <f>+E67+E68</f>
        <v>20606251154</v>
      </c>
      <c r="F66" s="311">
        <f t="shared" si="2"/>
        <v>1.1792979709315672</v>
      </c>
      <c r="G66" s="316">
        <f>+G67+G68</f>
        <v>22406264204</v>
      </c>
      <c r="H66" s="312">
        <f t="shared" si="3"/>
        <v>1.2823129114780567</v>
      </c>
      <c r="I66" s="317">
        <f>+I67+I68</f>
        <v>22406251154</v>
      </c>
      <c r="J66" s="317">
        <f>+J67+J68</f>
        <v>0</v>
      </c>
      <c r="K66" s="89">
        <f t="shared" si="5"/>
        <v>-1</v>
      </c>
      <c r="L66" s="85">
        <f>+L67+L68</f>
        <v>0</v>
      </c>
      <c r="M66" s="97"/>
      <c r="N66" s="85">
        <f>+N67+N68</f>
        <v>0</v>
      </c>
      <c r="O66" s="98"/>
      <c r="P66" s="85">
        <f>+P67+P68</f>
        <v>0</v>
      </c>
      <c r="Q66" s="97"/>
      <c r="R66" s="85">
        <f>+R67+R68</f>
        <v>0</v>
      </c>
      <c r="S66" s="97"/>
      <c r="T66" s="316">
        <f>+T67+T68</f>
        <v>0</v>
      </c>
      <c r="U66" s="339">
        <f t="shared" si="51"/>
        <v>-100</v>
      </c>
    </row>
    <row r="67" spans="1:153" s="64" customFormat="1" x14ac:dyDescent="0.25">
      <c r="A67" s="74"/>
      <c r="B67" s="222"/>
      <c r="C67" s="63" t="s">
        <v>30</v>
      </c>
      <c r="D67" s="314">
        <v>17473320282</v>
      </c>
      <c r="E67" s="314">
        <v>15673307232</v>
      </c>
      <c r="F67" s="311">
        <f t="shared" si="2"/>
        <v>0.89698505945351048</v>
      </c>
      <c r="G67" s="314">
        <f>+D67</f>
        <v>17473320282</v>
      </c>
      <c r="H67" s="312">
        <f t="shared" si="3"/>
        <v>1</v>
      </c>
      <c r="I67" s="315">
        <f>+'[2]COMPARATIVO RECAUDOS'!$F$37</f>
        <v>22406251154</v>
      </c>
      <c r="J67" s="315">
        <v>0</v>
      </c>
      <c r="K67" s="89">
        <f t="shared" si="5"/>
        <v>-1</v>
      </c>
      <c r="L67" s="80"/>
      <c r="M67" s="97"/>
      <c r="N67" s="80"/>
      <c r="O67" s="98"/>
      <c r="P67" s="80"/>
      <c r="Q67" s="97"/>
      <c r="R67" s="80">
        <f>+J67*S67</f>
        <v>0</v>
      </c>
      <c r="S67" s="97">
        <v>1</v>
      </c>
      <c r="T67" s="314">
        <f>+Q67</f>
        <v>0</v>
      </c>
      <c r="U67" s="340">
        <f t="shared" si="51"/>
        <v>-100</v>
      </c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  <c r="BB67" s="62"/>
      <c r="BC67" s="62"/>
      <c r="BD67" s="62"/>
      <c r="BE67" s="62"/>
      <c r="BF67" s="62"/>
      <c r="BG67" s="62"/>
      <c r="BH67" s="62"/>
      <c r="BI67" s="62"/>
      <c r="BJ67" s="62"/>
      <c r="BK67" s="62"/>
      <c r="BL67" s="62"/>
      <c r="BM67" s="62"/>
      <c r="BN67" s="62"/>
      <c r="BO67" s="62"/>
      <c r="BP67" s="62"/>
      <c r="BQ67" s="62"/>
      <c r="BR67" s="62"/>
      <c r="BS67" s="62"/>
      <c r="BT67" s="62"/>
      <c r="BU67" s="62"/>
      <c r="BV67" s="62"/>
      <c r="BW67" s="62"/>
      <c r="BX67" s="62"/>
      <c r="BY67" s="62"/>
      <c r="BZ67" s="62"/>
      <c r="CA67" s="62"/>
      <c r="CB67" s="62"/>
      <c r="CC67" s="62"/>
      <c r="CD67" s="62"/>
      <c r="CE67" s="62"/>
      <c r="CF67" s="62"/>
      <c r="CG67" s="62"/>
      <c r="CH67" s="62"/>
      <c r="CI67" s="62"/>
      <c r="CJ67" s="62"/>
      <c r="CK67" s="62"/>
      <c r="CL67" s="62"/>
      <c r="CM67" s="62"/>
      <c r="CN67" s="62"/>
      <c r="CO67" s="62"/>
      <c r="CP67" s="62"/>
      <c r="CQ67" s="62"/>
      <c r="CR67" s="62"/>
      <c r="CS67" s="62"/>
      <c r="CT67" s="62"/>
      <c r="CU67" s="62"/>
      <c r="CV67" s="62"/>
      <c r="CW67" s="62"/>
      <c r="CX67" s="62"/>
      <c r="CY67" s="62"/>
      <c r="CZ67" s="62"/>
      <c r="DA67" s="62"/>
      <c r="DB67" s="62"/>
      <c r="DC67" s="62"/>
      <c r="DD67" s="62"/>
      <c r="DE67" s="62"/>
      <c r="DF67" s="62"/>
      <c r="DG67" s="62"/>
      <c r="DH67" s="62"/>
      <c r="DI67" s="62"/>
      <c r="DJ67" s="62"/>
      <c r="DK67" s="62"/>
      <c r="DL67" s="62"/>
      <c r="DM67" s="62"/>
      <c r="DN67" s="62"/>
      <c r="DO67" s="62"/>
      <c r="DP67" s="62"/>
      <c r="DQ67" s="62"/>
      <c r="DR67" s="62"/>
      <c r="DS67" s="62"/>
      <c r="DT67" s="62"/>
      <c r="DU67" s="62"/>
      <c r="DV67" s="62"/>
      <c r="DW67" s="62"/>
      <c r="DX67" s="62"/>
      <c r="DY67" s="62"/>
      <c r="DZ67" s="62"/>
      <c r="EA67" s="62"/>
      <c r="EB67" s="62"/>
      <c r="EC67" s="62"/>
      <c r="ED67" s="62"/>
      <c r="EE67" s="62"/>
      <c r="EF67" s="62"/>
      <c r="EG67" s="62"/>
      <c r="EH67" s="62"/>
      <c r="EI67" s="62"/>
      <c r="EJ67" s="62"/>
      <c r="EK67" s="62"/>
      <c r="EL67" s="62"/>
      <c r="EM67" s="62"/>
      <c r="EN67" s="62"/>
      <c r="EO67" s="62"/>
      <c r="EP67" s="62"/>
      <c r="EQ67" s="62"/>
      <c r="ER67" s="62"/>
      <c r="ES67" s="62"/>
      <c r="ET67" s="62"/>
      <c r="EU67" s="62"/>
      <c r="EV67" s="62"/>
      <c r="EW67" s="62"/>
    </row>
    <row r="68" spans="1:153" s="83" customFormat="1" x14ac:dyDescent="0.25">
      <c r="A68" s="82" t="s">
        <v>99</v>
      </c>
      <c r="B68" s="229"/>
      <c r="C68" s="71" t="s">
        <v>39</v>
      </c>
      <c r="D68" s="319">
        <v>0</v>
      </c>
      <c r="E68" s="319">
        <v>4932943922</v>
      </c>
      <c r="F68" s="311">
        <v>0</v>
      </c>
      <c r="G68" s="319">
        <f>+E68</f>
        <v>4932943922</v>
      </c>
      <c r="H68" s="312">
        <v>0</v>
      </c>
      <c r="I68" s="320"/>
      <c r="J68" s="320">
        <v>0</v>
      </c>
      <c r="K68" s="89">
        <f t="shared" si="5"/>
        <v>-1</v>
      </c>
      <c r="L68" s="92"/>
      <c r="M68" s="97"/>
      <c r="N68" s="92"/>
      <c r="O68" s="98"/>
      <c r="P68" s="92"/>
      <c r="Q68" s="98"/>
      <c r="R68" s="92"/>
      <c r="S68" s="97"/>
      <c r="T68" s="319">
        <f>+R68</f>
        <v>0</v>
      </c>
      <c r="U68" s="341">
        <f t="shared" si="51"/>
        <v>-100</v>
      </c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2"/>
      <c r="BB68" s="62"/>
      <c r="BC68" s="62"/>
      <c r="BD68" s="62"/>
      <c r="BE68" s="62"/>
      <c r="BF68" s="62"/>
      <c r="BG68" s="62"/>
      <c r="BH68" s="62"/>
      <c r="BI68" s="62"/>
      <c r="BJ68" s="62"/>
      <c r="BK68" s="62"/>
      <c r="BL68" s="62"/>
      <c r="BM68" s="62"/>
      <c r="BN68" s="62"/>
      <c r="BO68" s="62"/>
      <c r="BP68" s="62"/>
      <c r="BQ68" s="62"/>
      <c r="BR68" s="62"/>
      <c r="BS68" s="62"/>
      <c r="BT68" s="62"/>
      <c r="BU68" s="62"/>
      <c r="BV68" s="62"/>
      <c r="BW68" s="62"/>
      <c r="BX68" s="62"/>
      <c r="BY68" s="62"/>
      <c r="BZ68" s="62"/>
      <c r="CA68" s="62"/>
      <c r="CB68" s="62"/>
      <c r="CC68" s="62"/>
      <c r="CD68" s="62"/>
      <c r="CE68" s="62"/>
      <c r="CF68" s="62"/>
      <c r="CG68" s="62"/>
      <c r="CH68" s="62"/>
      <c r="CI68" s="62"/>
      <c r="CJ68" s="62"/>
      <c r="CK68" s="62"/>
      <c r="CL68" s="62"/>
      <c r="CM68" s="62"/>
      <c r="CN68" s="62"/>
      <c r="CO68" s="62"/>
      <c r="CP68" s="62"/>
      <c r="CQ68" s="62"/>
      <c r="CR68" s="62"/>
      <c r="CS68" s="62"/>
      <c r="CT68" s="62"/>
      <c r="CU68" s="62"/>
      <c r="CV68" s="62"/>
      <c r="CW68" s="62"/>
      <c r="CX68" s="62"/>
      <c r="CY68" s="62"/>
      <c r="CZ68" s="62"/>
      <c r="DA68" s="62"/>
      <c r="DB68" s="62"/>
      <c r="DC68" s="62"/>
      <c r="DD68" s="62"/>
      <c r="DE68" s="62"/>
      <c r="DF68" s="62"/>
      <c r="DG68" s="62"/>
      <c r="DH68" s="62"/>
      <c r="DI68" s="62"/>
      <c r="DJ68" s="62"/>
      <c r="DK68" s="62"/>
      <c r="DL68" s="62"/>
      <c r="DM68" s="62"/>
      <c r="DN68" s="62"/>
      <c r="DO68" s="62"/>
      <c r="DP68" s="62"/>
      <c r="DQ68" s="62"/>
      <c r="DR68" s="62"/>
      <c r="DS68" s="62"/>
      <c r="DT68" s="62"/>
      <c r="DU68" s="62"/>
      <c r="DV68" s="62"/>
      <c r="DW68" s="62"/>
      <c r="DX68" s="62"/>
      <c r="DY68" s="62"/>
      <c r="DZ68" s="62"/>
      <c r="EA68" s="62"/>
      <c r="EB68" s="62"/>
      <c r="EC68" s="62"/>
      <c r="ED68" s="62"/>
      <c r="EE68" s="62"/>
      <c r="EF68" s="62"/>
      <c r="EG68" s="62"/>
      <c r="EH68" s="62"/>
      <c r="EI68" s="62"/>
      <c r="EJ68" s="62"/>
      <c r="EK68" s="62"/>
      <c r="EL68" s="62"/>
      <c r="EM68" s="62"/>
      <c r="EN68" s="62"/>
      <c r="EO68" s="62"/>
      <c r="EP68" s="62"/>
      <c r="EQ68" s="62"/>
      <c r="ER68" s="62"/>
      <c r="ES68" s="62"/>
      <c r="ET68" s="62"/>
      <c r="EU68" s="62"/>
      <c r="EV68" s="62"/>
      <c r="EW68" s="62"/>
    </row>
    <row r="69" spans="1:153" s="64" customFormat="1" x14ac:dyDescent="0.25">
      <c r="A69" s="74" t="s">
        <v>100</v>
      </c>
      <c r="B69" s="222"/>
      <c r="C69" s="63" t="s">
        <v>101</v>
      </c>
      <c r="D69" s="314">
        <f>+D70+D71</f>
        <v>2210571200</v>
      </c>
      <c r="E69" s="314">
        <f t="shared" ref="E69:R69" si="102">+E70+E71</f>
        <v>2199800000</v>
      </c>
      <c r="F69" s="311">
        <f t="shared" si="2"/>
        <v>0.9951274132224287</v>
      </c>
      <c r="G69" s="314">
        <f t="shared" si="102"/>
        <v>2694800000</v>
      </c>
      <c r="H69" s="312">
        <f t="shared" si="3"/>
        <v>1.2190514379269937</v>
      </c>
      <c r="I69" s="315">
        <f t="shared" si="102"/>
        <v>2694800000</v>
      </c>
      <c r="J69" s="315">
        <f t="shared" si="102"/>
        <v>2311989800</v>
      </c>
      <c r="K69" s="89">
        <f t="shared" si="5"/>
        <v>-0.14205514323883034</v>
      </c>
      <c r="L69" s="84">
        <f t="shared" si="102"/>
        <v>2311989800</v>
      </c>
      <c r="M69" s="97"/>
      <c r="N69" s="84">
        <f t="shared" si="102"/>
        <v>0</v>
      </c>
      <c r="O69" s="98"/>
      <c r="P69" s="84">
        <f t="shared" si="102"/>
        <v>0</v>
      </c>
      <c r="Q69" s="98"/>
      <c r="R69" s="84">
        <f t="shared" si="102"/>
        <v>0</v>
      </c>
      <c r="S69" s="97"/>
      <c r="T69" s="314">
        <f t="shared" ref="T69" si="103">+T70+T71</f>
        <v>2311989800</v>
      </c>
      <c r="U69" s="340">
        <f t="shared" si="51"/>
        <v>-14.205514323883037</v>
      </c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62"/>
      <c r="AS69" s="62"/>
      <c r="AT69" s="62"/>
      <c r="AU69" s="62"/>
      <c r="AV69" s="62"/>
      <c r="AW69" s="62"/>
      <c r="AX69" s="62"/>
      <c r="AY69" s="62"/>
      <c r="AZ69" s="62"/>
      <c r="BA69" s="62"/>
      <c r="BB69" s="62"/>
      <c r="BC69" s="62"/>
      <c r="BD69" s="62"/>
      <c r="BE69" s="62"/>
      <c r="BF69" s="62"/>
      <c r="BG69" s="62"/>
      <c r="BH69" s="62"/>
      <c r="BI69" s="62"/>
      <c r="BJ69" s="62"/>
      <c r="BK69" s="62"/>
      <c r="BL69" s="62"/>
      <c r="BM69" s="62"/>
      <c r="BN69" s="62"/>
      <c r="BO69" s="62"/>
      <c r="BP69" s="62"/>
      <c r="BQ69" s="62"/>
      <c r="BR69" s="62"/>
      <c r="BS69" s="62"/>
      <c r="BT69" s="62"/>
      <c r="BU69" s="62"/>
      <c r="BV69" s="62"/>
      <c r="BW69" s="62"/>
      <c r="BX69" s="62"/>
      <c r="BY69" s="62"/>
      <c r="BZ69" s="62"/>
      <c r="CA69" s="62"/>
      <c r="CB69" s="62"/>
      <c r="CC69" s="62"/>
      <c r="CD69" s="62"/>
      <c r="CE69" s="62"/>
      <c r="CF69" s="62"/>
      <c r="CG69" s="62"/>
      <c r="CH69" s="62"/>
      <c r="CI69" s="62"/>
      <c r="CJ69" s="62"/>
      <c r="CK69" s="62"/>
      <c r="CL69" s="62"/>
      <c r="CM69" s="62"/>
      <c r="CN69" s="62"/>
      <c r="CO69" s="62"/>
      <c r="CP69" s="62"/>
      <c r="CQ69" s="62"/>
      <c r="CR69" s="62"/>
      <c r="CS69" s="62"/>
      <c r="CT69" s="62"/>
      <c r="CU69" s="62"/>
      <c r="CV69" s="62"/>
      <c r="CW69" s="62"/>
      <c r="CX69" s="62"/>
      <c r="CY69" s="62"/>
      <c r="CZ69" s="62"/>
      <c r="DA69" s="62"/>
      <c r="DB69" s="62"/>
      <c r="DC69" s="62"/>
      <c r="DD69" s="62"/>
      <c r="DE69" s="62"/>
      <c r="DF69" s="62"/>
      <c r="DG69" s="62"/>
      <c r="DH69" s="62"/>
      <c r="DI69" s="62"/>
      <c r="DJ69" s="62"/>
      <c r="DK69" s="62"/>
      <c r="DL69" s="62"/>
      <c r="DM69" s="62"/>
      <c r="DN69" s="62"/>
      <c r="DO69" s="62"/>
      <c r="DP69" s="62"/>
      <c r="DQ69" s="62"/>
      <c r="DR69" s="62"/>
      <c r="DS69" s="62"/>
      <c r="DT69" s="62"/>
      <c r="DU69" s="62"/>
      <c r="DV69" s="62"/>
      <c r="DW69" s="62"/>
      <c r="DX69" s="62"/>
      <c r="DY69" s="62"/>
      <c r="DZ69" s="62"/>
      <c r="EA69" s="62"/>
      <c r="EB69" s="62"/>
      <c r="EC69" s="62"/>
      <c r="ED69" s="62"/>
      <c r="EE69" s="62"/>
      <c r="EF69" s="62"/>
      <c r="EG69" s="62"/>
      <c r="EH69" s="62"/>
      <c r="EI69" s="62"/>
      <c r="EJ69" s="62"/>
      <c r="EK69" s="62"/>
      <c r="EL69" s="62"/>
      <c r="EM69" s="62"/>
      <c r="EN69" s="62"/>
      <c r="EO69" s="62"/>
      <c r="EP69" s="62"/>
      <c r="EQ69" s="62"/>
      <c r="ER69" s="62"/>
      <c r="ES69" s="62"/>
      <c r="ET69" s="62"/>
      <c r="EU69" s="62"/>
      <c r="EV69" s="62"/>
      <c r="EW69" s="62"/>
    </row>
    <row r="70" spans="1:153" s="83" customFormat="1" x14ac:dyDescent="0.25">
      <c r="A70" s="82" t="s">
        <v>102</v>
      </c>
      <c r="B70" s="229">
        <v>11</v>
      </c>
      <c r="C70" s="71" t="s">
        <v>103</v>
      </c>
      <c r="D70" s="319">
        <v>2210571200</v>
      </c>
      <c r="E70" s="319">
        <v>2199800000</v>
      </c>
      <c r="F70" s="311">
        <f t="shared" si="2"/>
        <v>0.9951274132224287</v>
      </c>
      <c r="G70" s="319">
        <f>+E70+495000000</f>
        <v>2694800000</v>
      </c>
      <c r="H70" s="312">
        <f t="shared" si="3"/>
        <v>1.2190514379269937</v>
      </c>
      <c r="I70" s="320">
        <f>+'[2]COMPARATIVO RECAUDOS'!$F$39</f>
        <v>2694800000</v>
      </c>
      <c r="J70" s="320">
        <v>2311989800</v>
      </c>
      <c r="K70" s="89">
        <f t="shared" si="5"/>
        <v>-0.14205514323883034</v>
      </c>
      <c r="L70" s="92">
        <f>+J70*M70</f>
        <v>2311989800</v>
      </c>
      <c r="M70" s="97">
        <v>1</v>
      </c>
      <c r="N70" s="92"/>
      <c r="O70" s="98"/>
      <c r="P70" s="92"/>
      <c r="Q70" s="98"/>
      <c r="R70" s="92"/>
      <c r="S70" s="97"/>
      <c r="T70" s="319">
        <f>+J70</f>
        <v>2311989800</v>
      </c>
      <c r="U70" s="341">
        <f t="shared" si="51"/>
        <v>-14.205514323883037</v>
      </c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  <c r="AM70" s="62"/>
      <c r="AN70" s="62"/>
      <c r="AO70" s="62"/>
      <c r="AP70" s="62"/>
      <c r="AQ70" s="62"/>
      <c r="AR70" s="62"/>
      <c r="AS70" s="62"/>
      <c r="AT70" s="62"/>
      <c r="AU70" s="62"/>
      <c r="AV70" s="62"/>
      <c r="AW70" s="62"/>
      <c r="AX70" s="62"/>
      <c r="AY70" s="62"/>
      <c r="AZ70" s="62"/>
      <c r="BA70" s="62"/>
      <c r="BB70" s="62"/>
      <c r="BC70" s="62"/>
      <c r="BD70" s="62"/>
      <c r="BE70" s="62"/>
      <c r="BF70" s="62"/>
      <c r="BG70" s="62"/>
      <c r="BH70" s="62"/>
      <c r="BI70" s="62"/>
      <c r="BJ70" s="62"/>
      <c r="BK70" s="62"/>
      <c r="BL70" s="62"/>
      <c r="BM70" s="62"/>
      <c r="BN70" s="62"/>
      <c r="BO70" s="62"/>
      <c r="BP70" s="62"/>
      <c r="BQ70" s="62"/>
      <c r="BR70" s="62"/>
      <c r="BS70" s="62"/>
      <c r="BT70" s="62"/>
      <c r="BU70" s="62"/>
      <c r="BV70" s="62"/>
      <c r="BW70" s="62"/>
      <c r="BX70" s="62"/>
      <c r="BY70" s="62"/>
      <c r="BZ70" s="62"/>
      <c r="CA70" s="62"/>
      <c r="CB70" s="62"/>
      <c r="CC70" s="62"/>
      <c r="CD70" s="62"/>
      <c r="CE70" s="62"/>
      <c r="CF70" s="62"/>
      <c r="CG70" s="62"/>
      <c r="CH70" s="62"/>
      <c r="CI70" s="62"/>
      <c r="CJ70" s="62"/>
      <c r="CK70" s="62"/>
      <c r="CL70" s="62"/>
      <c r="CM70" s="62"/>
      <c r="CN70" s="62"/>
      <c r="CO70" s="62"/>
      <c r="CP70" s="62"/>
      <c r="CQ70" s="62"/>
      <c r="CR70" s="62"/>
      <c r="CS70" s="62"/>
      <c r="CT70" s="62"/>
      <c r="CU70" s="62"/>
      <c r="CV70" s="62"/>
      <c r="CW70" s="62"/>
      <c r="CX70" s="62"/>
      <c r="CY70" s="62"/>
      <c r="CZ70" s="62"/>
      <c r="DA70" s="62"/>
      <c r="DB70" s="62"/>
      <c r="DC70" s="62"/>
      <c r="DD70" s="62"/>
      <c r="DE70" s="62"/>
      <c r="DF70" s="62"/>
      <c r="DG70" s="62"/>
      <c r="DH70" s="62"/>
      <c r="DI70" s="62"/>
      <c r="DJ70" s="62"/>
      <c r="DK70" s="62"/>
      <c r="DL70" s="62"/>
      <c r="DM70" s="62"/>
      <c r="DN70" s="62"/>
      <c r="DO70" s="62"/>
      <c r="DP70" s="62"/>
      <c r="DQ70" s="62"/>
      <c r="DR70" s="62"/>
      <c r="DS70" s="62"/>
      <c r="DT70" s="62"/>
      <c r="DU70" s="62"/>
      <c r="DV70" s="62"/>
      <c r="DW70" s="62"/>
      <c r="DX70" s="62"/>
      <c r="DY70" s="62"/>
      <c r="DZ70" s="62"/>
      <c r="EA70" s="62"/>
      <c r="EB70" s="62"/>
      <c r="EC70" s="62"/>
      <c r="ED70" s="62"/>
      <c r="EE70" s="62"/>
      <c r="EF70" s="62"/>
      <c r="EG70" s="62"/>
      <c r="EH70" s="62"/>
      <c r="EI70" s="62"/>
      <c r="EJ70" s="62"/>
      <c r="EK70" s="62"/>
      <c r="EL70" s="62"/>
      <c r="EM70" s="62"/>
      <c r="EN70" s="62"/>
      <c r="EO70" s="62"/>
      <c r="EP70" s="62"/>
      <c r="EQ70" s="62"/>
      <c r="ER70" s="62"/>
      <c r="ES70" s="62"/>
      <c r="ET70" s="62"/>
      <c r="EU70" s="62"/>
      <c r="EV70" s="62"/>
      <c r="EW70" s="62"/>
    </row>
    <row r="71" spans="1:153" s="64" customFormat="1" hidden="1" x14ac:dyDescent="0.25">
      <c r="A71" s="74" t="s">
        <v>104</v>
      </c>
      <c r="B71" s="222">
        <v>12</v>
      </c>
      <c r="C71" s="63" t="s">
        <v>105</v>
      </c>
      <c r="D71" s="314">
        <v>0</v>
      </c>
      <c r="E71" s="314">
        <v>0</v>
      </c>
      <c r="F71" s="311">
        <v>0</v>
      </c>
      <c r="G71" s="314">
        <f>+D71</f>
        <v>0</v>
      </c>
      <c r="H71" s="312">
        <v>0</v>
      </c>
      <c r="I71" s="315"/>
      <c r="J71" s="315"/>
      <c r="K71" s="89">
        <v>0</v>
      </c>
      <c r="L71" s="80"/>
      <c r="M71" s="97"/>
      <c r="N71" s="80"/>
      <c r="O71" s="98"/>
      <c r="P71" s="80"/>
      <c r="Q71" s="98"/>
      <c r="R71" s="80"/>
      <c r="S71" s="98"/>
      <c r="T71" s="314">
        <f>+Q71</f>
        <v>0</v>
      </c>
      <c r="U71" s="340" t="e">
        <f t="shared" si="51"/>
        <v>#DIV/0!</v>
      </c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2"/>
      <c r="AR71" s="62"/>
      <c r="AS71" s="62"/>
      <c r="AT71" s="62"/>
      <c r="AU71" s="62"/>
      <c r="AV71" s="62"/>
      <c r="AW71" s="62"/>
      <c r="AX71" s="62"/>
      <c r="AY71" s="62"/>
      <c r="AZ71" s="62"/>
      <c r="BA71" s="62"/>
      <c r="BB71" s="62"/>
      <c r="BC71" s="62"/>
      <c r="BD71" s="62"/>
      <c r="BE71" s="62"/>
      <c r="BF71" s="62"/>
      <c r="BG71" s="62"/>
      <c r="BH71" s="62"/>
      <c r="BI71" s="62"/>
      <c r="BJ71" s="62"/>
      <c r="BK71" s="62"/>
      <c r="BL71" s="62"/>
      <c r="BM71" s="62"/>
      <c r="BN71" s="62"/>
      <c r="BO71" s="62"/>
      <c r="BP71" s="62"/>
      <c r="BQ71" s="62"/>
      <c r="BR71" s="62"/>
      <c r="BS71" s="62"/>
      <c r="BT71" s="62"/>
      <c r="BU71" s="62"/>
      <c r="BV71" s="62"/>
      <c r="BW71" s="62"/>
      <c r="BX71" s="62"/>
      <c r="BY71" s="62"/>
      <c r="BZ71" s="62"/>
      <c r="CA71" s="62"/>
      <c r="CB71" s="62"/>
      <c r="CC71" s="62"/>
      <c r="CD71" s="62"/>
      <c r="CE71" s="62"/>
      <c r="CF71" s="62"/>
      <c r="CG71" s="62"/>
      <c r="CH71" s="62"/>
      <c r="CI71" s="62"/>
      <c r="CJ71" s="62"/>
      <c r="CK71" s="62"/>
      <c r="CL71" s="62"/>
      <c r="CM71" s="62"/>
      <c r="CN71" s="62"/>
      <c r="CO71" s="62"/>
      <c r="CP71" s="62"/>
      <c r="CQ71" s="62"/>
      <c r="CR71" s="62"/>
      <c r="CS71" s="62"/>
      <c r="CT71" s="62"/>
      <c r="CU71" s="62"/>
      <c r="CV71" s="62"/>
      <c r="CW71" s="62"/>
      <c r="CX71" s="62"/>
      <c r="CY71" s="62"/>
      <c r="CZ71" s="62"/>
      <c r="DA71" s="62"/>
      <c r="DB71" s="62"/>
      <c r="DC71" s="62"/>
      <c r="DD71" s="62"/>
      <c r="DE71" s="62"/>
      <c r="DF71" s="62"/>
      <c r="DG71" s="62"/>
      <c r="DH71" s="62"/>
      <c r="DI71" s="62"/>
      <c r="DJ71" s="62"/>
      <c r="DK71" s="62"/>
      <c r="DL71" s="62"/>
      <c r="DM71" s="62"/>
      <c r="DN71" s="62"/>
      <c r="DO71" s="62"/>
      <c r="DP71" s="62"/>
      <c r="DQ71" s="62"/>
      <c r="DR71" s="62"/>
      <c r="DS71" s="62"/>
      <c r="DT71" s="62"/>
      <c r="DU71" s="62"/>
      <c r="DV71" s="62"/>
      <c r="DW71" s="62"/>
      <c r="DX71" s="62"/>
      <c r="DY71" s="62"/>
      <c r="DZ71" s="62"/>
      <c r="EA71" s="62"/>
      <c r="EB71" s="62"/>
      <c r="EC71" s="62"/>
      <c r="ED71" s="62"/>
      <c r="EE71" s="62"/>
      <c r="EF71" s="62"/>
      <c r="EG71" s="62"/>
      <c r="EH71" s="62"/>
      <c r="EI71" s="62"/>
      <c r="EJ71" s="62"/>
      <c r="EK71" s="62"/>
      <c r="EL71" s="62"/>
      <c r="EM71" s="62"/>
      <c r="EN71" s="62"/>
      <c r="EO71" s="62"/>
      <c r="EP71" s="62"/>
      <c r="EQ71" s="62"/>
      <c r="ER71" s="62"/>
      <c r="ES71" s="62"/>
      <c r="ET71" s="62"/>
      <c r="EU71" s="62"/>
      <c r="EV71" s="62"/>
      <c r="EW71" s="62"/>
    </row>
    <row r="72" spans="1:153" s="78" customFormat="1" x14ac:dyDescent="0.25">
      <c r="A72" s="76"/>
      <c r="B72" s="76"/>
      <c r="C72" s="77" t="s">
        <v>106</v>
      </c>
      <c r="D72" s="321">
        <f>+D5+D69</f>
        <v>151139860542</v>
      </c>
      <c r="E72" s="321">
        <f>+E5+E69</f>
        <v>136373284797.73001</v>
      </c>
      <c r="F72" s="322">
        <f t="shared" si="2"/>
        <v>0.90229860149853369</v>
      </c>
      <c r="G72" s="321">
        <f>+G5+G69</f>
        <v>145271398773.89966</v>
      </c>
      <c r="H72" s="323">
        <f t="shared" ref="H72" si="104">+G72/D72</f>
        <v>0.96117197841088675</v>
      </c>
      <c r="I72" s="324">
        <f>+I5+I69</f>
        <v>147914909236.64001</v>
      </c>
      <c r="J72" s="324">
        <f>+J5+J69</f>
        <v>143572002805.34863</v>
      </c>
      <c r="K72" s="90">
        <f t="shared" ref="K72" si="105">+(J72-G72)/G72</f>
        <v>-1.1698076723250697E-2</v>
      </c>
      <c r="L72" s="88">
        <f>+L5+L69</f>
        <v>13806496068.421753</v>
      </c>
      <c r="M72" s="98"/>
      <c r="N72" s="88">
        <f>+N5+N69</f>
        <v>5614497519.9055462</v>
      </c>
      <c r="O72" s="98"/>
      <c r="P72" s="88">
        <f>+P5+P69</f>
        <v>12363481377.636566</v>
      </c>
      <c r="Q72" s="98"/>
      <c r="R72" s="88">
        <f>+R5+R69</f>
        <v>111787527839.38477</v>
      </c>
      <c r="S72" s="98"/>
      <c r="T72" s="321">
        <f>+T5+T69</f>
        <v>149754966215.96631</v>
      </c>
      <c r="U72" s="342">
        <f t="shared" ref="U72" si="106">+J72/G72*100-100</f>
        <v>-1.1698076723250779</v>
      </c>
      <c r="V72" s="62"/>
      <c r="W72" s="62"/>
      <c r="X72" s="355"/>
      <c r="Y72" s="62"/>
      <c r="Z72" s="62"/>
      <c r="AA72" s="62"/>
      <c r="AB72" s="62"/>
      <c r="AC72" s="62"/>
      <c r="AD72" s="62"/>
      <c r="AE72" s="62"/>
      <c r="AF72" s="62"/>
      <c r="AG72" s="62"/>
      <c r="AH72" s="62"/>
      <c r="AI72" s="62"/>
      <c r="AJ72" s="62"/>
      <c r="AK72" s="62"/>
      <c r="AL72" s="62"/>
      <c r="AM72" s="62"/>
      <c r="AN72" s="62"/>
      <c r="AO72" s="62"/>
      <c r="AP72" s="62"/>
      <c r="AQ72" s="62"/>
      <c r="AR72" s="62"/>
      <c r="AS72" s="62"/>
      <c r="AT72" s="62"/>
      <c r="AU72" s="62"/>
      <c r="AV72" s="62"/>
      <c r="AW72" s="62"/>
      <c r="AX72" s="62"/>
      <c r="AY72" s="62"/>
      <c r="AZ72" s="62"/>
      <c r="BA72" s="62"/>
      <c r="BB72" s="62"/>
      <c r="BC72" s="62"/>
      <c r="BD72" s="62"/>
      <c r="BE72" s="62"/>
      <c r="BF72" s="62"/>
      <c r="BG72" s="62"/>
      <c r="BH72" s="62"/>
      <c r="BI72" s="62"/>
      <c r="BJ72" s="62"/>
      <c r="BK72" s="62"/>
      <c r="BL72" s="62"/>
      <c r="BM72" s="62"/>
      <c r="BN72" s="62"/>
      <c r="BO72" s="62"/>
      <c r="BP72" s="62"/>
      <c r="BQ72" s="62"/>
      <c r="BR72" s="62"/>
      <c r="BS72" s="62"/>
      <c r="BT72" s="62"/>
      <c r="BU72" s="62"/>
      <c r="BV72" s="62"/>
      <c r="BW72" s="62"/>
      <c r="BX72" s="62"/>
      <c r="BY72" s="62"/>
      <c r="BZ72" s="62"/>
      <c r="CA72" s="62"/>
      <c r="CB72" s="62"/>
      <c r="CC72" s="62"/>
      <c r="CD72" s="62"/>
      <c r="CE72" s="62"/>
      <c r="CF72" s="62"/>
      <c r="CG72" s="62"/>
      <c r="CH72" s="62"/>
      <c r="CI72" s="62"/>
      <c r="CJ72" s="62"/>
      <c r="CK72" s="62"/>
      <c r="CL72" s="62"/>
      <c r="CM72" s="62"/>
      <c r="CN72" s="62"/>
      <c r="CO72" s="62"/>
      <c r="CP72" s="62"/>
      <c r="CQ72" s="62"/>
      <c r="CR72" s="62"/>
      <c r="CS72" s="62"/>
      <c r="CT72" s="62"/>
      <c r="CU72" s="62"/>
      <c r="CV72" s="62"/>
      <c r="CW72" s="62"/>
      <c r="CX72" s="62"/>
      <c r="CY72" s="62"/>
      <c r="CZ72" s="62"/>
      <c r="DA72" s="62"/>
      <c r="DB72" s="62"/>
      <c r="DC72" s="62"/>
      <c r="DD72" s="62"/>
      <c r="DE72" s="62"/>
      <c r="DF72" s="62"/>
      <c r="DG72" s="62"/>
      <c r="DH72" s="62"/>
      <c r="DI72" s="62"/>
      <c r="DJ72" s="62"/>
      <c r="DK72" s="62"/>
      <c r="DL72" s="62"/>
      <c r="DM72" s="62"/>
      <c r="DN72" s="62"/>
      <c r="DO72" s="62"/>
      <c r="DP72" s="62"/>
      <c r="DQ72" s="62"/>
      <c r="DR72" s="62"/>
      <c r="DS72" s="62"/>
      <c r="DT72" s="62"/>
      <c r="DU72" s="62"/>
      <c r="DV72" s="62"/>
      <c r="DW72" s="62"/>
      <c r="DX72" s="62"/>
      <c r="DY72" s="62"/>
      <c r="DZ72" s="62"/>
      <c r="EA72" s="62"/>
      <c r="EB72" s="62"/>
      <c r="EC72" s="62"/>
      <c r="ED72" s="62"/>
      <c r="EE72" s="62"/>
      <c r="EF72" s="62"/>
      <c r="EG72" s="62"/>
      <c r="EH72" s="62"/>
      <c r="EI72" s="62"/>
      <c r="EJ72" s="62"/>
      <c r="EK72" s="62"/>
      <c r="EL72" s="62"/>
      <c r="EM72" s="62"/>
      <c r="EN72" s="62"/>
      <c r="EO72" s="62"/>
      <c r="EP72" s="62"/>
      <c r="EQ72" s="62"/>
      <c r="ER72" s="62"/>
      <c r="ES72" s="62"/>
      <c r="ET72" s="62"/>
      <c r="EU72" s="62"/>
      <c r="EV72" s="62"/>
      <c r="EW72" s="62"/>
    </row>
    <row r="73" spans="1:153" x14ac:dyDescent="0.25">
      <c r="G73" s="345">
        <f>+G72/D72</f>
        <v>0.96117197841088675</v>
      </c>
      <c r="J73" s="345"/>
    </row>
    <row r="74" spans="1:153" x14ac:dyDescent="0.25">
      <c r="I74" s="198"/>
      <c r="J74" s="91"/>
    </row>
    <row r="75" spans="1:153" x14ac:dyDescent="0.25">
      <c r="I75" s="198"/>
      <c r="L75" s="91"/>
      <c r="R75" s="91">
        <f>+L72+N72+P72+R72</f>
        <v>143572002805.34863</v>
      </c>
      <c r="T75" s="355"/>
    </row>
    <row r="76" spans="1:153" x14ac:dyDescent="0.25">
      <c r="I76" s="198"/>
      <c r="R76" s="91"/>
    </row>
    <row r="77" spans="1:153" x14ac:dyDescent="0.25">
      <c r="I77" s="198"/>
    </row>
    <row r="78" spans="1:153" x14ac:dyDescent="0.25">
      <c r="I78" s="198"/>
      <c r="N78" s="62" t="s">
        <v>545</v>
      </c>
      <c r="P78" s="198">
        <f>+'GASTOS DE FTO 2024 - 2027 '!U3</f>
        <v>14162543582</v>
      </c>
    </row>
    <row r="80" spans="1:153" x14ac:dyDescent="0.25">
      <c r="N80" s="62" t="s">
        <v>128</v>
      </c>
      <c r="P80" s="198">
        <f>+P78*0.4</f>
        <v>5665017432.8000002</v>
      </c>
    </row>
    <row r="82" spans="14:16" x14ac:dyDescent="0.25">
      <c r="N82" s="62" t="s">
        <v>126</v>
      </c>
      <c r="P82" s="230">
        <f>+P78-P80</f>
        <v>8497526149.1999998</v>
      </c>
    </row>
    <row r="84" spans="14:16" x14ac:dyDescent="0.25">
      <c r="N84" s="62" t="s">
        <v>546</v>
      </c>
      <c r="P84" s="230">
        <f>+P72-P80</f>
        <v>6698463944.836566</v>
      </c>
    </row>
    <row r="87" spans="14:16" x14ac:dyDescent="0.25">
      <c r="P87" s="91">
        <f>+L72+P72</f>
        <v>26169977446.058319</v>
      </c>
    </row>
    <row r="88" spans="14:16" x14ac:dyDescent="0.25">
      <c r="P88" s="91">
        <f>+'GASTOS DE FTO 2024 - 2027 '!U57</f>
        <v>23378784812</v>
      </c>
    </row>
    <row r="89" spans="14:16" x14ac:dyDescent="0.25">
      <c r="P89" s="91">
        <f>+P87-P88</f>
        <v>2791192634.0583191</v>
      </c>
    </row>
  </sheetData>
  <mergeCells count="23">
    <mergeCell ref="T1:T3"/>
    <mergeCell ref="U1:U3"/>
    <mergeCell ref="L2:M2"/>
    <mergeCell ref="N2:O2"/>
    <mergeCell ref="P2:S2"/>
    <mergeCell ref="L3:L4"/>
    <mergeCell ref="M3:M4"/>
    <mergeCell ref="N3:N4"/>
    <mergeCell ref="O3:O4"/>
    <mergeCell ref="P3:Q3"/>
    <mergeCell ref="L1:S1"/>
    <mergeCell ref="R3:S3"/>
    <mergeCell ref="G1:G3"/>
    <mergeCell ref="H1:H3"/>
    <mergeCell ref="I1:I3"/>
    <mergeCell ref="J1:J3"/>
    <mergeCell ref="K1:K3"/>
    <mergeCell ref="F1:F3"/>
    <mergeCell ref="A1:A3"/>
    <mergeCell ref="B1:B3"/>
    <mergeCell ref="C1:C3"/>
    <mergeCell ref="D1:D3"/>
    <mergeCell ref="E1:E3"/>
  </mergeCells>
  <printOptions horizontalCentered="1"/>
  <pageMargins left="0.70866141732283472" right="0.70866141732283472" top="0.74803149606299213" bottom="0.74803149606299213" header="0.31496062992125984" footer="0.31496062992125984"/>
  <pageSetup paperSize="12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F2161-E5F3-4A1A-BDC2-7A9F7986D05E}">
  <sheetPr>
    <pageSetUpPr fitToPage="1"/>
  </sheetPr>
  <dimension ref="A1:EW87"/>
  <sheetViews>
    <sheetView topLeftCell="C8" zoomScaleNormal="100" workbookViewId="0">
      <selection activeCell="U11" sqref="U11"/>
    </sheetView>
  </sheetViews>
  <sheetFormatPr baseColWidth="10" defaultRowHeight="13.2" x14ac:dyDescent="0.25"/>
  <cols>
    <col min="1" max="2" width="16.44140625" style="62" hidden="1" customWidth="1"/>
    <col min="3" max="3" width="37.5546875" style="79" customWidth="1"/>
    <col min="4" max="4" width="17.44140625" style="62" hidden="1" customWidth="1"/>
    <col min="5" max="5" width="19.5546875" style="62" hidden="1" customWidth="1"/>
    <col min="6" max="6" width="8.88671875" style="62" hidden="1" customWidth="1"/>
    <col min="7" max="7" width="17.33203125" style="62" hidden="1" customWidth="1"/>
    <col min="8" max="8" width="9.33203125" style="62" hidden="1" customWidth="1"/>
    <col min="9" max="9" width="18.6640625" style="62" bestFit="1" customWidth="1"/>
    <col min="10" max="10" width="18.33203125" style="62" customWidth="1"/>
    <col min="11" max="11" width="8.88671875" style="62" hidden="1" customWidth="1"/>
    <col min="12" max="12" width="19" style="62" hidden="1" customWidth="1"/>
    <col min="13" max="13" width="7.33203125" style="62" hidden="1" customWidth="1"/>
    <col min="14" max="14" width="20.109375" style="62" hidden="1" customWidth="1"/>
    <col min="15" max="15" width="6.33203125" style="62" hidden="1" customWidth="1"/>
    <col min="16" max="16" width="17.5546875" style="62" hidden="1" customWidth="1"/>
    <col min="17" max="17" width="6.33203125" style="62" hidden="1" customWidth="1"/>
    <col min="18" max="18" width="18" style="62" hidden="1" customWidth="1"/>
    <col min="19" max="19" width="7.33203125" style="62" hidden="1" customWidth="1"/>
    <col min="20" max="20" width="18.5546875" style="62" customWidth="1"/>
    <col min="21" max="21" width="12.44140625" style="62" customWidth="1"/>
    <col min="22" max="72" width="11.5546875" style="62" customWidth="1"/>
    <col min="73" max="251" width="11.5546875" style="62"/>
    <col min="252" max="252" width="0" style="62" hidden="1" customWidth="1"/>
    <col min="253" max="253" width="31.5546875" style="62" customWidth="1"/>
    <col min="254" max="254" width="14.6640625" style="62" customWidth="1"/>
    <col min="255" max="507" width="11.5546875" style="62"/>
    <col min="508" max="508" width="0" style="62" hidden="1" customWidth="1"/>
    <col min="509" max="509" width="31.5546875" style="62" customWidth="1"/>
    <col min="510" max="510" width="14.6640625" style="62" customWidth="1"/>
    <col min="511" max="763" width="11.5546875" style="62"/>
    <col min="764" max="764" width="0" style="62" hidden="1" customWidth="1"/>
    <col min="765" max="765" width="31.5546875" style="62" customWidth="1"/>
    <col min="766" max="766" width="14.6640625" style="62" customWidth="1"/>
    <col min="767" max="1019" width="11.5546875" style="62"/>
    <col min="1020" max="1020" width="0" style="62" hidden="1" customWidth="1"/>
    <col min="1021" max="1021" width="31.5546875" style="62" customWidth="1"/>
    <col min="1022" max="1022" width="14.6640625" style="62" customWidth="1"/>
    <col min="1023" max="1275" width="11.5546875" style="62"/>
    <col min="1276" max="1276" width="0" style="62" hidden="1" customWidth="1"/>
    <col min="1277" max="1277" width="31.5546875" style="62" customWidth="1"/>
    <col min="1278" max="1278" width="14.6640625" style="62" customWidth="1"/>
    <col min="1279" max="1531" width="11.5546875" style="62"/>
    <col min="1532" max="1532" width="0" style="62" hidden="1" customWidth="1"/>
    <col min="1533" max="1533" width="31.5546875" style="62" customWidth="1"/>
    <col min="1534" max="1534" width="14.6640625" style="62" customWidth="1"/>
    <col min="1535" max="1787" width="11.5546875" style="62"/>
    <col min="1788" max="1788" width="0" style="62" hidden="1" customWidth="1"/>
    <col min="1789" max="1789" width="31.5546875" style="62" customWidth="1"/>
    <col min="1790" max="1790" width="14.6640625" style="62" customWidth="1"/>
    <col min="1791" max="2043" width="11.5546875" style="62"/>
    <col min="2044" max="2044" width="0" style="62" hidden="1" customWidth="1"/>
    <col min="2045" max="2045" width="31.5546875" style="62" customWidth="1"/>
    <col min="2046" max="2046" width="14.6640625" style="62" customWidth="1"/>
    <col min="2047" max="2299" width="11.5546875" style="62"/>
    <col min="2300" max="2300" width="0" style="62" hidden="1" customWidth="1"/>
    <col min="2301" max="2301" width="31.5546875" style="62" customWidth="1"/>
    <col min="2302" max="2302" width="14.6640625" style="62" customWidth="1"/>
    <col min="2303" max="2555" width="11.5546875" style="62"/>
    <col min="2556" max="2556" width="0" style="62" hidden="1" customWidth="1"/>
    <col min="2557" max="2557" width="31.5546875" style="62" customWidth="1"/>
    <col min="2558" max="2558" width="14.6640625" style="62" customWidth="1"/>
    <col min="2559" max="2811" width="11.5546875" style="62"/>
    <col min="2812" max="2812" width="0" style="62" hidden="1" customWidth="1"/>
    <col min="2813" max="2813" width="31.5546875" style="62" customWidth="1"/>
    <col min="2814" max="2814" width="14.6640625" style="62" customWidth="1"/>
    <col min="2815" max="3067" width="11.5546875" style="62"/>
    <col min="3068" max="3068" width="0" style="62" hidden="1" customWidth="1"/>
    <col min="3069" max="3069" width="31.5546875" style="62" customWidth="1"/>
    <col min="3070" max="3070" width="14.6640625" style="62" customWidth="1"/>
    <col min="3071" max="3323" width="11.5546875" style="62"/>
    <col min="3324" max="3324" width="0" style="62" hidden="1" customWidth="1"/>
    <col min="3325" max="3325" width="31.5546875" style="62" customWidth="1"/>
    <col min="3326" max="3326" width="14.6640625" style="62" customWidth="1"/>
    <col min="3327" max="3579" width="11.5546875" style="62"/>
    <col min="3580" max="3580" width="0" style="62" hidden="1" customWidth="1"/>
    <col min="3581" max="3581" width="31.5546875" style="62" customWidth="1"/>
    <col min="3582" max="3582" width="14.6640625" style="62" customWidth="1"/>
    <col min="3583" max="3835" width="11.5546875" style="62"/>
    <col min="3836" max="3836" width="0" style="62" hidden="1" customWidth="1"/>
    <col min="3837" max="3837" width="31.5546875" style="62" customWidth="1"/>
    <col min="3838" max="3838" width="14.6640625" style="62" customWidth="1"/>
    <col min="3839" max="4091" width="11.5546875" style="62"/>
    <col min="4092" max="4092" width="0" style="62" hidden="1" customWidth="1"/>
    <col min="4093" max="4093" width="31.5546875" style="62" customWidth="1"/>
    <col min="4094" max="4094" width="14.6640625" style="62" customWidth="1"/>
    <col min="4095" max="4347" width="11.5546875" style="62"/>
    <col min="4348" max="4348" width="0" style="62" hidden="1" customWidth="1"/>
    <col min="4349" max="4349" width="31.5546875" style="62" customWidth="1"/>
    <col min="4350" max="4350" width="14.6640625" style="62" customWidth="1"/>
    <col min="4351" max="4603" width="11.5546875" style="62"/>
    <col min="4604" max="4604" width="0" style="62" hidden="1" customWidth="1"/>
    <col min="4605" max="4605" width="31.5546875" style="62" customWidth="1"/>
    <col min="4606" max="4606" width="14.6640625" style="62" customWidth="1"/>
    <col min="4607" max="4859" width="11.5546875" style="62"/>
    <col min="4860" max="4860" width="0" style="62" hidden="1" customWidth="1"/>
    <col min="4861" max="4861" width="31.5546875" style="62" customWidth="1"/>
    <col min="4862" max="4862" width="14.6640625" style="62" customWidth="1"/>
    <col min="4863" max="5115" width="11.5546875" style="62"/>
    <col min="5116" max="5116" width="0" style="62" hidden="1" customWidth="1"/>
    <col min="5117" max="5117" width="31.5546875" style="62" customWidth="1"/>
    <col min="5118" max="5118" width="14.6640625" style="62" customWidth="1"/>
    <col min="5119" max="5371" width="11.5546875" style="62"/>
    <col min="5372" max="5372" width="0" style="62" hidden="1" customWidth="1"/>
    <col min="5373" max="5373" width="31.5546875" style="62" customWidth="1"/>
    <col min="5374" max="5374" width="14.6640625" style="62" customWidth="1"/>
    <col min="5375" max="5627" width="11.5546875" style="62"/>
    <col min="5628" max="5628" width="0" style="62" hidden="1" customWidth="1"/>
    <col min="5629" max="5629" width="31.5546875" style="62" customWidth="1"/>
    <col min="5630" max="5630" width="14.6640625" style="62" customWidth="1"/>
    <col min="5631" max="5883" width="11.5546875" style="62"/>
    <col min="5884" max="5884" width="0" style="62" hidden="1" customWidth="1"/>
    <col min="5885" max="5885" width="31.5546875" style="62" customWidth="1"/>
    <col min="5886" max="5886" width="14.6640625" style="62" customWidth="1"/>
    <col min="5887" max="6139" width="11.5546875" style="62"/>
    <col min="6140" max="6140" width="0" style="62" hidden="1" customWidth="1"/>
    <col min="6141" max="6141" width="31.5546875" style="62" customWidth="1"/>
    <col min="6142" max="6142" width="14.6640625" style="62" customWidth="1"/>
    <col min="6143" max="6395" width="11.5546875" style="62"/>
    <col min="6396" max="6396" width="0" style="62" hidden="1" customWidth="1"/>
    <col min="6397" max="6397" width="31.5546875" style="62" customWidth="1"/>
    <col min="6398" max="6398" width="14.6640625" style="62" customWidth="1"/>
    <col min="6399" max="6651" width="11.5546875" style="62"/>
    <col min="6652" max="6652" width="0" style="62" hidden="1" customWidth="1"/>
    <col min="6653" max="6653" width="31.5546875" style="62" customWidth="1"/>
    <col min="6654" max="6654" width="14.6640625" style="62" customWidth="1"/>
    <col min="6655" max="6907" width="11.5546875" style="62"/>
    <col min="6908" max="6908" width="0" style="62" hidden="1" customWidth="1"/>
    <col min="6909" max="6909" width="31.5546875" style="62" customWidth="1"/>
    <col min="6910" max="6910" width="14.6640625" style="62" customWidth="1"/>
    <col min="6911" max="7163" width="11.5546875" style="62"/>
    <col min="7164" max="7164" width="0" style="62" hidden="1" customWidth="1"/>
    <col min="7165" max="7165" width="31.5546875" style="62" customWidth="1"/>
    <col min="7166" max="7166" width="14.6640625" style="62" customWidth="1"/>
    <col min="7167" max="7419" width="11.5546875" style="62"/>
    <col min="7420" max="7420" width="0" style="62" hidden="1" customWidth="1"/>
    <col min="7421" max="7421" width="31.5546875" style="62" customWidth="1"/>
    <col min="7422" max="7422" width="14.6640625" style="62" customWidth="1"/>
    <col min="7423" max="7675" width="11.5546875" style="62"/>
    <col min="7676" max="7676" width="0" style="62" hidden="1" customWidth="1"/>
    <col min="7677" max="7677" width="31.5546875" style="62" customWidth="1"/>
    <col min="7678" max="7678" width="14.6640625" style="62" customWidth="1"/>
    <col min="7679" max="7931" width="11.5546875" style="62"/>
    <col min="7932" max="7932" width="0" style="62" hidden="1" customWidth="1"/>
    <col min="7933" max="7933" width="31.5546875" style="62" customWidth="1"/>
    <col min="7934" max="7934" width="14.6640625" style="62" customWidth="1"/>
    <col min="7935" max="8187" width="11.5546875" style="62"/>
    <col min="8188" max="8188" width="0" style="62" hidden="1" customWidth="1"/>
    <col min="8189" max="8189" width="31.5546875" style="62" customWidth="1"/>
    <col min="8190" max="8190" width="14.6640625" style="62" customWidth="1"/>
    <col min="8191" max="8443" width="11.5546875" style="62"/>
    <col min="8444" max="8444" width="0" style="62" hidden="1" customWidth="1"/>
    <col min="8445" max="8445" width="31.5546875" style="62" customWidth="1"/>
    <col min="8446" max="8446" width="14.6640625" style="62" customWidth="1"/>
    <col min="8447" max="8699" width="11.5546875" style="62"/>
    <col min="8700" max="8700" width="0" style="62" hidden="1" customWidth="1"/>
    <col min="8701" max="8701" width="31.5546875" style="62" customWidth="1"/>
    <col min="8702" max="8702" width="14.6640625" style="62" customWidth="1"/>
    <col min="8703" max="8955" width="11.5546875" style="62"/>
    <col min="8956" max="8956" width="0" style="62" hidden="1" customWidth="1"/>
    <col min="8957" max="8957" width="31.5546875" style="62" customWidth="1"/>
    <col min="8958" max="8958" width="14.6640625" style="62" customWidth="1"/>
    <col min="8959" max="9211" width="11.5546875" style="62"/>
    <col min="9212" max="9212" width="0" style="62" hidden="1" customWidth="1"/>
    <col min="9213" max="9213" width="31.5546875" style="62" customWidth="1"/>
    <col min="9214" max="9214" width="14.6640625" style="62" customWidth="1"/>
    <col min="9215" max="9467" width="11.5546875" style="62"/>
    <col min="9468" max="9468" width="0" style="62" hidden="1" customWidth="1"/>
    <col min="9469" max="9469" width="31.5546875" style="62" customWidth="1"/>
    <col min="9470" max="9470" width="14.6640625" style="62" customWidth="1"/>
    <col min="9471" max="9723" width="11.5546875" style="62"/>
    <col min="9724" max="9724" width="0" style="62" hidden="1" customWidth="1"/>
    <col min="9725" max="9725" width="31.5546875" style="62" customWidth="1"/>
    <col min="9726" max="9726" width="14.6640625" style="62" customWidth="1"/>
    <col min="9727" max="9979" width="11.5546875" style="62"/>
    <col min="9980" max="9980" width="0" style="62" hidden="1" customWidth="1"/>
    <col min="9981" max="9981" width="31.5546875" style="62" customWidth="1"/>
    <col min="9982" max="9982" width="14.6640625" style="62" customWidth="1"/>
    <col min="9983" max="10235" width="11.5546875" style="62"/>
    <col min="10236" max="10236" width="0" style="62" hidden="1" customWidth="1"/>
    <col min="10237" max="10237" width="31.5546875" style="62" customWidth="1"/>
    <col min="10238" max="10238" width="14.6640625" style="62" customWidth="1"/>
    <col min="10239" max="10491" width="11.5546875" style="62"/>
    <col min="10492" max="10492" width="0" style="62" hidden="1" customWidth="1"/>
    <col min="10493" max="10493" width="31.5546875" style="62" customWidth="1"/>
    <col min="10494" max="10494" width="14.6640625" style="62" customWidth="1"/>
    <col min="10495" max="10747" width="11.5546875" style="62"/>
    <col min="10748" max="10748" width="0" style="62" hidden="1" customWidth="1"/>
    <col min="10749" max="10749" width="31.5546875" style="62" customWidth="1"/>
    <col min="10750" max="10750" width="14.6640625" style="62" customWidth="1"/>
    <col min="10751" max="11003" width="11.5546875" style="62"/>
    <col min="11004" max="11004" width="0" style="62" hidden="1" customWidth="1"/>
    <col min="11005" max="11005" width="31.5546875" style="62" customWidth="1"/>
    <col min="11006" max="11006" width="14.6640625" style="62" customWidth="1"/>
    <col min="11007" max="11259" width="11.5546875" style="62"/>
    <col min="11260" max="11260" width="0" style="62" hidden="1" customWidth="1"/>
    <col min="11261" max="11261" width="31.5546875" style="62" customWidth="1"/>
    <col min="11262" max="11262" width="14.6640625" style="62" customWidth="1"/>
    <col min="11263" max="11515" width="11.5546875" style="62"/>
    <col min="11516" max="11516" width="0" style="62" hidden="1" customWidth="1"/>
    <col min="11517" max="11517" width="31.5546875" style="62" customWidth="1"/>
    <col min="11518" max="11518" width="14.6640625" style="62" customWidth="1"/>
    <col min="11519" max="11771" width="11.5546875" style="62"/>
    <col min="11772" max="11772" width="0" style="62" hidden="1" customWidth="1"/>
    <col min="11773" max="11773" width="31.5546875" style="62" customWidth="1"/>
    <col min="11774" max="11774" width="14.6640625" style="62" customWidth="1"/>
    <col min="11775" max="12027" width="11.5546875" style="62"/>
    <col min="12028" max="12028" width="0" style="62" hidden="1" customWidth="1"/>
    <col min="12029" max="12029" width="31.5546875" style="62" customWidth="1"/>
    <col min="12030" max="12030" width="14.6640625" style="62" customWidth="1"/>
    <col min="12031" max="12283" width="11.5546875" style="62"/>
    <col min="12284" max="12284" width="0" style="62" hidden="1" customWidth="1"/>
    <col min="12285" max="12285" width="31.5546875" style="62" customWidth="1"/>
    <col min="12286" max="12286" width="14.6640625" style="62" customWidth="1"/>
    <col min="12287" max="12539" width="11.5546875" style="62"/>
    <col min="12540" max="12540" width="0" style="62" hidden="1" customWidth="1"/>
    <col min="12541" max="12541" width="31.5546875" style="62" customWidth="1"/>
    <col min="12542" max="12542" width="14.6640625" style="62" customWidth="1"/>
    <col min="12543" max="12795" width="11.5546875" style="62"/>
    <col min="12796" max="12796" width="0" style="62" hidden="1" customWidth="1"/>
    <col min="12797" max="12797" width="31.5546875" style="62" customWidth="1"/>
    <col min="12798" max="12798" width="14.6640625" style="62" customWidth="1"/>
    <col min="12799" max="13051" width="11.5546875" style="62"/>
    <col min="13052" max="13052" width="0" style="62" hidden="1" customWidth="1"/>
    <col min="13053" max="13053" width="31.5546875" style="62" customWidth="1"/>
    <col min="13054" max="13054" width="14.6640625" style="62" customWidth="1"/>
    <col min="13055" max="13307" width="11.5546875" style="62"/>
    <col min="13308" max="13308" width="0" style="62" hidden="1" customWidth="1"/>
    <col min="13309" max="13309" width="31.5546875" style="62" customWidth="1"/>
    <col min="13310" max="13310" width="14.6640625" style="62" customWidth="1"/>
    <col min="13311" max="13563" width="11.5546875" style="62"/>
    <col min="13564" max="13564" width="0" style="62" hidden="1" customWidth="1"/>
    <col min="13565" max="13565" width="31.5546875" style="62" customWidth="1"/>
    <col min="13566" max="13566" width="14.6640625" style="62" customWidth="1"/>
    <col min="13567" max="13819" width="11.5546875" style="62"/>
    <col min="13820" max="13820" width="0" style="62" hidden="1" customWidth="1"/>
    <col min="13821" max="13821" width="31.5546875" style="62" customWidth="1"/>
    <col min="13822" max="13822" width="14.6640625" style="62" customWidth="1"/>
    <col min="13823" max="14075" width="11.5546875" style="62"/>
    <col min="14076" max="14076" width="0" style="62" hidden="1" customWidth="1"/>
    <col min="14077" max="14077" width="31.5546875" style="62" customWidth="1"/>
    <col min="14078" max="14078" width="14.6640625" style="62" customWidth="1"/>
    <col min="14079" max="14331" width="11.5546875" style="62"/>
    <col min="14332" max="14332" width="0" style="62" hidden="1" customWidth="1"/>
    <col min="14333" max="14333" width="31.5546875" style="62" customWidth="1"/>
    <col min="14334" max="14334" width="14.6640625" style="62" customWidth="1"/>
    <col min="14335" max="14587" width="11.5546875" style="62"/>
    <col min="14588" max="14588" width="0" style="62" hidden="1" customWidth="1"/>
    <col min="14589" max="14589" width="31.5546875" style="62" customWidth="1"/>
    <col min="14590" max="14590" width="14.6640625" style="62" customWidth="1"/>
    <col min="14591" max="14843" width="11.5546875" style="62"/>
    <col min="14844" max="14844" width="0" style="62" hidden="1" customWidth="1"/>
    <col min="14845" max="14845" width="31.5546875" style="62" customWidth="1"/>
    <col min="14846" max="14846" width="14.6640625" style="62" customWidth="1"/>
    <col min="14847" max="15099" width="11.5546875" style="62"/>
    <col min="15100" max="15100" width="0" style="62" hidden="1" customWidth="1"/>
    <col min="15101" max="15101" width="31.5546875" style="62" customWidth="1"/>
    <col min="15102" max="15102" width="14.6640625" style="62" customWidth="1"/>
    <col min="15103" max="15355" width="11.5546875" style="62"/>
    <col min="15356" max="15356" width="0" style="62" hidden="1" customWidth="1"/>
    <col min="15357" max="15357" width="31.5546875" style="62" customWidth="1"/>
    <col min="15358" max="15358" width="14.6640625" style="62" customWidth="1"/>
    <col min="15359" max="15611" width="11.5546875" style="62"/>
    <col min="15612" max="15612" width="0" style="62" hidden="1" customWidth="1"/>
    <col min="15613" max="15613" width="31.5546875" style="62" customWidth="1"/>
    <col min="15614" max="15614" width="14.6640625" style="62" customWidth="1"/>
    <col min="15615" max="15867" width="11.5546875" style="62"/>
    <col min="15868" max="15868" width="0" style="62" hidden="1" customWidth="1"/>
    <col min="15869" max="15869" width="31.5546875" style="62" customWidth="1"/>
    <col min="15870" max="15870" width="14.6640625" style="62" customWidth="1"/>
    <col min="15871" max="16123" width="11.5546875" style="62"/>
    <col min="16124" max="16124" width="0" style="62" hidden="1" customWidth="1"/>
    <col min="16125" max="16125" width="31.5546875" style="62" customWidth="1"/>
    <col min="16126" max="16126" width="14.6640625" style="62" customWidth="1"/>
    <col min="16127" max="16384" width="11.5546875" style="62"/>
  </cols>
  <sheetData>
    <row r="1" spans="1:153" s="94" customFormat="1" ht="22.5" customHeight="1" x14ac:dyDescent="0.2">
      <c r="A1" s="527" t="s">
        <v>0</v>
      </c>
      <c r="B1" s="527" t="s">
        <v>543</v>
      </c>
      <c r="C1" s="535" t="s">
        <v>1</v>
      </c>
      <c r="D1" s="526" t="s">
        <v>584</v>
      </c>
      <c r="E1" s="526" t="s">
        <v>547</v>
      </c>
      <c r="F1" s="536" t="s">
        <v>122</v>
      </c>
      <c r="G1" s="526" t="s">
        <v>568</v>
      </c>
      <c r="H1" s="534" t="s">
        <v>122</v>
      </c>
      <c r="I1" s="526" t="s">
        <v>592</v>
      </c>
      <c r="J1" s="526" t="s">
        <v>548</v>
      </c>
      <c r="K1" s="530" t="s">
        <v>124</v>
      </c>
      <c r="L1" s="537" t="s">
        <v>125</v>
      </c>
      <c r="M1" s="538"/>
      <c r="N1" s="538"/>
      <c r="O1" s="538"/>
      <c r="P1" s="538"/>
      <c r="Q1" s="538"/>
      <c r="R1" s="538"/>
      <c r="S1" s="539"/>
      <c r="T1" s="526" t="s">
        <v>583</v>
      </c>
      <c r="U1" s="526" t="s">
        <v>588</v>
      </c>
      <c r="V1" s="334"/>
      <c r="W1" s="334"/>
      <c r="X1" s="334"/>
      <c r="Y1" s="334"/>
      <c r="Z1" s="334"/>
      <c r="AA1" s="334"/>
      <c r="AB1" s="334"/>
      <c r="AC1" s="334"/>
      <c r="AD1" s="334"/>
      <c r="AE1" s="334"/>
      <c r="AF1" s="334"/>
      <c r="AG1" s="334"/>
      <c r="AH1" s="334"/>
      <c r="AI1" s="334"/>
      <c r="AJ1" s="334"/>
      <c r="AK1" s="334"/>
      <c r="AL1" s="334"/>
      <c r="AM1" s="334"/>
      <c r="AN1" s="334"/>
      <c r="AO1" s="334"/>
      <c r="AP1" s="334"/>
      <c r="AQ1" s="334"/>
      <c r="AR1" s="334"/>
      <c r="AS1" s="334"/>
      <c r="AT1" s="334"/>
      <c r="AU1" s="334"/>
      <c r="AV1" s="334"/>
      <c r="AW1" s="334"/>
      <c r="AX1" s="334"/>
      <c r="AY1" s="334"/>
      <c r="AZ1" s="334"/>
      <c r="BA1" s="334"/>
      <c r="BB1" s="334"/>
      <c r="BC1" s="334"/>
      <c r="BD1" s="334"/>
      <c r="BE1" s="334"/>
      <c r="BF1" s="334"/>
      <c r="BG1" s="334"/>
      <c r="BH1" s="334"/>
      <c r="BI1" s="334"/>
      <c r="BJ1" s="334"/>
      <c r="BK1" s="334"/>
      <c r="BL1" s="334"/>
      <c r="BM1" s="334"/>
      <c r="BN1" s="334"/>
      <c r="BO1" s="334"/>
      <c r="BP1" s="334"/>
      <c r="BQ1" s="334"/>
      <c r="BR1" s="334"/>
      <c r="BS1" s="334"/>
      <c r="BT1" s="334"/>
      <c r="BU1" s="334"/>
      <c r="BV1" s="334"/>
      <c r="BW1" s="334"/>
      <c r="BX1" s="334"/>
      <c r="BY1" s="334"/>
      <c r="BZ1" s="334"/>
      <c r="CA1" s="334"/>
      <c r="CB1" s="334"/>
      <c r="CC1" s="334"/>
      <c r="CD1" s="334"/>
      <c r="CE1" s="334"/>
      <c r="CF1" s="334"/>
      <c r="CG1" s="334"/>
      <c r="CH1" s="334"/>
      <c r="CI1" s="334"/>
      <c r="CJ1" s="334"/>
      <c r="CK1" s="334"/>
      <c r="CL1" s="334"/>
      <c r="CM1" s="334"/>
      <c r="CN1" s="334"/>
      <c r="CO1" s="334"/>
      <c r="CP1" s="334"/>
      <c r="CQ1" s="334"/>
      <c r="CR1" s="334"/>
      <c r="CS1" s="334"/>
      <c r="CT1" s="334"/>
      <c r="CU1" s="334"/>
      <c r="CV1" s="334"/>
      <c r="CW1" s="334"/>
      <c r="CX1" s="334"/>
      <c r="CY1" s="334"/>
      <c r="CZ1" s="334"/>
      <c r="DA1" s="334"/>
      <c r="DB1" s="334"/>
      <c r="DC1" s="334"/>
      <c r="DD1" s="334"/>
      <c r="DE1" s="334"/>
      <c r="DF1" s="334"/>
      <c r="DG1" s="334"/>
      <c r="DH1" s="334"/>
      <c r="DI1" s="334"/>
      <c r="DJ1" s="334"/>
      <c r="DK1" s="334"/>
      <c r="DL1" s="334"/>
      <c r="DM1" s="334"/>
      <c r="DN1" s="334"/>
      <c r="DO1" s="334"/>
      <c r="DP1" s="334"/>
      <c r="DQ1" s="334"/>
      <c r="DR1" s="334"/>
      <c r="DS1" s="334"/>
      <c r="DT1" s="334"/>
      <c r="DU1" s="334"/>
      <c r="DV1" s="334"/>
      <c r="DW1" s="334"/>
      <c r="DX1" s="334"/>
      <c r="DY1" s="334"/>
      <c r="DZ1" s="334"/>
      <c r="EA1" s="334"/>
      <c r="EB1" s="334"/>
      <c r="EC1" s="334"/>
      <c r="ED1" s="334"/>
      <c r="EE1" s="334"/>
      <c r="EF1" s="334"/>
      <c r="EG1" s="334"/>
      <c r="EH1" s="334"/>
      <c r="EI1" s="334"/>
      <c r="EJ1" s="334"/>
      <c r="EK1" s="334"/>
      <c r="EL1" s="334"/>
      <c r="EM1" s="334"/>
      <c r="EN1" s="334"/>
      <c r="EO1" s="334"/>
      <c r="EP1" s="334"/>
      <c r="EQ1" s="334"/>
      <c r="ER1" s="334"/>
      <c r="ES1" s="334"/>
      <c r="ET1" s="334"/>
      <c r="EU1" s="334"/>
      <c r="EV1" s="334"/>
      <c r="EW1" s="334"/>
    </row>
    <row r="2" spans="1:153" s="94" customFormat="1" ht="22.5" customHeight="1" x14ac:dyDescent="0.2">
      <c r="A2" s="528"/>
      <c r="B2" s="528"/>
      <c r="C2" s="535"/>
      <c r="D2" s="526"/>
      <c r="E2" s="526"/>
      <c r="F2" s="536"/>
      <c r="G2" s="526"/>
      <c r="H2" s="534"/>
      <c r="I2" s="526"/>
      <c r="J2" s="526"/>
      <c r="K2" s="531"/>
      <c r="L2" s="533" t="s">
        <v>126</v>
      </c>
      <c r="M2" s="533"/>
      <c r="N2" s="533" t="s">
        <v>127</v>
      </c>
      <c r="O2" s="533"/>
      <c r="P2" s="533" t="s">
        <v>128</v>
      </c>
      <c r="Q2" s="533"/>
      <c r="R2" s="533"/>
      <c r="S2" s="533"/>
      <c r="T2" s="526"/>
      <c r="U2" s="526"/>
      <c r="V2" s="334"/>
      <c r="W2" s="334"/>
      <c r="X2" s="334"/>
      <c r="Y2" s="334"/>
      <c r="Z2" s="334"/>
      <c r="AA2" s="334"/>
      <c r="AB2" s="334"/>
      <c r="AC2" s="334"/>
      <c r="AD2" s="334"/>
      <c r="AE2" s="334"/>
      <c r="AF2" s="334"/>
      <c r="AG2" s="334"/>
      <c r="AH2" s="334"/>
      <c r="AI2" s="334"/>
      <c r="AJ2" s="334"/>
      <c r="AK2" s="334"/>
      <c r="AL2" s="334"/>
      <c r="AM2" s="334"/>
      <c r="AN2" s="334"/>
      <c r="AO2" s="334"/>
      <c r="AP2" s="334"/>
      <c r="AQ2" s="334"/>
      <c r="AR2" s="334"/>
      <c r="AS2" s="334"/>
      <c r="AT2" s="334"/>
      <c r="AU2" s="334"/>
      <c r="AV2" s="334"/>
      <c r="AW2" s="334"/>
      <c r="AX2" s="334"/>
      <c r="AY2" s="334"/>
      <c r="AZ2" s="334"/>
      <c r="BA2" s="334"/>
      <c r="BB2" s="334"/>
      <c r="BC2" s="334"/>
      <c r="BD2" s="334"/>
      <c r="BE2" s="334"/>
      <c r="BF2" s="334"/>
      <c r="BG2" s="334"/>
      <c r="BH2" s="334"/>
      <c r="BI2" s="334"/>
      <c r="BJ2" s="334"/>
      <c r="BK2" s="334"/>
      <c r="BL2" s="334"/>
      <c r="BM2" s="334"/>
      <c r="BN2" s="334"/>
      <c r="BO2" s="334"/>
      <c r="BP2" s="334"/>
      <c r="BQ2" s="334"/>
      <c r="BR2" s="334"/>
      <c r="BS2" s="334"/>
      <c r="BT2" s="334"/>
      <c r="BU2" s="334"/>
      <c r="BV2" s="334"/>
      <c r="BW2" s="334"/>
      <c r="BX2" s="334"/>
      <c r="BY2" s="334"/>
      <c r="BZ2" s="334"/>
      <c r="CA2" s="334"/>
      <c r="CB2" s="334"/>
      <c r="CC2" s="334"/>
      <c r="CD2" s="334"/>
      <c r="CE2" s="334"/>
      <c r="CF2" s="334"/>
      <c r="CG2" s="334"/>
      <c r="CH2" s="334"/>
      <c r="CI2" s="334"/>
      <c r="CJ2" s="334"/>
      <c r="CK2" s="334"/>
      <c r="CL2" s="334"/>
      <c r="CM2" s="334"/>
      <c r="CN2" s="334"/>
      <c r="CO2" s="334"/>
      <c r="CP2" s="334"/>
      <c r="CQ2" s="334"/>
      <c r="CR2" s="334"/>
      <c r="CS2" s="334"/>
      <c r="CT2" s="334"/>
      <c r="CU2" s="334"/>
      <c r="CV2" s="334"/>
      <c r="CW2" s="334"/>
      <c r="CX2" s="334"/>
      <c r="CY2" s="334"/>
      <c r="CZ2" s="334"/>
      <c r="DA2" s="334"/>
      <c r="DB2" s="334"/>
      <c r="DC2" s="334"/>
      <c r="DD2" s="334"/>
      <c r="DE2" s="334"/>
      <c r="DF2" s="334"/>
      <c r="DG2" s="334"/>
      <c r="DH2" s="334"/>
      <c r="DI2" s="334"/>
      <c r="DJ2" s="334"/>
      <c r="DK2" s="334"/>
      <c r="DL2" s="334"/>
      <c r="DM2" s="334"/>
      <c r="DN2" s="334"/>
      <c r="DO2" s="334"/>
      <c r="DP2" s="334"/>
      <c r="DQ2" s="334"/>
      <c r="DR2" s="334"/>
      <c r="DS2" s="334"/>
      <c r="DT2" s="334"/>
      <c r="DU2" s="334"/>
      <c r="DV2" s="334"/>
      <c r="DW2" s="334"/>
      <c r="DX2" s="334"/>
      <c r="DY2" s="334"/>
      <c r="DZ2" s="334"/>
      <c r="EA2" s="334"/>
      <c r="EB2" s="334"/>
      <c r="EC2" s="334"/>
      <c r="ED2" s="334"/>
      <c r="EE2" s="334"/>
      <c r="EF2" s="334"/>
      <c r="EG2" s="334"/>
      <c r="EH2" s="334"/>
      <c r="EI2" s="334"/>
      <c r="EJ2" s="334"/>
      <c r="EK2" s="334"/>
      <c r="EL2" s="334"/>
      <c r="EM2" s="334"/>
      <c r="EN2" s="334"/>
      <c r="EO2" s="334"/>
      <c r="EP2" s="334"/>
      <c r="EQ2" s="334"/>
      <c r="ER2" s="334"/>
      <c r="ES2" s="334"/>
      <c r="ET2" s="334"/>
      <c r="EU2" s="334"/>
      <c r="EV2" s="334"/>
      <c r="EW2" s="334"/>
    </row>
    <row r="3" spans="1:153" s="94" customFormat="1" ht="18.75" customHeight="1" x14ac:dyDescent="0.2">
      <c r="A3" s="529"/>
      <c r="B3" s="529"/>
      <c r="C3" s="535"/>
      <c r="D3" s="526"/>
      <c r="E3" s="526"/>
      <c r="F3" s="536"/>
      <c r="G3" s="526"/>
      <c r="H3" s="534"/>
      <c r="I3" s="526"/>
      <c r="J3" s="526"/>
      <c r="K3" s="532"/>
      <c r="L3" s="527" t="s">
        <v>129</v>
      </c>
      <c r="M3" s="540" t="s">
        <v>122</v>
      </c>
      <c r="N3" s="527" t="s">
        <v>129</v>
      </c>
      <c r="O3" s="540" t="s">
        <v>122</v>
      </c>
      <c r="P3" s="533" t="s">
        <v>130</v>
      </c>
      <c r="Q3" s="533"/>
      <c r="R3" s="533" t="s">
        <v>131</v>
      </c>
      <c r="S3" s="533"/>
      <c r="T3" s="526"/>
      <c r="U3" s="526"/>
      <c r="V3" s="334"/>
      <c r="W3" s="334"/>
      <c r="X3" s="334"/>
      <c r="Y3" s="334"/>
      <c r="Z3" s="334"/>
      <c r="AA3" s="334"/>
      <c r="AB3" s="334"/>
      <c r="AC3" s="334"/>
      <c r="AD3" s="334"/>
      <c r="AE3" s="334"/>
      <c r="AF3" s="334"/>
      <c r="AG3" s="334"/>
      <c r="AH3" s="334"/>
      <c r="AI3" s="334"/>
      <c r="AJ3" s="334"/>
      <c r="AK3" s="334"/>
      <c r="AL3" s="334"/>
      <c r="AM3" s="334"/>
      <c r="AN3" s="334"/>
      <c r="AO3" s="334"/>
      <c r="AP3" s="334"/>
      <c r="AQ3" s="334"/>
      <c r="AR3" s="334"/>
      <c r="AS3" s="334"/>
      <c r="AT3" s="334"/>
      <c r="AU3" s="334"/>
      <c r="AV3" s="334"/>
      <c r="AW3" s="334"/>
      <c r="AX3" s="334"/>
      <c r="AY3" s="334"/>
      <c r="AZ3" s="334"/>
      <c r="BA3" s="334"/>
      <c r="BB3" s="334"/>
      <c r="BC3" s="334"/>
      <c r="BD3" s="334"/>
      <c r="BE3" s="334"/>
      <c r="BF3" s="334"/>
      <c r="BG3" s="334"/>
      <c r="BH3" s="334"/>
      <c r="BI3" s="334"/>
      <c r="BJ3" s="334"/>
      <c r="BK3" s="334"/>
      <c r="BL3" s="334"/>
      <c r="BM3" s="334"/>
      <c r="BN3" s="334"/>
      <c r="BO3" s="334"/>
      <c r="BP3" s="334"/>
      <c r="BQ3" s="334"/>
      <c r="BR3" s="334"/>
      <c r="BS3" s="334"/>
      <c r="BT3" s="334"/>
      <c r="BU3" s="334"/>
      <c r="BV3" s="334"/>
      <c r="BW3" s="334"/>
      <c r="BX3" s="334"/>
      <c r="BY3" s="334"/>
      <c r="BZ3" s="334"/>
      <c r="CA3" s="334"/>
      <c r="CB3" s="334"/>
      <c r="CC3" s="334"/>
      <c r="CD3" s="334"/>
      <c r="CE3" s="334"/>
      <c r="CF3" s="334"/>
      <c r="CG3" s="334"/>
      <c r="CH3" s="334"/>
      <c r="CI3" s="334"/>
      <c r="CJ3" s="334"/>
      <c r="CK3" s="334"/>
      <c r="CL3" s="334"/>
      <c r="CM3" s="334"/>
      <c r="CN3" s="334"/>
      <c r="CO3" s="334"/>
      <c r="CP3" s="334"/>
      <c r="CQ3" s="334"/>
      <c r="CR3" s="334"/>
      <c r="CS3" s="334"/>
      <c r="CT3" s="334"/>
      <c r="CU3" s="334"/>
      <c r="CV3" s="334"/>
      <c r="CW3" s="334"/>
      <c r="CX3" s="334"/>
      <c r="CY3" s="334"/>
      <c r="CZ3" s="334"/>
      <c r="DA3" s="334"/>
      <c r="DB3" s="334"/>
      <c r="DC3" s="334"/>
      <c r="DD3" s="334"/>
      <c r="DE3" s="334"/>
      <c r="DF3" s="334"/>
      <c r="DG3" s="334"/>
      <c r="DH3" s="334"/>
      <c r="DI3" s="334"/>
      <c r="DJ3" s="334"/>
      <c r="DK3" s="334"/>
      <c r="DL3" s="334"/>
      <c r="DM3" s="334"/>
      <c r="DN3" s="334"/>
      <c r="DO3" s="334"/>
      <c r="DP3" s="334"/>
      <c r="DQ3" s="334"/>
      <c r="DR3" s="334"/>
      <c r="DS3" s="334"/>
      <c r="DT3" s="334"/>
      <c r="DU3" s="334"/>
      <c r="DV3" s="334"/>
      <c r="DW3" s="334"/>
      <c r="DX3" s="334"/>
      <c r="DY3" s="334"/>
      <c r="DZ3" s="334"/>
      <c r="EA3" s="334"/>
      <c r="EB3" s="334"/>
      <c r="EC3" s="334"/>
      <c r="ED3" s="334"/>
      <c r="EE3" s="334"/>
      <c r="EF3" s="334"/>
      <c r="EG3" s="334"/>
      <c r="EH3" s="334"/>
      <c r="EI3" s="334"/>
      <c r="EJ3" s="334"/>
      <c r="EK3" s="334"/>
      <c r="EL3" s="334"/>
      <c r="EM3" s="334"/>
      <c r="EN3" s="334"/>
      <c r="EO3" s="334"/>
      <c r="EP3" s="334"/>
      <c r="EQ3" s="334"/>
      <c r="ER3" s="334"/>
      <c r="ES3" s="334"/>
      <c r="ET3" s="334"/>
      <c r="EU3" s="334"/>
      <c r="EV3" s="334"/>
      <c r="EW3" s="334"/>
    </row>
    <row r="4" spans="1:153" s="94" customFormat="1" ht="18.75" hidden="1" customHeight="1" x14ac:dyDescent="0.2">
      <c r="A4" s="93"/>
      <c r="B4" s="221"/>
      <c r="C4" s="251"/>
      <c r="D4" s="252"/>
      <c r="E4" s="252"/>
      <c r="F4" s="253"/>
      <c r="G4" s="252"/>
      <c r="H4" s="254"/>
      <c r="I4" s="99"/>
      <c r="J4" s="252"/>
      <c r="K4" s="96"/>
      <c r="L4" s="529"/>
      <c r="M4" s="541"/>
      <c r="N4" s="529"/>
      <c r="O4" s="541"/>
      <c r="P4" s="95" t="s">
        <v>129</v>
      </c>
      <c r="Q4" s="99" t="s">
        <v>122</v>
      </c>
      <c r="R4" s="95" t="s">
        <v>129</v>
      </c>
      <c r="S4" s="99" t="s">
        <v>122</v>
      </c>
      <c r="T4" s="252"/>
      <c r="U4" s="93"/>
      <c r="V4" s="334"/>
      <c r="W4" s="334"/>
      <c r="X4" s="334"/>
      <c r="Y4" s="334"/>
      <c r="Z4" s="334"/>
      <c r="AA4" s="334"/>
      <c r="AB4" s="334"/>
      <c r="AC4" s="334"/>
      <c r="AD4" s="334"/>
      <c r="AE4" s="334"/>
      <c r="AF4" s="334"/>
      <c r="AG4" s="334"/>
      <c r="AH4" s="334"/>
      <c r="AI4" s="334"/>
      <c r="AJ4" s="334"/>
      <c r="AK4" s="334"/>
      <c r="AL4" s="334"/>
      <c r="AM4" s="334"/>
      <c r="AN4" s="334"/>
      <c r="AO4" s="334"/>
      <c r="AP4" s="334"/>
      <c r="AQ4" s="334"/>
      <c r="AR4" s="334"/>
      <c r="AS4" s="334"/>
      <c r="AT4" s="334"/>
      <c r="AU4" s="334"/>
      <c r="AV4" s="334"/>
      <c r="AW4" s="334"/>
      <c r="AX4" s="334"/>
      <c r="AY4" s="334"/>
      <c r="AZ4" s="334"/>
      <c r="BA4" s="334"/>
      <c r="BB4" s="334"/>
      <c r="BC4" s="334"/>
      <c r="BD4" s="334"/>
      <c r="BE4" s="334"/>
      <c r="BF4" s="334"/>
      <c r="BG4" s="334"/>
      <c r="BH4" s="334"/>
      <c r="BI4" s="334"/>
      <c r="BJ4" s="334"/>
      <c r="BK4" s="334"/>
      <c r="BL4" s="334"/>
      <c r="BM4" s="334"/>
      <c r="BN4" s="334"/>
      <c r="BO4" s="334"/>
      <c r="BP4" s="334"/>
      <c r="BQ4" s="334"/>
      <c r="BR4" s="334"/>
      <c r="BS4" s="334"/>
      <c r="BT4" s="334"/>
      <c r="BU4" s="334"/>
      <c r="BV4" s="334"/>
      <c r="BW4" s="334"/>
      <c r="BX4" s="334"/>
      <c r="BY4" s="334"/>
      <c r="BZ4" s="334"/>
      <c r="CA4" s="334"/>
      <c r="CB4" s="334"/>
      <c r="CC4" s="334"/>
      <c r="CD4" s="334"/>
      <c r="CE4" s="334"/>
      <c r="CF4" s="334"/>
      <c r="CG4" s="334"/>
      <c r="CH4" s="334"/>
      <c r="CI4" s="334"/>
      <c r="CJ4" s="334"/>
      <c r="CK4" s="334"/>
      <c r="CL4" s="334"/>
      <c r="CM4" s="334"/>
      <c r="CN4" s="334"/>
      <c r="CO4" s="334"/>
      <c r="CP4" s="334"/>
      <c r="CQ4" s="334"/>
      <c r="CR4" s="334"/>
      <c r="CS4" s="334"/>
      <c r="CT4" s="334"/>
      <c r="CU4" s="334"/>
      <c r="CV4" s="334"/>
      <c r="CW4" s="334"/>
      <c r="CX4" s="334"/>
      <c r="CY4" s="334"/>
      <c r="CZ4" s="334"/>
      <c r="DA4" s="334"/>
      <c r="DB4" s="334"/>
      <c r="DC4" s="334"/>
      <c r="DD4" s="334"/>
      <c r="DE4" s="334"/>
      <c r="DF4" s="334"/>
      <c r="DG4" s="334"/>
      <c r="DH4" s="334"/>
      <c r="DI4" s="334"/>
      <c r="DJ4" s="334"/>
      <c r="DK4" s="334"/>
      <c r="DL4" s="334"/>
      <c r="DM4" s="334"/>
      <c r="DN4" s="334"/>
      <c r="DO4" s="334"/>
      <c r="DP4" s="334"/>
      <c r="DQ4" s="334"/>
      <c r="DR4" s="334"/>
      <c r="DS4" s="334"/>
      <c r="DT4" s="334"/>
      <c r="DU4" s="334"/>
      <c r="DV4" s="334"/>
      <c r="DW4" s="334"/>
      <c r="DX4" s="334"/>
      <c r="DY4" s="334"/>
      <c r="DZ4" s="334"/>
      <c r="EA4" s="334"/>
      <c r="EB4" s="334"/>
      <c r="EC4" s="334"/>
      <c r="ED4" s="334"/>
      <c r="EE4" s="334"/>
      <c r="EF4" s="334"/>
      <c r="EG4" s="334"/>
      <c r="EH4" s="334"/>
      <c r="EI4" s="334"/>
      <c r="EJ4" s="334"/>
      <c r="EK4" s="334"/>
      <c r="EL4" s="334"/>
      <c r="EM4" s="334"/>
      <c r="EN4" s="334"/>
      <c r="EO4" s="334"/>
      <c r="EP4" s="334"/>
      <c r="EQ4" s="334"/>
      <c r="ER4" s="334"/>
      <c r="ES4" s="334"/>
      <c r="ET4" s="334"/>
      <c r="EU4" s="334"/>
      <c r="EV4" s="334"/>
      <c r="EW4" s="334"/>
    </row>
    <row r="5" spans="1:153" x14ac:dyDescent="0.25">
      <c r="A5" s="60" t="s">
        <v>2</v>
      </c>
      <c r="B5" s="223"/>
      <c r="C5" s="61" t="s">
        <v>3</v>
      </c>
      <c r="D5" s="310">
        <f>+D6+D58</f>
        <v>148929289342</v>
      </c>
      <c r="E5" s="310">
        <f t="shared" ref="E5:G5" si="0">+E6+E58</f>
        <v>134173484797.73001</v>
      </c>
      <c r="F5" s="311">
        <f>+E5/D5</f>
        <v>0.90092073487045998</v>
      </c>
      <c r="G5" s="310">
        <f t="shared" si="0"/>
        <v>142576598773.89966</v>
      </c>
      <c r="H5" s="312">
        <f>+G5/D5</f>
        <v>0.95734424977002286</v>
      </c>
      <c r="I5" s="313">
        <f t="shared" ref="I5:L5" si="1">+I6+I58</f>
        <v>145220109236.64001</v>
      </c>
      <c r="J5" s="313">
        <f t="shared" si="1"/>
        <v>141260013005.34863</v>
      </c>
      <c r="K5" s="89">
        <f>+(J5-G5)/G5</f>
        <v>-9.2342346491157985E-3</v>
      </c>
      <c r="L5" s="86">
        <f t="shared" si="1"/>
        <v>11494506268.421753</v>
      </c>
      <c r="M5" s="97"/>
      <c r="N5" s="86">
        <f t="shared" ref="N5" si="2">+N6+N58</f>
        <v>5614497519.9055462</v>
      </c>
      <c r="O5" s="97"/>
      <c r="P5" s="86">
        <f t="shared" ref="P5" si="3">+P6+P58</f>
        <v>12363481377.636566</v>
      </c>
      <c r="Q5" s="97"/>
      <c r="R5" s="86">
        <f t="shared" ref="R5" si="4">+R6+R58</f>
        <v>111787527839.38477</v>
      </c>
      <c r="S5" s="97"/>
      <c r="T5" s="310">
        <f>+I5-J5</f>
        <v>3960096231.2913818</v>
      </c>
      <c r="U5" s="339">
        <f t="shared" ref="U5:U25" si="5">+J5/G5*100-100</f>
        <v>-0.92342346491157912</v>
      </c>
    </row>
    <row r="6" spans="1:153" s="64" customFormat="1" x14ac:dyDescent="0.25">
      <c r="A6" s="63" t="s">
        <v>4</v>
      </c>
      <c r="B6" s="224"/>
      <c r="C6" s="63" t="s">
        <v>5</v>
      </c>
      <c r="D6" s="314">
        <f>D7+D12</f>
        <v>131210369257</v>
      </c>
      <c r="E6" s="314">
        <f t="shared" ref="E6:G6" si="6">E7+E12</f>
        <v>113166935770.85001</v>
      </c>
      <c r="F6" s="311">
        <f t="shared" ref="F6:F70" si="7">+E6/D6</f>
        <v>0.86248469851640641</v>
      </c>
      <c r="G6" s="314">
        <f t="shared" si="6"/>
        <v>119689977122.44366</v>
      </c>
      <c r="H6" s="312">
        <f t="shared" ref="H6:H68" si="8">+G6/D6</f>
        <v>0.91219907237673037</v>
      </c>
      <c r="I6" s="315">
        <f t="shared" ref="I6:L6" si="9">I7+I12</f>
        <v>122237690494.58</v>
      </c>
      <c r="J6" s="315">
        <f t="shared" si="9"/>
        <v>140755637685.51984</v>
      </c>
      <c r="K6" s="89">
        <f t="shared" ref="K6:K68" si="10">+(J6-G6)/G6</f>
        <v>0.17600187642717868</v>
      </c>
      <c r="L6" s="84">
        <f t="shared" si="9"/>
        <v>11494506268.421753</v>
      </c>
      <c r="M6" s="97"/>
      <c r="N6" s="84">
        <f t="shared" ref="N6" si="11">N7+N12</f>
        <v>5614497519.9055462</v>
      </c>
      <c r="O6" s="97"/>
      <c r="P6" s="84">
        <f t="shared" ref="P6" si="12">P7+P12</f>
        <v>12313043845.653687</v>
      </c>
      <c r="Q6" s="97"/>
      <c r="R6" s="84">
        <f t="shared" ref="R6" si="13">R7+R12</f>
        <v>111333590051.53885</v>
      </c>
      <c r="S6" s="97"/>
      <c r="T6" s="314">
        <f>+J6-I6</f>
        <v>18517947190.939835</v>
      </c>
      <c r="U6" s="340">
        <f t="shared" si="5"/>
        <v>17.60018764271787</v>
      </c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</row>
    <row r="7" spans="1:153" x14ac:dyDescent="0.25">
      <c r="A7" s="65" t="s">
        <v>6</v>
      </c>
      <c r="B7" s="225"/>
      <c r="C7" s="66" t="s">
        <v>7</v>
      </c>
      <c r="D7" s="316">
        <f>+D8</f>
        <v>15911638600</v>
      </c>
      <c r="E7" s="316">
        <f t="shared" ref="E7:R8" si="14">+E8</f>
        <v>11965599195.58</v>
      </c>
      <c r="F7" s="311">
        <f t="shared" si="7"/>
        <v>0.75200295182546439</v>
      </c>
      <c r="G7" s="316">
        <f t="shared" si="14"/>
        <v>14007338999.320999</v>
      </c>
      <c r="H7" s="312">
        <f t="shared" si="8"/>
        <v>0.88032033352749728</v>
      </c>
      <c r="I7" s="317">
        <f t="shared" si="14"/>
        <v>14459473207.58</v>
      </c>
      <c r="J7" s="317">
        <f t="shared" si="14"/>
        <v>16422288760.272699</v>
      </c>
      <c r="K7" s="89">
        <f t="shared" si="10"/>
        <v>0.17240603379905092</v>
      </c>
      <c r="L7" s="85">
        <f t="shared" si="14"/>
        <v>0</v>
      </c>
      <c r="M7" s="97"/>
      <c r="N7" s="85">
        <f t="shared" si="14"/>
        <v>0</v>
      </c>
      <c r="O7" s="97"/>
      <c r="P7" s="85">
        <f t="shared" si="14"/>
        <v>1642228876.0272701</v>
      </c>
      <c r="Q7" s="97"/>
      <c r="R7" s="85">
        <f t="shared" si="14"/>
        <v>14780059884.24543</v>
      </c>
      <c r="S7" s="97"/>
      <c r="T7" s="310">
        <f>+I7-J7</f>
        <v>-1962815552.6926994</v>
      </c>
      <c r="U7" s="339">
        <f t="shared" si="5"/>
        <v>17.240603379905096</v>
      </c>
    </row>
    <row r="8" spans="1:153" s="64" customFormat="1" x14ac:dyDescent="0.25">
      <c r="A8" s="67" t="s">
        <v>8</v>
      </c>
      <c r="B8" s="222"/>
      <c r="C8" s="63" t="s">
        <v>9</v>
      </c>
      <c r="D8" s="314">
        <f>+D9</f>
        <v>15911638600</v>
      </c>
      <c r="E8" s="314">
        <f t="shared" si="14"/>
        <v>11965599195.58</v>
      </c>
      <c r="F8" s="311">
        <f t="shared" si="7"/>
        <v>0.75200295182546439</v>
      </c>
      <c r="G8" s="314">
        <f t="shared" si="14"/>
        <v>14007338999.320999</v>
      </c>
      <c r="H8" s="312">
        <f t="shared" si="8"/>
        <v>0.88032033352749728</v>
      </c>
      <c r="I8" s="315">
        <f>+I9</f>
        <v>14459473207.58</v>
      </c>
      <c r="J8" s="315">
        <f t="shared" si="14"/>
        <v>16422288760.272699</v>
      </c>
      <c r="K8" s="89">
        <f t="shared" si="10"/>
        <v>0.17240603379905092</v>
      </c>
      <c r="L8" s="84">
        <f t="shared" si="14"/>
        <v>0</v>
      </c>
      <c r="M8" s="97"/>
      <c r="N8" s="84">
        <f t="shared" si="14"/>
        <v>0</v>
      </c>
      <c r="O8" s="97"/>
      <c r="P8" s="84">
        <f t="shared" si="14"/>
        <v>1642228876.0272701</v>
      </c>
      <c r="Q8" s="97"/>
      <c r="R8" s="84">
        <f t="shared" si="14"/>
        <v>14780059884.24543</v>
      </c>
      <c r="S8" s="97"/>
      <c r="T8" s="314">
        <f>+J8-I8</f>
        <v>1962815552.6926994</v>
      </c>
      <c r="U8" s="340">
        <f t="shared" si="5"/>
        <v>17.240603379905096</v>
      </c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2"/>
      <c r="CA8" s="62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2"/>
      <c r="CS8" s="62"/>
      <c r="CT8" s="62"/>
      <c r="CU8" s="62"/>
      <c r="CV8" s="62"/>
      <c r="CW8" s="62"/>
      <c r="CX8" s="62"/>
      <c r="CY8" s="62"/>
      <c r="CZ8" s="62"/>
      <c r="DA8" s="62"/>
      <c r="DB8" s="62"/>
      <c r="DC8" s="62"/>
      <c r="DD8" s="62"/>
      <c r="DE8" s="62"/>
      <c r="DF8" s="62"/>
      <c r="DG8" s="62"/>
      <c r="DH8" s="62"/>
      <c r="DI8" s="62"/>
      <c r="DJ8" s="62"/>
      <c r="DK8" s="62"/>
      <c r="DL8" s="62"/>
      <c r="DM8" s="62"/>
      <c r="DN8" s="62"/>
      <c r="DO8" s="62"/>
      <c r="DP8" s="62"/>
      <c r="DQ8" s="62"/>
      <c r="DR8" s="62"/>
      <c r="DS8" s="62"/>
      <c r="DT8" s="62"/>
      <c r="DU8" s="62"/>
      <c r="DV8" s="62"/>
      <c r="DW8" s="62"/>
      <c r="DX8" s="62"/>
      <c r="DY8" s="62"/>
      <c r="DZ8" s="62"/>
      <c r="EA8" s="62"/>
      <c r="EB8" s="62"/>
      <c r="EC8" s="62"/>
      <c r="ED8" s="62"/>
      <c r="EE8" s="62"/>
      <c r="EF8" s="62"/>
      <c r="EG8" s="62"/>
      <c r="EH8" s="62"/>
      <c r="EI8" s="62"/>
      <c r="EJ8" s="62"/>
      <c r="EK8" s="62"/>
      <c r="EL8" s="62"/>
      <c r="EM8" s="62"/>
      <c r="EN8" s="62"/>
      <c r="EO8" s="62"/>
      <c r="EP8" s="62"/>
      <c r="EQ8" s="62"/>
      <c r="ER8" s="62"/>
      <c r="ES8" s="62"/>
      <c r="ET8" s="62"/>
      <c r="EU8" s="62"/>
      <c r="EV8" s="62"/>
      <c r="EW8" s="62"/>
    </row>
    <row r="9" spans="1:153" x14ac:dyDescent="0.25">
      <c r="A9" s="68" t="s">
        <v>10</v>
      </c>
      <c r="B9" s="226">
        <v>31</v>
      </c>
      <c r="C9" s="66" t="s">
        <v>11</v>
      </c>
      <c r="D9" s="316">
        <f>+D10+D11</f>
        <v>15911638600</v>
      </c>
      <c r="E9" s="316">
        <f t="shared" ref="E9:G9" si="15">+E10+E11</f>
        <v>11965599195.58</v>
      </c>
      <c r="F9" s="311">
        <f t="shared" si="7"/>
        <v>0.75200295182546439</v>
      </c>
      <c r="G9" s="316">
        <f t="shared" si="15"/>
        <v>14007338999.320999</v>
      </c>
      <c r="H9" s="312">
        <f t="shared" si="8"/>
        <v>0.88032033352749728</v>
      </c>
      <c r="I9" s="317">
        <f t="shared" ref="I9:L9" si="16">+I10+I11</f>
        <v>14459473207.58</v>
      </c>
      <c r="J9" s="317">
        <f t="shared" si="16"/>
        <v>16422288760.272699</v>
      </c>
      <c r="K9" s="89">
        <f t="shared" si="10"/>
        <v>0.17240603379905092</v>
      </c>
      <c r="L9" s="85">
        <f t="shared" si="16"/>
        <v>0</v>
      </c>
      <c r="M9" s="97"/>
      <c r="N9" s="85">
        <f t="shared" ref="N9" si="17">+N10+N11</f>
        <v>0</v>
      </c>
      <c r="O9" s="97"/>
      <c r="P9" s="85">
        <f t="shared" ref="P9" si="18">+P10+P11</f>
        <v>1642228876.0272701</v>
      </c>
      <c r="Q9" s="97"/>
      <c r="R9" s="85">
        <f t="shared" ref="R9" si="19">+R10+R11</f>
        <v>14780059884.24543</v>
      </c>
      <c r="S9" s="97"/>
      <c r="T9" s="310">
        <f>+I9-J9</f>
        <v>-1962815552.6926994</v>
      </c>
      <c r="U9" s="339">
        <f t="shared" si="5"/>
        <v>17.240603379905096</v>
      </c>
    </row>
    <row r="10" spans="1:153" s="64" customFormat="1" x14ac:dyDescent="0.25">
      <c r="A10" s="69" t="s">
        <v>12</v>
      </c>
      <c r="B10" s="222"/>
      <c r="C10" s="63" t="s">
        <v>13</v>
      </c>
      <c r="D10" s="314">
        <v>14074650894</v>
      </c>
      <c r="E10" s="314">
        <v>8451798841.8299999</v>
      </c>
      <c r="F10" s="311">
        <f t="shared" si="7"/>
        <v>0.60049793813592833</v>
      </c>
      <c r="G10" s="314">
        <f>+E10*1.2</f>
        <v>10142158610.195999</v>
      </c>
      <c r="H10" s="312">
        <f t="shared" si="8"/>
        <v>0.72059752576311387</v>
      </c>
      <c r="I10" s="315">
        <f>+'[2]COMPARATIVO RECAUDOS'!$F$10</f>
        <v>14459473207.58</v>
      </c>
      <c r="J10" s="315">
        <f>+G10*1.2</f>
        <v>12170590332.235199</v>
      </c>
      <c r="K10" s="89">
        <f t="shared" si="10"/>
        <v>0.2</v>
      </c>
      <c r="L10" s="80"/>
      <c r="M10" s="97"/>
      <c r="N10" s="80"/>
      <c r="O10" s="97"/>
      <c r="P10" s="80">
        <f>+J10*Q10</f>
        <v>1217059033.22352</v>
      </c>
      <c r="Q10" s="97">
        <v>0.1</v>
      </c>
      <c r="R10" s="80">
        <f>+J10*S10</f>
        <v>10953531299.011679</v>
      </c>
      <c r="S10" s="97">
        <v>0.9</v>
      </c>
      <c r="T10" s="314">
        <f>+J10-I10</f>
        <v>-2288882875.3448009</v>
      </c>
      <c r="U10" s="340">
        <f t="shared" si="5"/>
        <v>20</v>
      </c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DW10" s="62"/>
      <c r="DX10" s="62"/>
      <c r="DY10" s="62"/>
      <c r="DZ10" s="62"/>
      <c r="EA10" s="62"/>
      <c r="EB10" s="62"/>
      <c r="EC10" s="62"/>
      <c r="ED10" s="62"/>
      <c r="EE10" s="62"/>
      <c r="EF10" s="62"/>
      <c r="EG10" s="62"/>
      <c r="EH10" s="62"/>
      <c r="EI10" s="62"/>
      <c r="EJ10" s="62"/>
      <c r="EK10" s="62"/>
      <c r="EL10" s="62"/>
      <c r="EM10" s="62"/>
      <c r="EN10" s="62"/>
      <c r="EO10" s="62"/>
      <c r="EP10" s="62"/>
      <c r="EQ10" s="62"/>
      <c r="ER10" s="62"/>
      <c r="ES10" s="62"/>
      <c r="ET10" s="62"/>
      <c r="EU10" s="62"/>
      <c r="EV10" s="62"/>
      <c r="EW10" s="62"/>
    </row>
    <row r="11" spans="1:153" x14ac:dyDescent="0.25">
      <c r="A11" s="70" t="s">
        <v>14</v>
      </c>
      <c r="B11" s="227"/>
      <c r="C11" s="71" t="s">
        <v>15</v>
      </c>
      <c r="D11" s="316">
        <v>1836987706</v>
      </c>
      <c r="E11" s="316">
        <v>3513800353.75</v>
      </c>
      <c r="F11" s="311">
        <f t="shared" si="7"/>
        <v>1.912805590518198</v>
      </c>
      <c r="G11" s="316">
        <f>+E11*1.1</f>
        <v>3865180389.1250005</v>
      </c>
      <c r="H11" s="312">
        <f t="shared" si="8"/>
        <v>2.1040861495700183</v>
      </c>
      <c r="I11" s="317"/>
      <c r="J11" s="317">
        <f>+G11*1.1</f>
        <v>4251698428.0375009</v>
      </c>
      <c r="K11" s="89">
        <f t="shared" si="10"/>
        <v>0.10000000000000009</v>
      </c>
      <c r="L11" s="81"/>
      <c r="M11" s="97"/>
      <c r="N11" s="81"/>
      <c r="O11" s="97"/>
      <c r="P11" s="81">
        <f>+J11*Q11</f>
        <v>425169842.8037501</v>
      </c>
      <c r="Q11" s="97">
        <v>0.1</v>
      </c>
      <c r="R11" s="81">
        <f>+J11*S11</f>
        <v>3826528585.2337508</v>
      </c>
      <c r="S11" s="97">
        <v>0.9</v>
      </c>
      <c r="T11" s="310">
        <f>+I11-J11</f>
        <v>-4251698428.0375009</v>
      </c>
      <c r="U11" s="339">
        <f t="shared" si="5"/>
        <v>10.000000000000014</v>
      </c>
    </row>
    <row r="12" spans="1:153" s="64" customFormat="1" x14ac:dyDescent="0.25">
      <c r="A12" s="69" t="s">
        <v>16</v>
      </c>
      <c r="B12" s="222"/>
      <c r="C12" s="63" t="s">
        <v>17</v>
      </c>
      <c r="D12" s="314">
        <f>+D13+D27+D45+D50</f>
        <v>115298730657</v>
      </c>
      <c r="E12" s="314">
        <f t="shared" ref="E12:G12" si="20">+E13+E27+E45+E50</f>
        <v>101201336575.27</v>
      </c>
      <c r="F12" s="311">
        <f t="shared" si="7"/>
        <v>0.87773157604251462</v>
      </c>
      <c r="G12" s="314">
        <f t="shared" si="20"/>
        <v>105682638123.12267</v>
      </c>
      <c r="H12" s="312">
        <f t="shared" si="8"/>
        <v>0.91659845274026419</v>
      </c>
      <c r="I12" s="315">
        <f>+I13+I27+I45+I50</f>
        <v>107778217287</v>
      </c>
      <c r="J12" s="315">
        <f>+J13+J27+J45+J50</f>
        <v>124333348925.24713</v>
      </c>
      <c r="K12" s="89">
        <f t="shared" si="10"/>
        <v>0.17647847492599461</v>
      </c>
      <c r="L12" s="84">
        <f t="shared" ref="L12" si="21">+L13+L27+L45+L50</f>
        <v>11494506268.421753</v>
      </c>
      <c r="M12" s="97"/>
      <c r="N12" s="84">
        <f t="shared" ref="N12" si="22">+N13+N27+N45+N50</f>
        <v>5614497519.9055462</v>
      </c>
      <c r="O12" s="97"/>
      <c r="P12" s="84">
        <f t="shared" ref="P12" si="23">+P13+P27+P45+P50</f>
        <v>10670814969.626417</v>
      </c>
      <c r="Q12" s="97"/>
      <c r="R12" s="84">
        <f t="shared" ref="R12" si="24">+R13+R27+R45+R50</f>
        <v>96553530167.293427</v>
      </c>
      <c r="S12" s="97"/>
      <c r="T12" s="314">
        <f>+J12-I12</f>
        <v>16555131638.247131</v>
      </c>
      <c r="U12" s="340">
        <f t="shared" si="5"/>
        <v>17.647847492599468</v>
      </c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2"/>
      <c r="DK12" s="62"/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2"/>
      <c r="DW12" s="62"/>
      <c r="DX12" s="62"/>
      <c r="DY12" s="62"/>
      <c r="DZ12" s="62"/>
      <c r="EA12" s="62"/>
      <c r="EB12" s="62"/>
      <c r="EC12" s="62"/>
      <c r="ED12" s="62"/>
      <c r="EE12" s="62"/>
      <c r="EF12" s="62"/>
      <c r="EG12" s="62"/>
      <c r="EH12" s="62"/>
      <c r="EI12" s="62"/>
      <c r="EJ12" s="62"/>
      <c r="EK12" s="62"/>
      <c r="EL12" s="62"/>
      <c r="EM12" s="62"/>
      <c r="EN12" s="62"/>
      <c r="EO12" s="62"/>
      <c r="EP12" s="62"/>
      <c r="EQ12" s="62"/>
      <c r="ER12" s="62"/>
      <c r="ES12" s="62"/>
      <c r="ET12" s="62"/>
      <c r="EU12" s="62"/>
      <c r="EV12" s="62"/>
      <c r="EW12" s="62"/>
    </row>
    <row r="13" spans="1:153" x14ac:dyDescent="0.25">
      <c r="A13" s="72" t="s">
        <v>18</v>
      </c>
      <c r="B13" s="227"/>
      <c r="C13" s="66" t="s">
        <v>19</v>
      </c>
      <c r="D13" s="316">
        <f>+D14</f>
        <v>14424839860</v>
      </c>
      <c r="E13" s="316">
        <f t="shared" ref="E13:R14" si="25">+E14</f>
        <v>13324895573.67</v>
      </c>
      <c r="F13" s="311">
        <f t="shared" si="7"/>
        <v>0.92374651663342622</v>
      </c>
      <c r="G13" s="316">
        <f t="shared" si="25"/>
        <v>14849541058.836666</v>
      </c>
      <c r="H13" s="312">
        <f t="shared" si="8"/>
        <v>1.0294423510388049</v>
      </c>
      <c r="I13" s="317">
        <f t="shared" si="25"/>
        <v>17891714098</v>
      </c>
      <c r="J13" s="317">
        <f t="shared" si="25"/>
        <v>16976626273.808336</v>
      </c>
      <c r="K13" s="89">
        <f t="shared" si="10"/>
        <v>0.1432424885418182</v>
      </c>
      <c r="L13" s="85">
        <f t="shared" si="25"/>
        <v>1697662627.3808334</v>
      </c>
      <c r="M13" s="97"/>
      <c r="N13" s="85">
        <f t="shared" si="25"/>
        <v>3395325254.7616668</v>
      </c>
      <c r="O13" s="97"/>
      <c r="P13" s="85">
        <f t="shared" si="25"/>
        <v>1028180886.8204167</v>
      </c>
      <c r="Q13" s="97"/>
      <c r="R13" s="85">
        <f t="shared" si="25"/>
        <v>10855457504.845417</v>
      </c>
      <c r="S13" s="97"/>
      <c r="T13" s="310">
        <f>+I13-J13</f>
        <v>915087824.19166374</v>
      </c>
      <c r="U13" s="339">
        <f t="shared" si="5"/>
        <v>14.324248854181818</v>
      </c>
    </row>
    <row r="14" spans="1:153" s="64" customFormat="1" ht="12.75" customHeight="1" x14ac:dyDescent="0.25">
      <c r="A14" s="63" t="s">
        <v>20</v>
      </c>
      <c r="B14" s="224"/>
      <c r="C14" s="63" t="s">
        <v>21</v>
      </c>
      <c r="D14" s="314">
        <f>+D15</f>
        <v>14424839860</v>
      </c>
      <c r="E14" s="314">
        <f t="shared" si="25"/>
        <v>13324895573.67</v>
      </c>
      <c r="F14" s="311">
        <f t="shared" si="7"/>
        <v>0.92374651663342622</v>
      </c>
      <c r="G14" s="314">
        <f t="shared" si="25"/>
        <v>14849541058.836666</v>
      </c>
      <c r="H14" s="312">
        <f t="shared" si="8"/>
        <v>1.0294423510388049</v>
      </c>
      <c r="I14" s="315">
        <f t="shared" si="25"/>
        <v>17891714098</v>
      </c>
      <c r="J14" s="315">
        <f t="shared" si="25"/>
        <v>16976626273.808336</v>
      </c>
      <c r="K14" s="89">
        <f t="shared" si="10"/>
        <v>0.1432424885418182</v>
      </c>
      <c r="L14" s="84">
        <f t="shared" si="25"/>
        <v>1697662627.3808334</v>
      </c>
      <c r="M14" s="97"/>
      <c r="N14" s="84">
        <f t="shared" si="25"/>
        <v>3395325254.7616668</v>
      </c>
      <c r="O14" s="97"/>
      <c r="P14" s="84">
        <f t="shared" si="25"/>
        <v>1028180886.8204167</v>
      </c>
      <c r="Q14" s="97"/>
      <c r="R14" s="84">
        <f t="shared" si="25"/>
        <v>10855457504.845417</v>
      </c>
      <c r="S14" s="97"/>
      <c r="T14" s="314">
        <f>+J14-I14</f>
        <v>-915087824.19166374</v>
      </c>
      <c r="U14" s="340">
        <f t="shared" si="5"/>
        <v>14.324248854181818</v>
      </c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62"/>
      <c r="CX14" s="62"/>
      <c r="CY14" s="62"/>
      <c r="CZ14" s="62"/>
      <c r="DA14" s="62"/>
      <c r="DB14" s="62"/>
      <c r="DC14" s="62"/>
      <c r="DD14" s="62"/>
      <c r="DE14" s="62"/>
      <c r="DF14" s="62"/>
      <c r="DG14" s="62"/>
      <c r="DH14" s="62"/>
      <c r="DI14" s="62"/>
      <c r="DJ14" s="62"/>
      <c r="DK14" s="62"/>
      <c r="DL14" s="62"/>
      <c r="DM14" s="62"/>
      <c r="DN14" s="62"/>
      <c r="DO14" s="62"/>
      <c r="DP14" s="62"/>
      <c r="DQ14" s="62"/>
      <c r="DR14" s="62"/>
      <c r="DS14" s="62"/>
      <c r="DT14" s="62"/>
      <c r="DU14" s="62"/>
      <c r="DV14" s="62"/>
      <c r="DW14" s="62"/>
      <c r="DX14" s="62"/>
      <c r="DY14" s="62"/>
      <c r="DZ14" s="62"/>
      <c r="EA14" s="62"/>
      <c r="EB14" s="62"/>
      <c r="EC14" s="62"/>
      <c r="ED14" s="62"/>
      <c r="EE14" s="62"/>
      <c r="EF14" s="62"/>
      <c r="EG14" s="62"/>
      <c r="EH14" s="62"/>
      <c r="EI14" s="62"/>
      <c r="EJ14" s="62"/>
      <c r="EK14" s="62"/>
      <c r="EL14" s="62"/>
      <c r="EM14" s="62"/>
      <c r="EN14" s="62"/>
      <c r="EO14" s="62"/>
      <c r="EP14" s="62"/>
      <c r="EQ14" s="62"/>
      <c r="ER14" s="62"/>
      <c r="ES14" s="62"/>
      <c r="ET14" s="62"/>
      <c r="EU14" s="62"/>
      <c r="EV14" s="62"/>
      <c r="EW14" s="62"/>
    </row>
    <row r="15" spans="1:153" x14ac:dyDescent="0.25">
      <c r="A15" s="73" t="s">
        <v>22</v>
      </c>
      <c r="B15" s="228"/>
      <c r="C15" s="66" t="s">
        <v>23</v>
      </c>
      <c r="D15" s="316">
        <f>+D16+D23</f>
        <v>14424839860</v>
      </c>
      <c r="E15" s="316">
        <f t="shared" ref="E15:G15" si="26">+E16+E23</f>
        <v>13324895573.67</v>
      </c>
      <c r="F15" s="311">
        <f t="shared" si="7"/>
        <v>0.92374651663342622</v>
      </c>
      <c r="G15" s="316">
        <f t="shared" si="26"/>
        <v>14849541058.836666</v>
      </c>
      <c r="H15" s="312">
        <f t="shared" si="8"/>
        <v>1.0294423510388049</v>
      </c>
      <c r="I15" s="317">
        <f t="shared" ref="I15:L15" si="27">+I16+I23</f>
        <v>17891714098</v>
      </c>
      <c r="J15" s="317">
        <f t="shared" si="27"/>
        <v>16976626273.808336</v>
      </c>
      <c r="K15" s="89">
        <f t="shared" si="10"/>
        <v>0.1432424885418182</v>
      </c>
      <c r="L15" s="85">
        <f t="shared" si="27"/>
        <v>1697662627.3808334</v>
      </c>
      <c r="M15" s="97"/>
      <c r="N15" s="85">
        <f t="shared" ref="N15" si="28">+N16+N23</f>
        <v>3395325254.7616668</v>
      </c>
      <c r="O15" s="97"/>
      <c r="P15" s="85">
        <f t="shared" ref="P15" si="29">+P16+P23</f>
        <v>1028180886.8204167</v>
      </c>
      <c r="Q15" s="97"/>
      <c r="R15" s="85">
        <f t="shared" ref="R15" si="30">+R16+R23</f>
        <v>10855457504.845417</v>
      </c>
      <c r="S15" s="97"/>
      <c r="T15" s="310">
        <f>+I15-J15</f>
        <v>915087824.19166374</v>
      </c>
      <c r="U15" s="339">
        <f t="shared" si="5"/>
        <v>14.324248854181818</v>
      </c>
    </row>
    <row r="16" spans="1:153" s="64" customFormat="1" x14ac:dyDescent="0.25">
      <c r="A16" s="74" t="s">
        <v>24</v>
      </c>
      <c r="B16" s="222"/>
      <c r="C16" s="63" t="s">
        <v>25</v>
      </c>
      <c r="D16" s="314">
        <f>+D17+D20</f>
        <v>14302168579</v>
      </c>
      <c r="E16" s="314">
        <f t="shared" ref="E16:G16" si="31">+E17+E20</f>
        <v>13297619103.67</v>
      </c>
      <c r="F16" s="311">
        <f t="shared" si="7"/>
        <v>0.92976243638989209</v>
      </c>
      <c r="G16" s="314">
        <f t="shared" si="31"/>
        <v>14813172432.17</v>
      </c>
      <c r="H16" s="312">
        <f t="shared" si="8"/>
        <v>1.0357291169061111</v>
      </c>
      <c r="I16" s="315">
        <f t="shared" ref="I16:L16" si="32">+I17+I20</f>
        <v>17846333808</v>
      </c>
      <c r="J16" s="315">
        <f t="shared" si="32"/>
        <v>16846626273.808336</v>
      </c>
      <c r="K16" s="89">
        <f t="shared" si="10"/>
        <v>0.1372733525481856</v>
      </c>
      <c r="L16" s="84">
        <f t="shared" si="32"/>
        <v>1684662627.3808334</v>
      </c>
      <c r="M16" s="97"/>
      <c r="N16" s="84">
        <f t="shared" ref="N16" si="33">+N17+N20</f>
        <v>3369325254.7616668</v>
      </c>
      <c r="O16" s="97"/>
      <c r="P16" s="84">
        <f t="shared" ref="P16" si="34">+P17+P20</f>
        <v>1015180886.8204167</v>
      </c>
      <c r="Q16" s="97"/>
      <c r="R16" s="84">
        <f t="shared" ref="R16" si="35">+R17+R20</f>
        <v>10777457504.845417</v>
      </c>
      <c r="S16" s="97"/>
      <c r="T16" s="314">
        <f>+J16-I16</f>
        <v>-999707534.19166374</v>
      </c>
      <c r="U16" s="340">
        <f t="shared" si="5"/>
        <v>13.727335254818556</v>
      </c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62"/>
      <c r="CO16" s="62"/>
      <c r="CP16" s="62"/>
      <c r="CQ16" s="62"/>
      <c r="CR16" s="62"/>
      <c r="CS16" s="62"/>
      <c r="CT16" s="62"/>
      <c r="CU16" s="62"/>
      <c r="CV16" s="62"/>
      <c r="CW16" s="62"/>
      <c r="CX16" s="62"/>
      <c r="CY16" s="62"/>
      <c r="CZ16" s="62"/>
      <c r="DA16" s="62"/>
      <c r="DB16" s="62"/>
      <c r="DC16" s="62"/>
      <c r="DD16" s="62"/>
      <c r="DE16" s="62"/>
      <c r="DF16" s="62"/>
      <c r="DG16" s="62"/>
      <c r="DH16" s="62"/>
      <c r="DI16" s="62"/>
      <c r="DJ16" s="62"/>
      <c r="DK16" s="62"/>
      <c r="DL16" s="62"/>
      <c r="DM16" s="62"/>
      <c r="DN16" s="62"/>
      <c r="DO16" s="62"/>
      <c r="DP16" s="62"/>
      <c r="DQ16" s="62"/>
      <c r="DR16" s="62"/>
      <c r="DS16" s="62"/>
      <c r="DT16" s="62"/>
      <c r="DU16" s="62"/>
      <c r="DV16" s="62"/>
      <c r="DW16" s="62"/>
      <c r="DX16" s="62"/>
      <c r="DY16" s="62"/>
      <c r="DZ16" s="62"/>
      <c r="EA16" s="62"/>
      <c r="EB16" s="62"/>
      <c r="EC16" s="62"/>
      <c r="ED16" s="62"/>
      <c r="EE16" s="62"/>
      <c r="EF16" s="62"/>
      <c r="EG16" s="62"/>
      <c r="EH16" s="62"/>
      <c r="EI16" s="62"/>
      <c r="EJ16" s="62"/>
      <c r="EK16" s="62"/>
      <c r="EL16" s="62"/>
      <c r="EM16" s="62"/>
      <c r="EN16" s="62"/>
      <c r="EO16" s="62"/>
      <c r="EP16" s="62"/>
      <c r="EQ16" s="62"/>
      <c r="ER16" s="62"/>
      <c r="ES16" s="62"/>
      <c r="ET16" s="62"/>
      <c r="EU16" s="62"/>
      <c r="EV16" s="62"/>
      <c r="EW16" s="62"/>
    </row>
    <row r="17" spans="1:153" x14ac:dyDescent="0.25">
      <c r="A17" s="75" t="s">
        <v>26</v>
      </c>
      <c r="B17" s="227">
        <v>41</v>
      </c>
      <c r="C17" s="66" t="s">
        <v>27</v>
      </c>
      <c r="D17" s="316">
        <f>+D18+D19</f>
        <v>12075022817</v>
      </c>
      <c r="E17" s="316">
        <f t="shared" ref="E17:G17" si="36">+E18+E19</f>
        <v>10560318551.67</v>
      </c>
      <c r="F17" s="311">
        <f t="shared" si="7"/>
        <v>0.8745588900090937</v>
      </c>
      <c r="G17" s="316">
        <f t="shared" si="36"/>
        <v>11588971674.17</v>
      </c>
      <c r="H17" s="312">
        <f t="shared" si="8"/>
        <v>0.95974739342556725</v>
      </c>
      <c r="I17" s="317">
        <f t="shared" ref="I17:L17" si="37">+I18+I19</f>
        <v>13673438495</v>
      </c>
      <c r="J17" s="317">
        <f t="shared" si="37"/>
        <v>13389634811.208336</v>
      </c>
      <c r="K17" s="89">
        <f t="shared" si="10"/>
        <v>0.15537730073598605</v>
      </c>
      <c r="L17" s="85">
        <f t="shared" si="37"/>
        <v>1338963481.1208334</v>
      </c>
      <c r="M17" s="97"/>
      <c r="N17" s="85">
        <f t="shared" ref="N17" si="38">+N18+N19</f>
        <v>2677926962.2416668</v>
      </c>
      <c r="O17" s="97"/>
      <c r="P17" s="85">
        <f t="shared" ref="P17" si="39">+P18+P19</f>
        <v>669481740.5604167</v>
      </c>
      <c r="Q17" s="97"/>
      <c r="R17" s="85">
        <f t="shared" ref="R17" si="40">+R18+R19</f>
        <v>8703262627.2854176</v>
      </c>
      <c r="S17" s="97"/>
      <c r="T17" s="310">
        <f>+I17-J17</f>
        <v>283803683.79166412</v>
      </c>
      <c r="U17" s="339">
        <f t="shared" si="5"/>
        <v>15.537730073598595</v>
      </c>
    </row>
    <row r="18" spans="1:153" s="64" customFormat="1" x14ac:dyDescent="0.25">
      <c r="A18" s="74" t="s">
        <v>29</v>
      </c>
      <c r="B18" s="222"/>
      <c r="C18" s="63" t="s">
        <v>30</v>
      </c>
      <c r="D18" s="314">
        <v>11224669097</v>
      </c>
      <c r="E18" s="314">
        <v>10286531225</v>
      </c>
      <c r="F18" s="311">
        <f t="shared" si="7"/>
        <v>0.91642177921746182</v>
      </c>
      <c r="G18" s="314">
        <f>+(E18/10)*11</f>
        <v>11315184347.5</v>
      </c>
      <c r="H18" s="312">
        <f t="shared" si="8"/>
        <v>1.008063957139208</v>
      </c>
      <c r="I18" s="315">
        <f>+'[2]COMPARATIVO RECAUDOS'!$F$14</f>
        <v>13673438495</v>
      </c>
      <c r="J18" s="315">
        <f>+G18*1.1</f>
        <v>12446702782.250002</v>
      </c>
      <c r="K18" s="89">
        <f t="shared" si="10"/>
        <v>0.10000000000000017</v>
      </c>
      <c r="L18" s="80">
        <f>+J18*M18</f>
        <v>1244670278.2250001</v>
      </c>
      <c r="M18" s="97">
        <v>0.1</v>
      </c>
      <c r="N18" s="80">
        <f>+J18*O18</f>
        <v>2489340556.4500003</v>
      </c>
      <c r="O18" s="97">
        <v>0.2</v>
      </c>
      <c r="P18" s="80">
        <f>+J18*Q18</f>
        <v>622335139.11250007</v>
      </c>
      <c r="Q18" s="97">
        <v>0.05</v>
      </c>
      <c r="R18" s="80">
        <f>+J18*S18</f>
        <v>8090356808.4625006</v>
      </c>
      <c r="S18" s="97">
        <f>100%-M18-O18-Q18</f>
        <v>0.64999999999999991</v>
      </c>
      <c r="T18" s="314">
        <f>+J18-I18</f>
        <v>-1226735712.7499981</v>
      </c>
      <c r="U18" s="340">
        <f t="shared" si="5"/>
        <v>10.000000000000014</v>
      </c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/>
      <c r="CD18" s="62"/>
      <c r="CE18" s="62"/>
      <c r="CF18" s="62"/>
      <c r="CG18" s="62"/>
      <c r="CH18" s="62"/>
      <c r="CI18" s="62"/>
      <c r="CJ18" s="62"/>
      <c r="CK18" s="62"/>
      <c r="CL18" s="62"/>
      <c r="CM18" s="62"/>
      <c r="CN18" s="62"/>
      <c r="CO18" s="62"/>
      <c r="CP18" s="62"/>
      <c r="CQ18" s="62"/>
      <c r="CR18" s="62"/>
      <c r="CS18" s="62"/>
      <c r="CT18" s="62"/>
      <c r="CU18" s="62"/>
      <c r="CV18" s="62"/>
      <c r="CW18" s="62"/>
      <c r="CX18" s="62"/>
      <c r="CY18" s="62"/>
      <c r="CZ18" s="62"/>
      <c r="DA18" s="62"/>
      <c r="DB18" s="62"/>
      <c r="DC18" s="62"/>
      <c r="DD18" s="62"/>
      <c r="DE18" s="62"/>
      <c r="DF18" s="62"/>
      <c r="DG18" s="62"/>
      <c r="DH18" s="62"/>
      <c r="DI18" s="62"/>
      <c r="DJ18" s="62"/>
      <c r="DK18" s="62"/>
      <c r="DL18" s="62"/>
      <c r="DM18" s="62"/>
      <c r="DN18" s="62"/>
      <c r="DO18" s="62"/>
      <c r="DP18" s="62"/>
      <c r="DQ18" s="62"/>
      <c r="DR18" s="62"/>
      <c r="DS18" s="62"/>
      <c r="DT18" s="62"/>
      <c r="DU18" s="62"/>
      <c r="DV18" s="62"/>
      <c r="DW18" s="62"/>
      <c r="DX18" s="62"/>
      <c r="DY18" s="62"/>
      <c r="DZ18" s="62"/>
      <c r="EA18" s="62"/>
      <c r="EB18" s="62"/>
      <c r="EC18" s="62"/>
      <c r="ED18" s="62"/>
      <c r="EE18" s="62"/>
      <c r="EF18" s="62"/>
      <c r="EG18" s="62"/>
      <c r="EH18" s="62"/>
      <c r="EI18" s="62"/>
      <c r="EJ18" s="62"/>
      <c r="EK18" s="62"/>
      <c r="EL18" s="62"/>
      <c r="EM18" s="62"/>
      <c r="EN18" s="62"/>
      <c r="EO18" s="62"/>
      <c r="EP18" s="62"/>
      <c r="EQ18" s="62"/>
      <c r="ER18" s="62"/>
      <c r="ES18" s="62"/>
      <c r="ET18" s="62"/>
      <c r="EU18" s="62"/>
      <c r="EV18" s="62"/>
      <c r="EW18" s="62"/>
    </row>
    <row r="19" spans="1:153" x14ac:dyDescent="0.25">
      <c r="A19" s="75" t="s">
        <v>31</v>
      </c>
      <c r="B19" s="227"/>
      <c r="C19" s="66" t="s">
        <v>32</v>
      </c>
      <c r="D19" s="316">
        <v>850353720</v>
      </c>
      <c r="E19" s="316">
        <v>273787326.67000002</v>
      </c>
      <c r="F19" s="311">
        <f t="shared" si="7"/>
        <v>0.32196875280324522</v>
      </c>
      <c r="G19" s="316">
        <f>+E19</f>
        <v>273787326.67000002</v>
      </c>
      <c r="H19" s="312">
        <f t="shared" si="8"/>
        <v>0.32196875280324522</v>
      </c>
      <c r="I19" s="317"/>
      <c r="J19" s="317">
        <f>+G18/12</f>
        <v>942932028.95833337</v>
      </c>
      <c r="K19" s="89">
        <f t="shared" si="10"/>
        <v>2.4440309579955963</v>
      </c>
      <c r="L19" s="81">
        <f>+J19*M19</f>
        <v>94293202.895833343</v>
      </c>
      <c r="M19" s="97">
        <v>0.1</v>
      </c>
      <c r="N19" s="81">
        <f>+J19*O19</f>
        <v>188586405.79166669</v>
      </c>
      <c r="O19" s="97">
        <v>0.2</v>
      </c>
      <c r="P19" s="81">
        <f>+J19*Q19</f>
        <v>47146601.447916672</v>
      </c>
      <c r="Q19" s="97">
        <v>0.05</v>
      </c>
      <c r="R19" s="81">
        <f>+J19*S19</f>
        <v>612905818.82291663</v>
      </c>
      <c r="S19" s="97">
        <f>100%-M19-O19-Q19</f>
        <v>0.64999999999999991</v>
      </c>
      <c r="T19" s="310">
        <f>+I19-J19</f>
        <v>-942932028.95833337</v>
      </c>
      <c r="U19" s="339">
        <f t="shared" si="5"/>
        <v>244.40309579955959</v>
      </c>
    </row>
    <row r="20" spans="1:153" s="64" customFormat="1" x14ac:dyDescent="0.25">
      <c r="A20" s="74" t="s">
        <v>34</v>
      </c>
      <c r="B20" s="222">
        <v>42</v>
      </c>
      <c r="C20" s="63" t="s">
        <v>35</v>
      </c>
      <c r="D20" s="314">
        <f>+D21+D22</f>
        <v>2227145762</v>
      </c>
      <c r="E20" s="314">
        <f t="shared" ref="E20:G20" si="41">+E21+E22</f>
        <v>2737300552</v>
      </c>
      <c r="F20" s="311">
        <f t="shared" si="7"/>
        <v>1.229062147033374</v>
      </c>
      <c r="G20" s="314">
        <f t="shared" si="41"/>
        <v>3224200758</v>
      </c>
      <c r="H20" s="312">
        <f t="shared" si="8"/>
        <v>1.4476828652223617</v>
      </c>
      <c r="I20" s="315">
        <f t="shared" ref="I20:R20" si="42">+I21+I22</f>
        <v>4172895313</v>
      </c>
      <c r="J20" s="315">
        <f t="shared" si="42"/>
        <v>3456991462.6000004</v>
      </c>
      <c r="K20" s="89">
        <f t="shared" si="10"/>
        <v>7.2201057586873868E-2</v>
      </c>
      <c r="L20" s="84">
        <f t="shared" si="42"/>
        <v>345699146.26000005</v>
      </c>
      <c r="M20" s="97"/>
      <c r="N20" s="84">
        <f t="shared" si="42"/>
        <v>691398292.5200001</v>
      </c>
      <c r="O20" s="97"/>
      <c r="P20" s="84">
        <f t="shared" si="42"/>
        <v>345699146.26000005</v>
      </c>
      <c r="Q20" s="97"/>
      <c r="R20" s="84">
        <f t="shared" si="42"/>
        <v>2074194877.5600002</v>
      </c>
      <c r="S20" s="97"/>
      <c r="T20" s="314">
        <f>+J20-I20</f>
        <v>-715903850.39999962</v>
      </c>
      <c r="U20" s="340">
        <f t="shared" si="5"/>
        <v>7.2201057586873958</v>
      </c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/>
      <c r="CG20" s="62"/>
      <c r="CH20" s="62"/>
      <c r="CI20" s="62"/>
      <c r="CJ20" s="62"/>
      <c r="CK20" s="62"/>
      <c r="CL20" s="62"/>
      <c r="CM20" s="62"/>
      <c r="CN20" s="62"/>
      <c r="CO20" s="62"/>
      <c r="CP20" s="62"/>
      <c r="CQ20" s="62"/>
      <c r="CR20" s="62"/>
      <c r="CS20" s="62"/>
      <c r="CT20" s="62"/>
      <c r="CU20" s="62"/>
      <c r="CV20" s="62"/>
      <c r="CW20" s="62"/>
      <c r="CX20" s="62"/>
      <c r="CY20" s="62"/>
      <c r="CZ20" s="62"/>
      <c r="DA20" s="62"/>
      <c r="DB20" s="62"/>
      <c r="DC20" s="62"/>
      <c r="DD20" s="62"/>
      <c r="DE20" s="62"/>
      <c r="DF20" s="62"/>
      <c r="DG20" s="62"/>
      <c r="DH20" s="62"/>
      <c r="DI20" s="62"/>
      <c r="DJ20" s="62"/>
      <c r="DK20" s="62"/>
      <c r="DL20" s="62"/>
      <c r="DM20" s="62"/>
      <c r="DN20" s="62"/>
      <c r="DO20" s="62"/>
      <c r="DP20" s="62"/>
      <c r="DQ20" s="62"/>
      <c r="DR20" s="62"/>
      <c r="DS20" s="62"/>
      <c r="DT20" s="62"/>
      <c r="DU20" s="62"/>
      <c r="DV20" s="62"/>
      <c r="DW20" s="62"/>
      <c r="DX20" s="62"/>
      <c r="DY20" s="62"/>
      <c r="DZ20" s="62"/>
      <c r="EA20" s="62"/>
      <c r="EB20" s="62"/>
      <c r="EC20" s="62"/>
      <c r="ED20" s="62"/>
      <c r="EE20" s="62"/>
      <c r="EF20" s="62"/>
      <c r="EG20" s="62"/>
      <c r="EH20" s="62"/>
      <c r="EI20" s="62"/>
      <c r="EJ20" s="62"/>
      <c r="EK20" s="62"/>
      <c r="EL20" s="62"/>
      <c r="EM20" s="62"/>
      <c r="EN20" s="62"/>
      <c r="EO20" s="62"/>
      <c r="EP20" s="62"/>
      <c r="EQ20" s="62"/>
      <c r="ER20" s="62"/>
      <c r="ES20" s="62"/>
      <c r="ET20" s="62"/>
      <c r="EU20" s="62"/>
      <c r="EV20" s="62"/>
      <c r="EW20" s="62"/>
    </row>
    <row r="21" spans="1:153" x14ac:dyDescent="0.25">
      <c r="A21" s="75" t="s">
        <v>36</v>
      </c>
      <c r="B21" s="227"/>
      <c r="C21" s="66" t="s">
        <v>37</v>
      </c>
      <c r="D21" s="316">
        <v>2070304512</v>
      </c>
      <c r="E21" s="316">
        <v>2434501030</v>
      </c>
      <c r="F21" s="311">
        <f t="shared" si="7"/>
        <v>1.1759144685668346</v>
      </c>
      <c r="G21" s="316">
        <f>+(E21/10)*12</f>
        <v>2921401236</v>
      </c>
      <c r="H21" s="312">
        <f t="shared" si="8"/>
        <v>1.4110973622802017</v>
      </c>
      <c r="I21" s="317">
        <f>+'[2]COMPARATIVO RECAUDOS'!$F$15</f>
        <v>4172895313</v>
      </c>
      <c r="J21" s="317">
        <f>+G21*1.1</f>
        <v>3213541359.6000004</v>
      </c>
      <c r="K21" s="89">
        <f t="shared" si="10"/>
        <v>0.10000000000000013</v>
      </c>
      <c r="L21" s="81">
        <f>+J21*M21</f>
        <v>321354135.96000004</v>
      </c>
      <c r="M21" s="97">
        <v>0.1</v>
      </c>
      <c r="N21" s="81">
        <f>+J21*O21</f>
        <v>642708271.92000008</v>
      </c>
      <c r="O21" s="97">
        <v>0.2</v>
      </c>
      <c r="P21" s="81">
        <f>+J21*Q21</f>
        <v>321354135.96000004</v>
      </c>
      <c r="Q21" s="97">
        <v>0.1</v>
      </c>
      <c r="R21" s="81">
        <f>+J21*S21</f>
        <v>1928124815.7600002</v>
      </c>
      <c r="S21" s="97">
        <v>0.6</v>
      </c>
      <c r="T21" s="310">
        <f>+I21-J21</f>
        <v>959353953.39999962</v>
      </c>
      <c r="U21" s="339">
        <f t="shared" si="5"/>
        <v>10.000000000000014</v>
      </c>
    </row>
    <row r="22" spans="1:153" s="64" customFormat="1" x14ac:dyDescent="0.25">
      <c r="A22" s="74" t="s">
        <v>38</v>
      </c>
      <c r="B22" s="222"/>
      <c r="C22" s="63" t="s">
        <v>39</v>
      </c>
      <c r="D22" s="314">
        <v>156841250</v>
      </c>
      <c r="E22" s="314">
        <v>302799522</v>
      </c>
      <c r="F22" s="311">
        <f t="shared" si="7"/>
        <v>1.9306115068580492</v>
      </c>
      <c r="G22" s="314">
        <f>+E22</f>
        <v>302799522</v>
      </c>
      <c r="H22" s="312">
        <f t="shared" si="8"/>
        <v>1.9306115068580492</v>
      </c>
      <c r="I22" s="315"/>
      <c r="J22" s="315">
        <f>+G21/12</f>
        <v>243450103</v>
      </c>
      <c r="K22" s="89">
        <f t="shared" si="10"/>
        <v>-0.19600235366289648</v>
      </c>
      <c r="L22" s="80">
        <f>+J22*M22</f>
        <v>24345010.300000001</v>
      </c>
      <c r="M22" s="97">
        <v>0.1</v>
      </c>
      <c r="N22" s="80">
        <f>+J22*O22</f>
        <v>48690020.600000001</v>
      </c>
      <c r="O22" s="97">
        <v>0.2</v>
      </c>
      <c r="P22" s="80">
        <f>+J22*Q22</f>
        <v>24345010.300000001</v>
      </c>
      <c r="Q22" s="97">
        <v>0.1</v>
      </c>
      <c r="R22" s="80">
        <f>+S22*J22</f>
        <v>146070061.79999998</v>
      </c>
      <c r="S22" s="97">
        <v>0.6</v>
      </c>
      <c r="T22" s="314">
        <f>+J22-I22</f>
        <v>243450103</v>
      </c>
      <c r="U22" s="340">
        <f t="shared" si="5"/>
        <v>-19.600235366289638</v>
      </c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/>
      <c r="CG22" s="62"/>
      <c r="CH22" s="62"/>
      <c r="CI22" s="62"/>
      <c r="CJ22" s="62"/>
      <c r="CK22" s="62"/>
      <c r="CL22" s="62"/>
      <c r="CM22" s="62"/>
      <c r="CN22" s="62"/>
      <c r="CO22" s="62"/>
      <c r="CP22" s="62"/>
      <c r="CQ22" s="62"/>
      <c r="CR22" s="62"/>
      <c r="CS22" s="62"/>
      <c r="CT22" s="62"/>
      <c r="CU22" s="62"/>
      <c r="CV22" s="62"/>
      <c r="CW22" s="62"/>
      <c r="CX22" s="62"/>
      <c r="CY22" s="62"/>
      <c r="CZ22" s="62"/>
      <c r="DA22" s="62"/>
      <c r="DB22" s="62"/>
      <c r="DC22" s="62"/>
      <c r="DD22" s="62"/>
      <c r="DE22" s="62"/>
      <c r="DF22" s="62"/>
      <c r="DG22" s="62"/>
      <c r="DH22" s="62"/>
      <c r="DI22" s="62"/>
      <c r="DJ22" s="62"/>
      <c r="DK22" s="62"/>
      <c r="DL22" s="62"/>
      <c r="DM22" s="62"/>
      <c r="DN22" s="62"/>
      <c r="DO22" s="62"/>
      <c r="DP22" s="62"/>
      <c r="DQ22" s="62"/>
      <c r="DR22" s="62"/>
      <c r="DS22" s="62"/>
      <c r="DT22" s="62"/>
      <c r="DU22" s="62"/>
      <c r="DV22" s="62"/>
      <c r="DW22" s="62"/>
      <c r="DX22" s="62"/>
      <c r="DY22" s="62"/>
      <c r="DZ22" s="62"/>
      <c r="EA22" s="62"/>
      <c r="EB22" s="62"/>
      <c r="EC22" s="62"/>
      <c r="ED22" s="62"/>
      <c r="EE22" s="62"/>
      <c r="EF22" s="62"/>
      <c r="EG22" s="62"/>
      <c r="EH22" s="62"/>
      <c r="EI22" s="62"/>
      <c r="EJ22" s="62"/>
      <c r="EK22" s="62"/>
      <c r="EL22" s="62"/>
      <c r="EM22" s="62"/>
      <c r="EN22" s="62"/>
      <c r="EO22" s="62"/>
      <c r="EP22" s="62"/>
      <c r="EQ22" s="62"/>
      <c r="ER22" s="62"/>
      <c r="ES22" s="62"/>
      <c r="ET22" s="62"/>
      <c r="EU22" s="62"/>
      <c r="EV22" s="62"/>
      <c r="EW22" s="62"/>
    </row>
    <row r="23" spans="1:153" x14ac:dyDescent="0.25">
      <c r="A23" s="75" t="s">
        <v>40</v>
      </c>
      <c r="B23" s="227"/>
      <c r="C23" s="66" t="s">
        <v>41</v>
      </c>
      <c r="D23" s="316">
        <f>+D24</f>
        <v>122671281</v>
      </c>
      <c r="E23" s="316">
        <f t="shared" ref="E23:R23" si="43">+E24</f>
        <v>27276470</v>
      </c>
      <c r="F23" s="311">
        <f t="shared" si="7"/>
        <v>0.22235416291120333</v>
      </c>
      <c r="G23" s="316">
        <f t="shared" si="43"/>
        <v>36368626.666666672</v>
      </c>
      <c r="H23" s="312">
        <f t="shared" si="8"/>
        <v>0.29647221721493777</v>
      </c>
      <c r="I23" s="317">
        <f t="shared" si="43"/>
        <v>45380290</v>
      </c>
      <c r="J23" s="317">
        <f t="shared" si="43"/>
        <v>130000000</v>
      </c>
      <c r="K23" s="89">
        <f t="shared" si="10"/>
        <v>2.5745094581520256</v>
      </c>
      <c r="L23" s="85">
        <f t="shared" si="43"/>
        <v>13000000</v>
      </c>
      <c r="M23" s="97"/>
      <c r="N23" s="85">
        <f t="shared" si="43"/>
        <v>26000000</v>
      </c>
      <c r="O23" s="97"/>
      <c r="P23" s="85">
        <f t="shared" si="43"/>
        <v>13000000</v>
      </c>
      <c r="Q23" s="97"/>
      <c r="R23" s="85">
        <f t="shared" si="43"/>
        <v>78000000</v>
      </c>
      <c r="S23" s="97"/>
      <c r="T23" s="310">
        <f>+I23-J23</f>
        <v>-84619710</v>
      </c>
      <c r="U23" s="339">
        <f t="shared" si="5"/>
        <v>257.45094581520254</v>
      </c>
    </row>
    <row r="24" spans="1:153" s="64" customFormat="1" x14ac:dyDescent="0.25">
      <c r="A24" s="74" t="s">
        <v>42</v>
      </c>
      <c r="B24" s="222">
        <v>43</v>
      </c>
      <c r="C24" s="63" t="s">
        <v>43</v>
      </c>
      <c r="D24" s="314">
        <f>+D25+D26</f>
        <v>122671281</v>
      </c>
      <c r="E24" s="314">
        <f t="shared" ref="E24:G24" si="44">+E25+E26</f>
        <v>27276470</v>
      </c>
      <c r="F24" s="311">
        <f t="shared" si="7"/>
        <v>0.22235416291120333</v>
      </c>
      <c r="G24" s="314">
        <f t="shared" si="44"/>
        <v>36368626.666666672</v>
      </c>
      <c r="H24" s="312">
        <f t="shared" si="8"/>
        <v>0.29647221721493777</v>
      </c>
      <c r="I24" s="315">
        <f t="shared" ref="I24:L24" si="45">+I25+I26</f>
        <v>45380290</v>
      </c>
      <c r="J24" s="315">
        <f t="shared" si="45"/>
        <v>130000000</v>
      </c>
      <c r="K24" s="89">
        <f t="shared" si="10"/>
        <v>2.5745094581520256</v>
      </c>
      <c r="L24" s="84">
        <f t="shared" si="45"/>
        <v>13000000</v>
      </c>
      <c r="M24" s="97"/>
      <c r="N24" s="84">
        <f t="shared" ref="N24" si="46">+N25+N26</f>
        <v>26000000</v>
      </c>
      <c r="O24" s="97"/>
      <c r="P24" s="84">
        <f t="shared" ref="P24" si="47">+P25+P26</f>
        <v>13000000</v>
      </c>
      <c r="Q24" s="97"/>
      <c r="R24" s="84">
        <f t="shared" ref="R24" si="48">+R25+R26</f>
        <v>78000000</v>
      </c>
      <c r="S24" s="97"/>
      <c r="T24" s="314">
        <f>+J24-I24</f>
        <v>84619710</v>
      </c>
      <c r="U24" s="340">
        <f t="shared" si="5"/>
        <v>257.45094581520254</v>
      </c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62"/>
      <c r="CH24" s="62"/>
      <c r="CI24" s="62"/>
      <c r="CJ24" s="62"/>
      <c r="CK24" s="62"/>
      <c r="CL24" s="62"/>
      <c r="CM24" s="62"/>
      <c r="CN24" s="62"/>
      <c r="CO24" s="62"/>
      <c r="CP24" s="62"/>
      <c r="CQ24" s="62"/>
      <c r="CR24" s="62"/>
      <c r="CS24" s="62"/>
      <c r="CT24" s="62"/>
      <c r="CU24" s="62"/>
      <c r="CV24" s="62"/>
      <c r="CW24" s="62"/>
      <c r="CX24" s="62"/>
      <c r="CY24" s="62"/>
      <c r="CZ24" s="62"/>
      <c r="DA24" s="62"/>
      <c r="DB24" s="62"/>
      <c r="DC24" s="62"/>
      <c r="DD24" s="62"/>
      <c r="DE24" s="62"/>
      <c r="DF24" s="62"/>
      <c r="DG24" s="62"/>
      <c r="DH24" s="62"/>
      <c r="DI24" s="62"/>
      <c r="DJ24" s="62"/>
      <c r="DK24" s="62"/>
      <c r="DL24" s="62"/>
      <c r="DM24" s="62"/>
      <c r="DN24" s="62"/>
      <c r="DO24" s="62"/>
      <c r="DP24" s="62"/>
      <c r="DQ24" s="62"/>
      <c r="DR24" s="62"/>
      <c r="DS24" s="62"/>
      <c r="DT24" s="62"/>
      <c r="DU24" s="62"/>
      <c r="DV24" s="62"/>
      <c r="DW24" s="62"/>
      <c r="DX24" s="62"/>
      <c r="DY24" s="62"/>
      <c r="DZ24" s="62"/>
      <c r="EA24" s="62"/>
      <c r="EB24" s="62"/>
      <c r="EC24" s="62"/>
      <c r="ED24" s="62"/>
      <c r="EE24" s="62"/>
      <c r="EF24" s="62"/>
      <c r="EG24" s="62"/>
      <c r="EH24" s="62"/>
      <c r="EI24" s="62"/>
      <c r="EJ24" s="62"/>
      <c r="EK24" s="62"/>
      <c r="EL24" s="62"/>
      <c r="EM24" s="62"/>
      <c r="EN24" s="62"/>
      <c r="EO24" s="62"/>
      <c r="EP24" s="62"/>
      <c r="EQ24" s="62"/>
      <c r="ER24" s="62"/>
      <c r="ES24" s="62"/>
      <c r="ET24" s="62"/>
      <c r="EU24" s="62"/>
      <c r="EV24" s="62"/>
      <c r="EW24" s="62"/>
    </row>
    <row r="25" spans="1:153" x14ac:dyDescent="0.25">
      <c r="A25" s="75" t="s">
        <v>44</v>
      </c>
      <c r="B25" s="227"/>
      <c r="C25" s="66" t="s">
        <v>30</v>
      </c>
      <c r="D25" s="316">
        <v>122671281</v>
      </c>
      <c r="E25" s="316">
        <v>27276470</v>
      </c>
      <c r="F25" s="311">
        <f t="shared" si="7"/>
        <v>0.22235416291120333</v>
      </c>
      <c r="G25" s="316">
        <f>+(E25/9)*12</f>
        <v>36368626.666666672</v>
      </c>
      <c r="H25" s="312">
        <f t="shared" si="8"/>
        <v>0.29647221721493777</v>
      </c>
      <c r="I25" s="317">
        <f>+'[2]COMPARATIVO RECAUDOS'!$F$17</f>
        <v>45380290</v>
      </c>
      <c r="J25" s="317">
        <v>120000000</v>
      </c>
      <c r="K25" s="89">
        <f t="shared" si="10"/>
        <v>2.2995471921403317</v>
      </c>
      <c r="L25" s="81">
        <f>+J25*M25</f>
        <v>12000000</v>
      </c>
      <c r="M25" s="97">
        <v>0.1</v>
      </c>
      <c r="N25" s="81">
        <f>+J25*O25</f>
        <v>24000000</v>
      </c>
      <c r="O25" s="97">
        <v>0.2</v>
      </c>
      <c r="P25" s="81">
        <f>+Q25*J25</f>
        <v>12000000</v>
      </c>
      <c r="Q25" s="97">
        <v>0.1</v>
      </c>
      <c r="R25" s="81">
        <f>+S25*J25</f>
        <v>72000000</v>
      </c>
      <c r="S25" s="97">
        <v>0.6</v>
      </c>
      <c r="T25" s="310">
        <f>+I25-J25</f>
        <v>-74619710</v>
      </c>
      <c r="U25" s="339">
        <f t="shared" si="5"/>
        <v>229.95471921403316</v>
      </c>
    </row>
    <row r="26" spans="1:153" s="64" customFormat="1" x14ac:dyDescent="0.25">
      <c r="A26" s="74" t="s">
        <v>45</v>
      </c>
      <c r="B26" s="222"/>
      <c r="C26" s="63" t="s">
        <v>32</v>
      </c>
      <c r="D26" s="314">
        <v>0</v>
      </c>
      <c r="E26" s="314">
        <v>0</v>
      </c>
      <c r="F26" s="311">
        <v>0</v>
      </c>
      <c r="G26" s="314">
        <f>+E26</f>
        <v>0</v>
      </c>
      <c r="H26" s="312">
        <v>0</v>
      </c>
      <c r="I26" s="315"/>
      <c r="J26" s="315">
        <v>10000000</v>
      </c>
      <c r="K26" s="89">
        <v>0</v>
      </c>
      <c r="L26" s="80">
        <f>+J26*M26</f>
        <v>1000000</v>
      </c>
      <c r="M26" s="97">
        <v>0.1</v>
      </c>
      <c r="N26" s="80">
        <f>+O26*J26</f>
        <v>2000000</v>
      </c>
      <c r="O26" s="97">
        <v>0.2</v>
      </c>
      <c r="P26" s="80">
        <f>+Q26*J26</f>
        <v>1000000</v>
      </c>
      <c r="Q26" s="97">
        <v>0.1</v>
      </c>
      <c r="R26" s="80">
        <f>+S26*J26</f>
        <v>6000000</v>
      </c>
      <c r="S26" s="97">
        <v>0.6</v>
      </c>
      <c r="T26" s="314">
        <f>+J26-I26</f>
        <v>10000000</v>
      </c>
      <c r="U26" s="340">
        <v>0</v>
      </c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/>
      <c r="CG26" s="62"/>
      <c r="CH26" s="62"/>
      <c r="CI26" s="62"/>
      <c r="CJ26" s="62"/>
      <c r="CK26" s="62"/>
      <c r="CL26" s="62"/>
      <c r="CM26" s="62"/>
      <c r="CN26" s="62"/>
      <c r="CO26" s="62"/>
      <c r="CP26" s="62"/>
      <c r="CQ26" s="62"/>
      <c r="CR26" s="62"/>
      <c r="CS26" s="62"/>
      <c r="CT26" s="62"/>
      <c r="CU26" s="62"/>
      <c r="CV26" s="62"/>
      <c r="CW26" s="62"/>
      <c r="CX26" s="62"/>
      <c r="CY26" s="62"/>
      <c r="CZ26" s="62"/>
      <c r="DA26" s="62"/>
      <c r="DB26" s="62"/>
      <c r="DC26" s="62"/>
      <c r="DD26" s="62"/>
      <c r="DE26" s="62"/>
      <c r="DF26" s="62"/>
      <c r="DG26" s="62"/>
      <c r="DH26" s="62"/>
      <c r="DI26" s="62"/>
      <c r="DJ26" s="62"/>
      <c r="DK26" s="62"/>
      <c r="DL26" s="62"/>
      <c r="DM26" s="62"/>
      <c r="DN26" s="62"/>
      <c r="DO26" s="62"/>
      <c r="DP26" s="62"/>
      <c r="DQ26" s="62"/>
      <c r="DR26" s="62"/>
      <c r="DS26" s="62"/>
      <c r="DT26" s="62"/>
      <c r="DU26" s="62"/>
      <c r="DV26" s="62"/>
      <c r="DW26" s="62"/>
      <c r="DX26" s="62"/>
      <c r="DY26" s="62"/>
      <c r="DZ26" s="62"/>
      <c r="EA26" s="62"/>
      <c r="EB26" s="62"/>
      <c r="EC26" s="62"/>
      <c r="ED26" s="62"/>
      <c r="EE26" s="62"/>
      <c r="EF26" s="62"/>
      <c r="EG26" s="62"/>
      <c r="EH26" s="62"/>
      <c r="EI26" s="62"/>
      <c r="EJ26" s="62"/>
      <c r="EK26" s="62"/>
      <c r="EL26" s="62"/>
      <c r="EM26" s="62"/>
      <c r="EN26" s="62"/>
      <c r="EO26" s="62"/>
      <c r="EP26" s="62"/>
      <c r="EQ26" s="62"/>
      <c r="ER26" s="62"/>
      <c r="ES26" s="62"/>
      <c r="ET26" s="62"/>
      <c r="EU26" s="62"/>
      <c r="EV26" s="62"/>
      <c r="EW26" s="62"/>
    </row>
    <row r="27" spans="1:153" x14ac:dyDescent="0.25">
      <c r="A27" s="75" t="s">
        <v>46</v>
      </c>
      <c r="B27" s="227"/>
      <c r="C27" s="66" t="s">
        <v>47</v>
      </c>
      <c r="D27" s="316">
        <f>+D28+D30+D33+D36+D39+D42</f>
        <v>16867132558</v>
      </c>
      <c r="E27" s="316">
        <f t="shared" ref="E27:G27" si="49">+E28+E30+E33+E36+E39+E42</f>
        <v>15515622634.6</v>
      </c>
      <c r="F27" s="311">
        <f t="shared" si="7"/>
        <v>0.91987316642276673</v>
      </c>
      <c r="G27" s="316">
        <f t="shared" si="49"/>
        <v>18374263721.685997</v>
      </c>
      <c r="H27" s="312">
        <f t="shared" si="8"/>
        <v>1.0893531344763856</v>
      </c>
      <c r="I27" s="317">
        <f>+I28+I30+I33+I36+I39+I42</f>
        <v>17494582340</v>
      </c>
      <c r="J27" s="317">
        <f>+J28+J30+J33+J36+J39+J42</f>
        <v>21836413817.5588</v>
      </c>
      <c r="K27" s="89">
        <f t="shared" si="10"/>
        <v>0.18842388181174535</v>
      </c>
      <c r="L27" s="85">
        <f t="shared" ref="L27" si="50">+L28+L30+L33+L36+L39+L42</f>
        <v>9477065690.5489197</v>
      </c>
      <c r="M27" s="97"/>
      <c r="N27" s="85">
        <f t="shared" ref="N27" si="51">+N28+N30+N33+N36+N39+N42</f>
        <v>2183641381.7558799</v>
      </c>
      <c r="O27" s="97"/>
      <c r="P27" s="85">
        <f t="shared" ref="P27" si="52">+P28+P30+P33+P36+P39+P42</f>
        <v>1130634082.806</v>
      </c>
      <c r="Q27" s="97"/>
      <c r="R27" s="85">
        <f t="shared" ref="R27" si="53">+R28+R30+R33+R36+R39+R42</f>
        <v>9045072662.448</v>
      </c>
      <c r="S27" s="97"/>
      <c r="T27" s="310">
        <f>+I27-J27</f>
        <v>-4341831477.5587997</v>
      </c>
      <c r="U27" s="339">
        <f t="shared" ref="U27:U69" si="54">+J27/G27*100-100</f>
        <v>18.842388181174542</v>
      </c>
    </row>
    <row r="28" spans="1:153" s="64" customFormat="1" x14ac:dyDescent="0.25">
      <c r="A28" s="74" t="s">
        <v>49</v>
      </c>
      <c r="B28" s="222">
        <v>21</v>
      </c>
      <c r="C28" s="63" t="s">
        <v>50</v>
      </c>
      <c r="D28" s="314">
        <f>+D29</f>
        <v>78564081</v>
      </c>
      <c r="E28" s="314">
        <f t="shared" ref="E28:R28" si="55">+E29</f>
        <v>133609071.59</v>
      </c>
      <c r="F28" s="311">
        <f t="shared" si="7"/>
        <v>1.7006381273650997</v>
      </c>
      <c r="G28" s="314">
        <f t="shared" si="55"/>
        <v>160330885.90799999</v>
      </c>
      <c r="H28" s="312">
        <f t="shared" si="8"/>
        <v>2.0407657528381193</v>
      </c>
      <c r="I28" s="315">
        <f t="shared" si="55"/>
        <v>240496823</v>
      </c>
      <c r="J28" s="315">
        <f t="shared" si="55"/>
        <v>176363974.49880001</v>
      </c>
      <c r="K28" s="89">
        <f t="shared" si="10"/>
        <v>0.10000000000000012</v>
      </c>
      <c r="L28" s="84">
        <f t="shared" si="55"/>
        <v>158727577.04892001</v>
      </c>
      <c r="M28" s="97"/>
      <c r="N28" s="84">
        <f t="shared" si="55"/>
        <v>17636397.44988</v>
      </c>
      <c r="O28" s="97"/>
      <c r="P28" s="84">
        <f t="shared" si="55"/>
        <v>0</v>
      </c>
      <c r="Q28" s="97"/>
      <c r="R28" s="84">
        <f t="shared" si="55"/>
        <v>0</v>
      </c>
      <c r="S28" s="97"/>
      <c r="T28" s="314">
        <f>+J28-I28</f>
        <v>-64132848.501199991</v>
      </c>
      <c r="U28" s="340">
        <f t="shared" si="54"/>
        <v>10.000000000000014</v>
      </c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/>
      <c r="CG28" s="62"/>
      <c r="CH28" s="62"/>
      <c r="CI28" s="62"/>
      <c r="CJ28" s="62"/>
      <c r="CK28" s="62"/>
      <c r="CL28" s="62"/>
      <c r="CM28" s="62"/>
      <c r="CN28" s="62"/>
      <c r="CO28" s="62"/>
      <c r="CP28" s="62"/>
      <c r="CQ28" s="62"/>
      <c r="CR28" s="62"/>
      <c r="CS28" s="62"/>
      <c r="CT28" s="62"/>
      <c r="CU28" s="62"/>
      <c r="CV28" s="62"/>
      <c r="CW28" s="62"/>
      <c r="CX28" s="62"/>
      <c r="CY28" s="62"/>
      <c r="CZ28" s="62"/>
      <c r="DA28" s="62"/>
      <c r="DB28" s="62"/>
      <c r="DC28" s="62"/>
      <c r="DD28" s="62"/>
      <c r="DE28" s="62"/>
      <c r="DF28" s="62"/>
      <c r="DG28" s="62"/>
      <c r="DH28" s="62"/>
      <c r="DI28" s="62"/>
      <c r="DJ28" s="62"/>
      <c r="DK28" s="62"/>
      <c r="DL28" s="62"/>
      <c r="DM28" s="62"/>
      <c r="DN28" s="62"/>
      <c r="DO28" s="62"/>
      <c r="DP28" s="62"/>
      <c r="DQ28" s="62"/>
      <c r="DR28" s="62"/>
      <c r="DS28" s="62"/>
      <c r="DT28" s="62"/>
      <c r="DU28" s="62"/>
      <c r="DV28" s="62"/>
      <c r="DW28" s="62"/>
      <c r="DX28" s="62"/>
      <c r="DY28" s="62"/>
      <c r="DZ28" s="62"/>
      <c r="EA28" s="62"/>
      <c r="EB28" s="62"/>
      <c r="EC28" s="62"/>
      <c r="ED28" s="62"/>
      <c r="EE28" s="62"/>
      <c r="EF28" s="62"/>
      <c r="EG28" s="62"/>
      <c r="EH28" s="62"/>
      <c r="EI28" s="62"/>
      <c r="EJ28" s="62"/>
      <c r="EK28" s="62"/>
      <c r="EL28" s="62"/>
      <c r="EM28" s="62"/>
      <c r="EN28" s="62"/>
      <c r="EO28" s="62"/>
      <c r="EP28" s="62"/>
      <c r="EQ28" s="62"/>
      <c r="ER28" s="62"/>
      <c r="ES28" s="62"/>
      <c r="ET28" s="62"/>
      <c r="EU28" s="62"/>
      <c r="EV28" s="62"/>
      <c r="EW28" s="62"/>
    </row>
    <row r="29" spans="1:153" x14ac:dyDescent="0.25">
      <c r="A29" s="75" t="s">
        <v>51</v>
      </c>
      <c r="B29" s="227"/>
      <c r="C29" s="66" t="s">
        <v>30</v>
      </c>
      <c r="D29" s="316">
        <v>78564081</v>
      </c>
      <c r="E29" s="316">
        <v>133609071.59</v>
      </c>
      <c r="F29" s="311">
        <f t="shared" si="7"/>
        <v>1.7006381273650997</v>
      </c>
      <c r="G29" s="316">
        <f>+(E29/10)*12</f>
        <v>160330885.90799999</v>
      </c>
      <c r="H29" s="312">
        <f t="shared" si="8"/>
        <v>2.0407657528381193</v>
      </c>
      <c r="I29" s="317">
        <f>+'[2]COMPARATIVO RECAUDOS'!$F$19</f>
        <v>240496823</v>
      </c>
      <c r="J29" s="317">
        <f>+G29*1.1</f>
        <v>176363974.49880001</v>
      </c>
      <c r="K29" s="89">
        <f t="shared" si="10"/>
        <v>0.10000000000000012</v>
      </c>
      <c r="L29" s="81">
        <f>+J29*M29</f>
        <v>158727577.04892001</v>
      </c>
      <c r="M29" s="97">
        <v>0.9</v>
      </c>
      <c r="N29" s="81">
        <f>+O29*J29</f>
        <v>17636397.44988</v>
      </c>
      <c r="O29" s="97">
        <v>0.1</v>
      </c>
      <c r="P29" s="81"/>
      <c r="Q29" s="97"/>
      <c r="R29" s="81"/>
      <c r="S29" s="97"/>
      <c r="T29" s="310">
        <f>+I29-J29</f>
        <v>64132848.501199991</v>
      </c>
      <c r="U29" s="339">
        <f t="shared" si="54"/>
        <v>10.000000000000014</v>
      </c>
    </row>
    <row r="30" spans="1:153" s="64" customFormat="1" x14ac:dyDescent="0.25">
      <c r="A30" s="74" t="s">
        <v>52</v>
      </c>
      <c r="B30" s="222">
        <v>22</v>
      </c>
      <c r="C30" s="63" t="s">
        <v>53</v>
      </c>
      <c r="D30" s="314">
        <f>+D31+D32</f>
        <v>2793096170</v>
      </c>
      <c r="E30" s="314">
        <f t="shared" ref="E30:G30" si="56">+E31+E32</f>
        <v>5934379560.9899998</v>
      </c>
      <c r="F30" s="311">
        <f t="shared" si="7"/>
        <v>2.1246599471689511</v>
      </c>
      <c r="G30" s="314">
        <f t="shared" si="56"/>
        <v>6973643119.789999</v>
      </c>
      <c r="H30" s="312">
        <f t="shared" si="8"/>
        <v>2.4967429316227228</v>
      </c>
      <c r="I30" s="315">
        <f t="shared" ref="I30:J30" si="57">+I31+I32</f>
        <v>2033632445</v>
      </c>
      <c r="J30" s="315">
        <f t="shared" si="57"/>
        <v>2247453257</v>
      </c>
      <c r="K30" s="89">
        <f t="shared" si="10"/>
        <v>-0.67772178495597024</v>
      </c>
      <c r="L30" s="84">
        <f t="shared" ref="L30:R30" si="58">+L31+L32</f>
        <v>2022707931.3000002</v>
      </c>
      <c r="M30" s="97"/>
      <c r="N30" s="84">
        <f t="shared" si="58"/>
        <v>224745325.70000002</v>
      </c>
      <c r="O30" s="97"/>
      <c r="P30" s="84">
        <f t="shared" si="58"/>
        <v>0</v>
      </c>
      <c r="Q30" s="97"/>
      <c r="R30" s="84">
        <f t="shared" si="58"/>
        <v>0</v>
      </c>
      <c r="S30" s="97"/>
      <c r="T30" s="314">
        <f>+J30-I30</f>
        <v>213820812</v>
      </c>
      <c r="U30" s="340">
        <f t="shared" si="54"/>
        <v>-67.772178495597018</v>
      </c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/>
      <c r="CG30" s="62"/>
      <c r="CH30" s="62"/>
      <c r="CI30" s="62"/>
      <c r="CJ30" s="62"/>
      <c r="CK30" s="62"/>
      <c r="CL30" s="62"/>
      <c r="CM30" s="62"/>
      <c r="CN30" s="62"/>
      <c r="CO30" s="62"/>
      <c r="CP30" s="62"/>
      <c r="CQ30" s="62"/>
      <c r="CR30" s="62"/>
      <c r="CS30" s="62"/>
      <c r="CT30" s="62"/>
      <c r="CU30" s="62"/>
      <c r="CV30" s="62"/>
      <c r="CW30" s="62"/>
      <c r="CX30" s="62"/>
      <c r="CY30" s="62"/>
      <c r="CZ30" s="62"/>
      <c r="DA30" s="62"/>
      <c r="DB30" s="62"/>
      <c r="DC30" s="62"/>
      <c r="DD30" s="62"/>
      <c r="DE30" s="62"/>
      <c r="DF30" s="62"/>
      <c r="DG30" s="62"/>
      <c r="DH30" s="62"/>
      <c r="DI30" s="62"/>
      <c r="DJ30" s="62"/>
      <c r="DK30" s="62"/>
      <c r="DL30" s="62"/>
      <c r="DM30" s="62"/>
      <c r="DN30" s="62"/>
      <c r="DO30" s="62"/>
      <c r="DP30" s="62"/>
      <c r="DQ30" s="62"/>
      <c r="DR30" s="62"/>
      <c r="DS30" s="62"/>
      <c r="DT30" s="62"/>
      <c r="DU30" s="62"/>
      <c r="DV30" s="62"/>
      <c r="DW30" s="62"/>
      <c r="DX30" s="62"/>
      <c r="DY30" s="62"/>
      <c r="DZ30" s="62"/>
      <c r="EA30" s="62"/>
      <c r="EB30" s="62"/>
      <c r="EC30" s="62"/>
      <c r="ED30" s="62"/>
      <c r="EE30" s="62"/>
      <c r="EF30" s="62"/>
      <c r="EG30" s="62"/>
      <c r="EH30" s="62"/>
      <c r="EI30" s="62"/>
      <c r="EJ30" s="62"/>
      <c r="EK30" s="62"/>
      <c r="EL30" s="62"/>
      <c r="EM30" s="62"/>
      <c r="EN30" s="62"/>
      <c r="EO30" s="62"/>
      <c r="EP30" s="62"/>
      <c r="EQ30" s="62"/>
      <c r="ER30" s="62"/>
      <c r="ES30" s="62"/>
      <c r="ET30" s="62"/>
      <c r="EU30" s="62"/>
      <c r="EV30" s="62"/>
      <c r="EW30" s="62"/>
    </row>
    <row r="31" spans="1:153" x14ac:dyDescent="0.25">
      <c r="A31" s="73" t="s">
        <v>54</v>
      </c>
      <c r="B31" s="228"/>
      <c r="C31" s="66" t="s">
        <v>55</v>
      </c>
      <c r="D31" s="316">
        <v>2129269875</v>
      </c>
      <c r="E31" s="316">
        <v>5196317794</v>
      </c>
      <c r="F31" s="311">
        <f t="shared" si="7"/>
        <v>2.4404223508774341</v>
      </c>
      <c r="G31" s="316">
        <f>+(E31/10)*12</f>
        <v>6235581352.7999992</v>
      </c>
      <c r="H31" s="312">
        <f t="shared" si="8"/>
        <v>2.9285068210529204</v>
      </c>
      <c r="I31" s="317">
        <f>+'[2]COMPARATIVO RECAUDOS'!$F$20</f>
        <v>2033632445</v>
      </c>
      <c r="J31" s="317">
        <v>1926388506</v>
      </c>
      <c r="K31" s="89">
        <f t="shared" si="10"/>
        <v>-0.69106513137945313</v>
      </c>
      <c r="L31" s="81">
        <f>+J31*M31</f>
        <v>1733749655.4000001</v>
      </c>
      <c r="M31" s="97">
        <v>0.9</v>
      </c>
      <c r="N31" s="81">
        <f>+J31*O31</f>
        <v>192638850.60000002</v>
      </c>
      <c r="O31" s="97">
        <v>0.1</v>
      </c>
      <c r="P31" s="81"/>
      <c r="Q31" s="97"/>
      <c r="R31" s="81"/>
      <c r="S31" s="97"/>
      <c r="T31" s="310">
        <f>+I31-J31</f>
        <v>107243939</v>
      </c>
      <c r="U31" s="339">
        <f t="shared" si="54"/>
        <v>-69.106513137945313</v>
      </c>
    </row>
    <row r="32" spans="1:153" s="64" customFormat="1" x14ac:dyDescent="0.25">
      <c r="A32" s="74" t="s">
        <v>56</v>
      </c>
      <c r="B32" s="222"/>
      <c r="C32" s="63" t="s">
        <v>39</v>
      </c>
      <c r="D32" s="314">
        <v>663826295</v>
      </c>
      <c r="E32" s="314">
        <v>738061766.99000001</v>
      </c>
      <c r="F32" s="311">
        <f t="shared" si="7"/>
        <v>1.1118296647016672</v>
      </c>
      <c r="G32" s="314">
        <f>+E32</f>
        <v>738061766.99000001</v>
      </c>
      <c r="H32" s="312">
        <f t="shared" si="8"/>
        <v>1.1118296647016672</v>
      </c>
      <c r="I32" s="315"/>
      <c r="J32" s="315">
        <v>321064751</v>
      </c>
      <c r="K32" s="89">
        <f t="shared" si="10"/>
        <v>-0.5649893201901216</v>
      </c>
      <c r="L32" s="80">
        <f>+J32*M32</f>
        <v>288958275.90000004</v>
      </c>
      <c r="M32" s="97">
        <v>0.9</v>
      </c>
      <c r="N32" s="80">
        <f>+J32*O32</f>
        <v>32106475.100000001</v>
      </c>
      <c r="O32" s="97">
        <v>0.1</v>
      </c>
      <c r="P32" s="80"/>
      <c r="Q32" s="97"/>
      <c r="R32" s="80"/>
      <c r="S32" s="97"/>
      <c r="T32" s="314">
        <f>+J32-I32</f>
        <v>321064751</v>
      </c>
      <c r="U32" s="340">
        <f t="shared" si="54"/>
        <v>-56.498932019012152</v>
      </c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2"/>
      <c r="CH32" s="62"/>
      <c r="CI32" s="62"/>
      <c r="CJ32" s="62"/>
      <c r="CK32" s="62"/>
      <c r="CL32" s="62"/>
      <c r="CM32" s="62"/>
      <c r="CN32" s="62"/>
      <c r="CO32" s="62"/>
      <c r="CP32" s="62"/>
      <c r="CQ32" s="62"/>
      <c r="CR32" s="62"/>
      <c r="CS32" s="62"/>
      <c r="CT32" s="62"/>
      <c r="CU32" s="62"/>
      <c r="CV32" s="62"/>
      <c r="CW32" s="62"/>
      <c r="CX32" s="62"/>
      <c r="CY32" s="62"/>
      <c r="CZ32" s="62"/>
      <c r="DA32" s="62"/>
      <c r="DB32" s="62"/>
      <c r="DC32" s="62"/>
      <c r="DD32" s="62"/>
      <c r="DE32" s="62"/>
      <c r="DF32" s="62"/>
      <c r="DG32" s="62"/>
      <c r="DH32" s="62"/>
      <c r="DI32" s="62"/>
      <c r="DJ32" s="62"/>
      <c r="DK32" s="62"/>
      <c r="DL32" s="62"/>
      <c r="DM32" s="62"/>
      <c r="DN32" s="62"/>
      <c r="DO32" s="62"/>
      <c r="DP32" s="62"/>
      <c r="DQ32" s="62"/>
      <c r="DR32" s="62"/>
      <c r="DS32" s="62"/>
      <c r="DT32" s="62"/>
      <c r="DU32" s="62"/>
      <c r="DV32" s="62"/>
      <c r="DW32" s="62"/>
      <c r="DX32" s="62"/>
      <c r="DY32" s="62"/>
      <c r="DZ32" s="62"/>
      <c r="EA32" s="62"/>
      <c r="EB32" s="62"/>
      <c r="EC32" s="62"/>
      <c r="ED32" s="62"/>
      <c r="EE32" s="62"/>
      <c r="EF32" s="62"/>
      <c r="EG32" s="62"/>
      <c r="EH32" s="62"/>
      <c r="EI32" s="62"/>
      <c r="EJ32" s="62"/>
      <c r="EK32" s="62"/>
      <c r="EL32" s="62"/>
      <c r="EM32" s="62"/>
      <c r="EN32" s="62"/>
      <c r="EO32" s="62"/>
      <c r="EP32" s="62"/>
      <c r="EQ32" s="62"/>
      <c r="ER32" s="62"/>
      <c r="ES32" s="62"/>
      <c r="ET32" s="62"/>
      <c r="EU32" s="62"/>
      <c r="EV32" s="62"/>
      <c r="EW32" s="62"/>
    </row>
    <row r="33" spans="1:153" x14ac:dyDescent="0.25">
      <c r="A33" s="75" t="s">
        <v>57</v>
      </c>
      <c r="B33" s="227">
        <v>23</v>
      </c>
      <c r="C33" s="66" t="s">
        <v>58</v>
      </c>
      <c r="D33" s="316">
        <f>+D34+D35</f>
        <v>5213166714</v>
      </c>
      <c r="E33" s="316">
        <f t="shared" ref="E33:G33" si="59">+E34+E35</f>
        <v>1617828035.02</v>
      </c>
      <c r="F33" s="311">
        <f t="shared" si="7"/>
        <v>0.31033498903369233</v>
      </c>
      <c r="G33" s="316">
        <f t="shared" si="59"/>
        <v>1885381994.188</v>
      </c>
      <c r="H33" s="312">
        <f t="shared" si="8"/>
        <v>0.36165772123204726</v>
      </c>
      <c r="I33" s="317">
        <f t="shared" ref="I33:J33" si="60">+I34+I35</f>
        <v>7098025775</v>
      </c>
      <c r="J33" s="317">
        <f t="shared" si="60"/>
        <v>8106255758</v>
      </c>
      <c r="K33" s="89">
        <f t="shared" si="10"/>
        <v>3.2995296353677221</v>
      </c>
      <c r="L33" s="85">
        <f t="shared" ref="L33:R33" si="61">+L34+L35</f>
        <v>7295630182.1999998</v>
      </c>
      <c r="M33" s="97"/>
      <c r="N33" s="85">
        <f t="shared" si="61"/>
        <v>810625575.80000007</v>
      </c>
      <c r="O33" s="97"/>
      <c r="P33" s="85">
        <f t="shared" si="61"/>
        <v>0</v>
      </c>
      <c r="Q33" s="97"/>
      <c r="R33" s="85">
        <f t="shared" si="61"/>
        <v>0</v>
      </c>
      <c r="S33" s="97"/>
      <c r="T33" s="310">
        <f>+I33-J33</f>
        <v>-1008229983</v>
      </c>
      <c r="U33" s="339">
        <f t="shared" si="54"/>
        <v>329.95296353677219</v>
      </c>
    </row>
    <row r="34" spans="1:153" s="64" customFormat="1" x14ac:dyDescent="0.25">
      <c r="A34" s="74" t="s">
        <v>59</v>
      </c>
      <c r="B34" s="222"/>
      <c r="C34" s="63" t="s">
        <v>55</v>
      </c>
      <c r="D34" s="314">
        <v>5067947331</v>
      </c>
      <c r="E34" s="314">
        <v>1337769795.8399999</v>
      </c>
      <c r="F34" s="311">
        <f t="shared" si="7"/>
        <v>0.26396679137863754</v>
      </c>
      <c r="G34" s="314">
        <f>+(E34/10)*12</f>
        <v>1605323755.0079999</v>
      </c>
      <c r="H34" s="312">
        <f t="shared" si="8"/>
        <v>0.31676014965436505</v>
      </c>
      <c r="I34" s="315">
        <f>+'[2]COMPARATIVO RECAUDOS'!$F$21</f>
        <v>7098025775</v>
      </c>
      <c r="J34" s="315">
        <v>7482697623</v>
      </c>
      <c r="K34" s="89">
        <f t="shared" si="10"/>
        <v>3.6611766627490736</v>
      </c>
      <c r="L34" s="80">
        <f>+J34*M34</f>
        <v>6734427860.6999998</v>
      </c>
      <c r="M34" s="97">
        <v>0.9</v>
      </c>
      <c r="N34" s="80">
        <f>+J34*O34</f>
        <v>748269762.30000007</v>
      </c>
      <c r="O34" s="97">
        <v>0.1</v>
      </c>
      <c r="P34" s="80"/>
      <c r="Q34" s="97"/>
      <c r="R34" s="80"/>
      <c r="S34" s="97"/>
      <c r="T34" s="314">
        <f>+J34-I34</f>
        <v>384671848</v>
      </c>
      <c r="U34" s="340">
        <f t="shared" si="54"/>
        <v>366.11766627490738</v>
      </c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/>
      <c r="CG34" s="62"/>
      <c r="CH34" s="62"/>
      <c r="CI34" s="62"/>
      <c r="CJ34" s="62"/>
      <c r="CK34" s="62"/>
      <c r="CL34" s="62"/>
      <c r="CM34" s="62"/>
      <c r="CN34" s="62"/>
      <c r="CO34" s="62"/>
      <c r="CP34" s="62"/>
      <c r="CQ34" s="62"/>
      <c r="CR34" s="62"/>
      <c r="CS34" s="62"/>
      <c r="CT34" s="62"/>
      <c r="CU34" s="62"/>
      <c r="CV34" s="62"/>
      <c r="CW34" s="62"/>
      <c r="CX34" s="62"/>
      <c r="CY34" s="62"/>
      <c r="CZ34" s="62"/>
      <c r="DA34" s="62"/>
      <c r="DB34" s="62"/>
      <c r="DC34" s="62"/>
      <c r="DD34" s="62"/>
      <c r="DE34" s="62"/>
      <c r="DF34" s="62"/>
      <c r="DG34" s="62"/>
      <c r="DH34" s="62"/>
      <c r="DI34" s="62"/>
      <c r="DJ34" s="62"/>
      <c r="DK34" s="62"/>
      <c r="DL34" s="62"/>
      <c r="DM34" s="62"/>
      <c r="DN34" s="62"/>
      <c r="DO34" s="62"/>
      <c r="DP34" s="62"/>
      <c r="DQ34" s="62"/>
      <c r="DR34" s="62"/>
      <c r="DS34" s="62"/>
      <c r="DT34" s="62"/>
      <c r="DU34" s="62"/>
      <c r="DV34" s="62"/>
      <c r="DW34" s="62"/>
      <c r="DX34" s="62"/>
      <c r="DY34" s="62"/>
      <c r="DZ34" s="62"/>
      <c r="EA34" s="62"/>
      <c r="EB34" s="62"/>
      <c r="EC34" s="62"/>
      <c r="ED34" s="62"/>
      <c r="EE34" s="62"/>
      <c r="EF34" s="62"/>
      <c r="EG34" s="62"/>
      <c r="EH34" s="62"/>
      <c r="EI34" s="62"/>
      <c r="EJ34" s="62"/>
      <c r="EK34" s="62"/>
      <c r="EL34" s="62"/>
      <c r="EM34" s="62"/>
      <c r="EN34" s="62"/>
      <c r="EO34" s="62"/>
      <c r="EP34" s="62"/>
      <c r="EQ34" s="62"/>
      <c r="ER34" s="62"/>
      <c r="ES34" s="62"/>
      <c r="ET34" s="62"/>
      <c r="EU34" s="62"/>
      <c r="EV34" s="62"/>
      <c r="EW34" s="62"/>
    </row>
    <row r="35" spans="1:153" x14ac:dyDescent="0.25">
      <c r="A35" s="75" t="s">
        <v>60</v>
      </c>
      <c r="B35" s="227"/>
      <c r="C35" s="66" t="s">
        <v>39</v>
      </c>
      <c r="D35" s="316">
        <v>145219383</v>
      </c>
      <c r="E35" s="316">
        <v>280058239.18000001</v>
      </c>
      <c r="F35" s="311">
        <f t="shared" si="7"/>
        <v>1.9285183106720678</v>
      </c>
      <c r="G35" s="316">
        <f>+E35</f>
        <v>280058239.18000001</v>
      </c>
      <c r="H35" s="312">
        <f t="shared" si="8"/>
        <v>1.9285183106720678</v>
      </c>
      <c r="I35" s="317"/>
      <c r="J35" s="317">
        <v>623558135</v>
      </c>
      <c r="K35" s="89">
        <f t="shared" si="10"/>
        <v>1.2265302275189431</v>
      </c>
      <c r="L35" s="81">
        <f>+J35*M35</f>
        <v>561202321.5</v>
      </c>
      <c r="M35" s="97">
        <v>0.9</v>
      </c>
      <c r="N35" s="81">
        <f>+J35*O35</f>
        <v>62355813.5</v>
      </c>
      <c r="O35" s="97">
        <v>0.1</v>
      </c>
      <c r="P35" s="81"/>
      <c r="Q35" s="97"/>
      <c r="R35" s="81"/>
      <c r="S35" s="97"/>
      <c r="T35" s="310">
        <f>+I35-J35</f>
        <v>-623558135</v>
      </c>
      <c r="U35" s="339">
        <f t="shared" si="54"/>
        <v>122.65302275189433</v>
      </c>
    </row>
    <row r="36" spans="1:153" s="64" customFormat="1" x14ac:dyDescent="0.25">
      <c r="A36" s="74" t="s">
        <v>61</v>
      </c>
      <c r="B36" s="222">
        <v>51</v>
      </c>
      <c r="C36" s="63" t="s">
        <v>62</v>
      </c>
      <c r="D36" s="314">
        <f>+D37+D38</f>
        <v>1424686900</v>
      </c>
      <c r="E36" s="314">
        <f t="shared" ref="E36:G36" si="62">+E37+E38</f>
        <v>1594782766</v>
      </c>
      <c r="F36" s="311">
        <f t="shared" si="7"/>
        <v>1.1193917526721133</v>
      </c>
      <c r="G36" s="314">
        <f t="shared" si="62"/>
        <v>1903026398.1999998</v>
      </c>
      <c r="H36" s="312">
        <f t="shared" si="8"/>
        <v>1.3357506117309002</v>
      </c>
      <c r="I36" s="315">
        <f t="shared" ref="I36:R36" si="63">+I37+I38</f>
        <v>1802435123</v>
      </c>
      <c r="J36" s="315">
        <f t="shared" si="63"/>
        <v>2278275217.3399997</v>
      </c>
      <c r="K36" s="89">
        <f t="shared" si="10"/>
        <v>0.19718529364329021</v>
      </c>
      <c r="L36" s="84">
        <f t="shared" si="63"/>
        <v>0</v>
      </c>
      <c r="M36" s="97"/>
      <c r="N36" s="84">
        <f t="shared" si="63"/>
        <v>227827521.734</v>
      </c>
      <c r="O36" s="97"/>
      <c r="P36" s="84">
        <f t="shared" si="63"/>
        <v>227827521.734</v>
      </c>
      <c r="Q36" s="97"/>
      <c r="R36" s="84">
        <f t="shared" si="63"/>
        <v>1822620173.872</v>
      </c>
      <c r="S36" s="97"/>
      <c r="T36" s="314">
        <f>+J36-I36</f>
        <v>475840094.33999968</v>
      </c>
      <c r="U36" s="340">
        <f t="shared" si="54"/>
        <v>19.718529364329029</v>
      </c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62"/>
      <c r="CG36" s="62"/>
      <c r="CH36" s="62"/>
      <c r="CI36" s="62"/>
      <c r="CJ36" s="62"/>
      <c r="CK36" s="62"/>
      <c r="CL36" s="62"/>
      <c r="CM36" s="62"/>
      <c r="CN36" s="62"/>
      <c r="CO36" s="62"/>
      <c r="CP36" s="62"/>
      <c r="CQ36" s="62"/>
      <c r="CR36" s="62"/>
      <c r="CS36" s="62"/>
      <c r="CT36" s="62"/>
      <c r="CU36" s="62"/>
      <c r="CV36" s="62"/>
      <c r="CW36" s="62"/>
      <c r="CX36" s="62"/>
      <c r="CY36" s="62"/>
      <c r="CZ36" s="62"/>
      <c r="DA36" s="62"/>
      <c r="DB36" s="62"/>
      <c r="DC36" s="62"/>
      <c r="DD36" s="62"/>
      <c r="DE36" s="62"/>
      <c r="DF36" s="62"/>
      <c r="DG36" s="62"/>
      <c r="DH36" s="62"/>
      <c r="DI36" s="62"/>
      <c r="DJ36" s="62"/>
      <c r="DK36" s="62"/>
      <c r="DL36" s="62"/>
      <c r="DM36" s="62"/>
      <c r="DN36" s="62"/>
      <c r="DO36" s="62"/>
      <c r="DP36" s="62"/>
      <c r="DQ36" s="62"/>
      <c r="DR36" s="62"/>
      <c r="DS36" s="62"/>
      <c r="DT36" s="62"/>
      <c r="DU36" s="62"/>
      <c r="DV36" s="62"/>
      <c r="DW36" s="62"/>
      <c r="DX36" s="62"/>
      <c r="DY36" s="62"/>
      <c r="DZ36" s="62"/>
      <c r="EA36" s="62"/>
      <c r="EB36" s="62"/>
      <c r="EC36" s="62"/>
      <c r="ED36" s="62"/>
      <c r="EE36" s="62"/>
      <c r="EF36" s="62"/>
      <c r="EG36" s="62"/>
      <c r="EH36" s="62"/>
      <c r="EI36" s="62"/>
      <c r="EJ36" s="62"/>
      <c r="EK36" s="62"/>
      <c r="EL36" s="62"/>
      <c r="EM36" s="62"/>
      <c r="EN36" s="62"/>
      <c r="EO36" s="62"/>
      <c r="EP36" s="62"/>
      <c r="EQ36" s="62"/>
      <c r="ER36" s="62"/>
      <c r="ES36" s="62"/>
      <c r="ET36" s="62"/>
      <c r="EU36" s="62"/>
      <c r="EV36" s="62"/>
      <c r="EW36" s="62"/>
    </row>
    <row r="37" spans="1:153" x14ac:dyDescent="0.25">
      <c r="A37" s="75" t="s">
        <v>63</v>
      </c>
      <c r="B37" s="227"/>
      <c r="C37" s="66" t="s">
        <v>55</v>
      </c>
      <c r="D37" s="316">
        <v>1323171610</v>
      </c>
      <c r="E37" s="316">
        <v>1541218161</v>
      </c>
      <c r="F37" s="311">
        <f t="shared" si="7"/>
        <v>1.1647908323849239</v>
      </c>
      <c r="G37" s="316">
        <f>+(E37/10)*12</f>
        <v>1849461793.1999998</v>
      </c>
      <c r="H37" s="312">
        <f t="shared" si="8"/>
        <v>1.3977489988619087</v>
      </c>
      <c r="I37" s="317">
        <f>+'[2]COMPARATIVO RECAUDOS'!$F$23</f>
        <v>1802435123</v>
      </c>
      <c r="J37" s="317">
        <f>+G37*1.2</f>
        <v>2219354151.8399997</v>
      </c>
      <c r="K37" s="89">
        <f t="shared" si="10"/>
        <v>0.19999999999999996</v>
      </c>
      <c r="L37" s="81"/>
      <c r="M37" s="97"/>
      <c r="N37" s="81">
        <f>+J37*O37</f>
        <v>221935415.18399999</v>
      </c>
      <c r="O37" s="97">
        <v>0.1</v>
      </c>
      <c r="P37" s="81">
        <f>+J37*Q37</f>
        <v>221935415.18399999</v>
      </c>
      <c r="Q37" s="97">
        <v>0.1</v>
      </c>
      <c r="R37" s="81">
        <f>+S37*J37</f>
        <v>1775483321.4719999</v>
      </c>
      <c r="S37" s="97">
        <v>0.8</v>
      </c>
      <c r="T37" s="310">
        <f>+I37-J37</f>
        <v>-416919028.83999968</v>
      </c>
      <c r="U37" s="339">
        <f t="shared" si="54"/>
        <v>20</v>
      </c>
    </row>
    <row r="38" spans="1:153" s="64" customFormat="1" x14ac:dyDescent="0.25">
      <c r="A38" s="74" t="s">
        <v>64</v>
      </c>
      <c r="B38" s="222"/>
      <c r="C38" s="63" t="s">
        <v>39</v>
      </c>
      <c r="D38" s="314">
        <v>101515290</v>
      </c>
      <c r="E38" s="314">
        <v>53564605</v>
      </c>
      <c r="F38" s="311">
        <f t="shared" si="7"/>
        <v>0.52765061302588012</v>
      </c>
      <c r="G38" s="314">
        <f>+E38</f>
        <v>53564605</v>
      </c>
      <c r="H38" s="312">
        <f t="shared" si="8"/>
        <v>0.52765061302588012</v>
      </c>
      <c r="I38" s="315"/>
      <c r="J38" s="315">
        <f>+G38*1.1</f>
        <v>58921065.500000007</v>
      </c>
      <c r="K38" s="89">
        <f t="shared" si="10"/>
        <v>0.10000000000000014</v>
      </c>
      <c r="L38" s="80"/>
      <c r="M38" s="97"/>
      <c r="N38" s="80">
        <f>+J38*O38</f>
        <v>5892106.5500000007</v>
      </c>
      <c r="O38" s="97">
        <v>0.1</v>
      </c>
      <c r="P38" s="80">
        <f>+Q38*J38</f>
        <v>5892106.5500000007</v>
      </c>
      <c r="Q38" s="97">
        <v>0.1</v>
      </c>
      <c r="R38" s="80">
        <f>+S38*J38</f>
        <v>47136852.400000006</v>
      </c>
      <c r="S38" s="97">
        <v>0.8</v>
      </c>
      <c r="T38" s="314">
        <f>+J38-I38</f>
        <v>58921065.500000007</v>
      </c>
      <c r="U38" s="340">
        <f t="shared" si="54"/>
        <v>10.000000000000014</v>
      </c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2"/>
      <c r="CA38" s="62"/>
      <c r="CB38" s="62"/>
      <c r="CC38" s="62"/>
      <c r="CD38" s="62"/>
      <c r="CE38" s="62"/>
      <c r="CF38" s="62"/>
      <c r="CG38" s="62"/>
      <c r="CH38" s="62"/>
      <c r="CI38" s="62"/>
      <c r="CJ38" s="62"/>
      <c r="CK38" s="62"/>
      <c r="CL38" s="62"/>
      <c r="CM38" s="62"/>
      <c r="CN38" s="62"/>
      <c r="CO38" s="62"/>
      <c r="CP38" s="62"/>
      <c r="CQ38" s="62"/>
      <c r="CR38" s="62"/>
      <c r="CS38" s="62"/>
      <c r="CT38" s="62"/>
      <c r="CU38" s="62"/>
      <c r="CV38" s="62"/>
      <c r="CW38" s="62"/>
      <c r="CX38" s="62"/>
      <c r="CY38" s="62"/>
      <c r="CZ38" s="62"/>
      <c r="DA38" s="62"/>
      <c r="DB38" s="62"/>
      <c r="DC38" s="62"/>
      <c r="DD38" s="62"/>
      <c r="DE38" s="62"/>
      <c r="DF38" s="62"/>
      <c r="DG38" s="62"/>
      <c r="DH38" s="62"/>
      <c r="DI38" s="62"/>
      <c r="DJ38" s="62"/>
      <c r="DK38" s="62"/>
      <c r="DL38" s="62"/>
      <c r="DM38" s="62"/>
      <c r="DN38" s="62"/>
      <c r="DO38" s="62"/>
      <c r="DP38" s="62"/>
      <c r="DQ38" s="62"/>
      <c r="DR38" s="62"/>
      <c r="DS38" s="62"/>
      <c r="DT38" s="62"/>
      <c r="DU38" s="62"/>
      <c r="DV38" s="62"/>
      <c r="DW38" s="62"/>
      <c r="DX38" s="62"/>
      <c r="DY38" s="62"/>
      <c r="DZ38" s="62"/>
      <c r="EA38" s="62"/>
      <c r="EB38" s="62"/>
      <c r="EC38" s="62"/>
      <c r="ED38" s="62"/>
      <c r="EE38" s="62"/>
      <c r="EF38" s="62"/>
      <c r="EG38" s="62"/>
      <c r="EH38" s="62"/>
      <c r="EI38" s="62"/>
      <c r="EJ38" s="62"/>
      <c r="EK38" s="62"/>
      <c r="EL38" s="62"/>
      <c r="EM38" s="62"/>
      <c r="EN38" s="62"/>
      <c r="EO38" s="62"/>
      <c r="EP38" s="62"/>
      <c r="EQ38" s="62"/>
      <c r="ER38" s="62"/>
      <c r="ES38" s="62"/>
      <c r="ET38" s="62"/>
      <c r="EU38" s="62"/>
      <c r="EV38" s="62"/>
      <c r="EW38" s="62"/>
    </row>
    <row r="39" spans="1:153" x14ac:dyDescent="0.25">
      <c r="A39" s="75" t="s">
        <v>65</v>
      </c>
      <c r="B39" s="227">
        <v>52</v>
      </c>
      <c r="C39" s="66" t="s">
        <v>66</v>
      </c>
      <c r="D39" s="316">
        <f>+D40+D41</f>
        <v>7207618693</v>
      </c>
      <c r="E39" s="316">
        <f t="shared" ref="E39:G39" si="64">+E40+E41</f>
        <v>6192382318</v>
      </c>
      <c r="F39" s="311">
        <f t="shared" si="7"/>
        <v>0.85914399495273075</v>
      </c>
      <c r="G39" s="316">
        <f t="shared" si="64"/>
        <v>7404812945.5999994</v>
      </c>
      <c r="H39" s="312">
        <f t="shared" si="8"/>
        <v>1.0273591405149545</v>
      </c>
      <c r="I39" s="317">
        <f t="shared" ref="I39:R39" si="65">+I40+I41</f>
        <v>6277351291</v>
      </c>
      <c r="J39" s="317">
        <f t="shared" si="65"/>
        <v>8872752616.7199993</v>
      </c>
      <c r="K39" s="89">
        <f t="shared" si="10"/>
        <v>0.19824129007772731</v>
      </c>
      <c r="L39" s="85">
        <f t="shared" si="65"/>
        <v>0</v>
      </c>
      <c r="M39" s="97"/>
      <c r="N39" s="85">
        <f t="shared" si="65"/>
        <v>887275261.67199993</v>
      </c>
      <c r="O39" s="97"/>
      <c r="P39" s="85">
        <f t="shared" si="65"/>
        <v>887275261.67199993</v>
      </c>
      <c r="Q39" s="97"/>
      <c r="R39" s="85">
        <f t="shared" si="65"/>
        <v>7098202093.3759995</v>
      </c>
      <c r="S39" s="97"/>
      <c r="T39" s="310">
        <f>+I39-J39</f>
        <v>-2595401325.7199993</v>
      </c>
      <c r="U39" s="339">
        <f t="shared" si="54"/>
        <v>19.824129007772726</v>
      </c>
    </row>
    <row r="40" spans="1:153" s="64" customFormat="1" x14ac:dyDescent="0.25">
      <c r="A40" s="74" t="s">
        <v>67</v>
      </c>
      <c r="B40" s="222"/>
      <c r="C40" s="63" t="s">
        <v>55</v>
      </c>
      <c r="D40" s="314">
        <v>7090320866</v>
      </c>
      <c r="E40" s="314">
        <v>6062153138</v>
      </c>
      <c r="F40" s="311">
        <f t="shared" si="7"/>
        <v>0.85498995779861786</v>
      </c>
      <c r="G40" s="314">
        <f>+(E40/10)*12</f>
        <v>7274583765.5999994</v>
      </c>
      <c r="H40" s="312">
        <f t="shared" si="8"/>
        <v>1.0259879493583415</v>
      </c>
      <c r="I40" s="315">
        <f>+'[2]COMPARATIVO RECAUDOS'!$F$24</f>
        <v>6277351291</v>
      </c>
      <c r="J40" s="315">
        <f>+G40*1.2</f>
        <v>8729500518.7199993</v>
      </c>
      <c r="K40" s="89">
        <f t="shared" si="10"/>
        <v>0.2</v>
      </c>
      <c r="L40" s="80"/>
      <c r="M40" s="97"/>
      <c r="N40" s="80">
        <f>+O40*J40</f>
        <v>872950051.87199998</v>
      </c>
      <c r="O40" s="97">
        <v>0.1</v>
      </c>
      <c r="P40" s="80">
        <f>+Q40*J40</f>
        <v>872950051.87199998</v>
      </c>
      <c r="Q40" s="97">
        <v>0.1</v>
      </c>
      <c r="R40" s="80">
        <f>+S40*J40</f>
        <v>6983600414.9759998</v>
      </c>
      <c r="S40" s="97">
        <v>0.8</v>
      </c>
      <c r="T40" s="314">
        <f>+J40-I40</f>
        <v>2452149227.7199993</v>
      </c>
      <c r="U40" s="340">
        <f t="shared" si="54"/>
        <v>20</v>
      </c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2"/>
      <c r="BM40" s="62"/>
      <c r="BN40" s="62"/>
      <c r="BO40" s="62"/>
      <c r="BP40" s="62"/>
      <c r="BQ40" s="62"/>
      <c r="BR40" s="62"/>
      <c r="BS40" s="62"/>
      <c r="BT40" s="62"/>
      <c r="BU40" s="62"/>
      <c r="BV40" s="62"/>
      <c r="BW40" s="62"/>
      <c r="BX40" s="62"/>
      <c r="BY40" s="62"/>
      <c r="BZ40" s="62"/>
      <c r="CA40" s="62"/>
      <c r="CB40" s="62"/>
      <c r="CC40" s="62"/>
      <c r="CD40" s="62"/>
      <c r="CE40" s="62"/>
      <c r="CF40" s="62"/>
      <c r="CG40" s="62"/>
      <c r="CH40" s="62"/>
      <c r="CI40" s="62"/>
      <c r="CJ40" s="62"/>
      <c r="CK40" s="62"/>
      <c r="CL40" s="62"/>
      <c r="CM40" s="62"/>
      <c r="CN40" s="62"/>
      <c r="CO40" s="62"/>
      <c r="CP40" s="62"/>
      <c r="CQ40" s="62"/>
      <c r="CR40" s="62"/>
      <c r="CS40" s="62"/>
      <c r="CT40" s="62"/>
      <c r="CU40" s="62"/>
      <c r="CV40" s="62"/>
      <c r="CW40" s="62"/>
      <c r="CX40" s="62"/>
      <c r="CY40" s="62"/>
      <c r="CZ40" s="62"/>
      <c r="DA40" s="62"/>
      <c r="DB40" s="62"/>
      <c r="DC40" s="62"/>
      <c r="DD40" s="62"/>
      <c r="DE40" s="62"/>
      <c r="DF40" s="62"/>
      <c r="DG40" s="62"/>
      <c r="DH40" s="62"/>
      <c r="DI40" s="62"/>
      <c r="DJ40" s="62"/>
      <c r="DK40" s="62"/>
      <c r="DL40" s="62"/>
      <c r="DM40" s="62"/>
      <c r="DN40" s="62"/>
      <c r="DO40" s="62"/>
      <c r="DP40" s="62"/>
      <c r="DQ40" s="62"/>
      <c r="DR40" s="62"/>
      <c r="DS40" s="62"/>
      <c r="DT40" s="62"/>
      <c r="DU40" s="62"/>
      <c r="DV40" s="62"/>
      <c r="DW40" s="62"/>
      <c r="DX40" s="62"/>
      <c r="DY40" s="62"/>
      <c r="DZ40" s="62"/>
      <c r="EA40" s="62"/>
      <c r="EB40" s="62"/>
      <c r="EC40" s="62"/>
      <c r="ED40" s="62"/>
      <c r="EE40" s="62"/>
      <c r="EF40" s="62"/>
      <c r="EG40" s="62"/>
      <c r="EH40" s="62"/>
      <c r="EI40" s="62"/>
      <c r="EJ40" s="62"/>
      <c r="EK40" s="62"/>
      <c r="EL40" s="62"/>
      <c r="EM40" s="62"/>
      <c r="EN40" s="62"/>
      <c r="EO40" s="62"/>
      <c r="EP40" s="62"/>
      <c r="EQ40" s="62"/>
      <c r="ER40" s="62"/>
      <c r="ES40" s="62"/>
      <c r="ET40" s="62"/>
      <c r="EU40" s="62"/>
      <c r="EV40" s="62"/>
      <c r="EW40" s="62"/>
    </row>
    <row r="41" spans="1:153" x14ac:dyDescent="0.25">
      <c r="A41" s="73" t="s">
        <v>68</v>
      </c>
      <c r="B41" s="228"/>
      <c r="C41" s="66" t="s">
        <v>39</v>
      </c>
      <c r="D41" s="316">
        <v>117297827</v>
      </c>
      <c r="E41" s="316">
        <v>130229180</v>
      </c>
      <c r="F41" s="311">
        <f t="shared" si="7"/>
        <v>1.1102437558370113</v>
      </c>
      <c r="G41" s="316">
        <f>+E41</f>
        <v>130229180</v>
      </c>
      <c r="H41" s="312">
        <f t="shared" si="8"/>
        <v>1.1102437558370113</v>
      </c>
      <c r="I41" s="317"/>
      <c r="J41" s="317">
        <f>+G41*1.1</f>
        <v>143252098</v>
      </c>
      <c r="K41" s="89">
        <f t="shared" si="10"/>
        <v>0.1</v>
      </c>
      <c r="L41" s="81"/>
      <c r="M41" s="97"/>
      <c r="N41" s="81">
        <f>+O41*J41</f>
        <v>14325209.800000001</v>
      </c>
      <c r="O41" s="97">
        <v>0.1</v>
      </c>
      <c r="P41" s="81">
        <f>+Q41*J41</f>
        <v>14325209.800000001</v>
      </c>
      <c r="Q41" s="97">
        <v>0.1</v>
      </c>
      <c r="R41" s="81">
        <f>+S41*J41</f>
        <v>114601678.40000001</v>
      </c>
      <c r="S41" s="97">
        <v>0.8</v>
      </c>
      <c r="T41" s="310">
        <f>+I41-J41</f>
        <v>-143252098</v>
      </c>
      <c r="U41" s="339">
        <f t="shared" si="54"/>
        <v>10.000000000000014</v>
      </c>
    </row>
    <row r="42" spans="1:153" s="64" customFormat="1" x14ac:dyDescent="0.25">
      <c r="A42" s="74" t="s">
        <v>69</v>
      </c>
      <c r="B42" s="222">
        <v>53</v>
      </c>
      <c r="C42" s="63" t="s">
        <v>70</v>
      </c>
      <c r="D42" s="314">
        <f>+D43+D44</f>
        <v>150000000</v>
      </c>
      <c r="E42" s="314">
        <f t="shared" ref="E42:G42" si="66">+E43+E44</f>
        <v>42640883</v>
      </c>
      <c r="F42" s="311">
        <f t="shared" si="7"/>
        <v>0.28427255333333334</v>
      </c>
      <c r="G42" s="314">
        <f t="shared" si="66"/>
        <v>47068378</v>
      </c>
      <c r="H42" s="312">
        <f t="shared" si="8"/>
        <v>0.31378918666666666</v>
      </c>
      <c r="I42" s="315">
        <f t="shared" ref="I42:R42" si="67">+I43+I44</f>
        <v>42640883</v>
      </c>
      <c r="J42" s="315">
        <f t="shared" si="67"/>
        <v>155312994</v>
      </c>
      <c r="K42" s="89">
        <f t="shared" si="10"/>
        <v>2.299731169831261</v>
      </c>
      <c r="L42" s="84">
        <f t="shared" si="67"/>
        <v>0</v>
      </c>
      <c r="M42" s="97"/>
      <c r="N42" s="84">
        <f t="shared" si="67"/>
        <v>15531299.4</v>
      </c>
      <c r="O42" s="97"/>
      <c r="P42" s="84">
        <f t="shared" si="67"/>
        <v>15531299.4</v>
      </c>
      <c r="Q42" s="97"/>
      <c r="R42" s="84">
        <f t="shared" si="67"/>
        <v>124250395.2</v>
      </c>
      <c r="S42" s="97"/>
      <c r="T42" s="314">
        <f>+J42-I42</f>
        <v>112672111</v>
      </c>
      <c r="U42" s="340">
        <f t="shared" si="54"/>
        <v>229.97311698312609</v>
      </c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2"/>
      <c r="BM42" s="62"/>
      <c r="BN42" s="62"/>
      <c r="BO42" s="62"/>
      <c r="BP42" s="62"/>
      <c r="BQ42" s="62"/>
      <c r="BR42" s="62"/>
      <c r="BS42" s="62"/>
      <c r="BT42" s="62"/>
      <c r="BU42" s="62"/>
      <c r="BV42" s="62"/>
      <c r="BW42" s="62"/>
      <c r="BX42" s="62"/>
      <c r="BY42" s="62"/>
      <c r="BZ42" s="62"/>
      <c r="CA42" s="62"/>
      <c r="CB42" s="62"/>
      <c r="CC42" s="62"/>
      <c r="CD42" s="62"/>
      <c r="CE42" s="62"/>
      <c r="CF42" s="62"/>
      <c r="CG42" s="62"/>
      <c r="CH42" s="62"/>
      <c r="CI42" s="62"/>
      <c r="CJ42" s="62"/>
      <c r="CK42" s="62"/>
      <c r="CL42" s="62"/>
      <c r="CM42" s="62"/>
      <c r="CN42" s="62"/>
      <c r="CO42" s="62"/>
      <c r="CP42" s="62"/>
      <c r="CQ42" s="62"/>
      <c r="CR42" s="62"/>
      <c r="CS42" s="62"/>
      <c r="CT42" s="62"/>
      <c r="CU42" s="62"/>
      <c r="CV42" s="62"/>
      <c r="CW42" s="62"/>
      <c r="CX42" s="62"/>
      <c r="CY42" s="62"/>
      <c r="CZ42" s="62"/>
      <c r="DA42" s="62"/>
      <c r="DB42" s="62"/>
      <c r="DC42" s="62"/>
      <c r="DD42" s="62"/>
      <c r="DE42" s="62"/>
      <c r="DF42" s="62"/>
      <c r="DG42" s="62"/>
      <c r="DH42" s="62"/>
      <c r="DI42" s="62"/>
      <c r="DJ42" s="62"/>
      <c r="DK42" s="62"/>
      <c r="DL42" s="62"/>
      <c r="DM42" s="62"/>
      <c r="DN42" s="62"/>
      <c r="DO42" s="62"/>
      <c r="DP42" s="62"/>
      <c r="DQ42" s="62"/>
      <c r="DR42" s="62"/>
      <c r="DS42" s="62"/>
      <c r="DT42" s="62"/>
      <c r="DU42" s="62"/>
      <c r="DV42" s="62"/>
      <c r="DW42" s="62"/>
      <c r="DX42" s="62"/>
      <c r="DY42" s="62"/>
      <c r="DZ42" s="62"/>
      <c r="EA42" s="62"/>
      <c r="EB42" s="62"/>
      <c r="EC42" s="62"/>
      <c r="ED42" s="62"/>
      <c r="EE42" s="62"/>
      <c r="EF42" s="62"/>
      <c r="EG42" s="62"/>
      <c r="EH42" s="62"/>
      <c r="EI42" s="62"/>
      <c r="EJ42" s="62"/>
      <c r="EK42" s="62"/>
      <c r="EL42" s="62"/>
      <c r="EM42" s="62"/>
      <c r="EN42" s="62"/>
      <c r="EO42" s="62"/>
      <c r="EP42" s="62"/>
      <c r="EQ42" s="62"/>
      <c r="ER42" s="62"/>
      <c r="ES42" s="62"/>
      <c r="ET42" s="62"/>
      <c r="EU42" s="62"/>
      <c r="EV42" s="62"/>
      <c r="EW42" s="62"/>
    </row>
    <row r="43" spans="1:153" x14ac:dyDescent="0.25">
      <c r="A43" s="75" t="s">
        <v>71</v>
      </c>
      <c r="B43" s="227"/>
      <c r="C43" s="66" t="s">
        <v>13</v>
      </c>
      <c r="D43" s="316">
        <v>150000000</v>
      </c>
      <c r="E43" s="316">
        <v>22137475</v>
      </c>
      <c r="F43" s="311">
        <f t="shared" si="7"/>
        <v>0.14758316666666665</v>
      </c>
      <c r="G43" s="316">
        <f>+E43*1.2</f>
        <v>26564970</v>
      </c>
      <c r="H43" s="312">
        <f t="shared" si="8"/>
        <v>0.1770998</v>
      </c>
      <c r="I43" s="317">
        <f>+'[2]COMPARATIVO RECAUDOS'!$F$25</f>
        <v>42640883</v>
      </c>
      <c r="J43" s="317">
        <v>150000000</v>
      </c>
      <c r="K43" s="89">
        <f t="shared" si="10"/>
        <v>4.6465337623193248</v>
      </c>
      <c r="L43" s="81"/>
      <c r="M43" s="97"/>
      <c r="N43" s="81">
        <f>+J43*O43</f>
        <v>15000000</v>
      </c>
      <c r="O43" s="97">
        <v>0.1</v>
      </c>
      <c r="P43" s="81">
        <f>+J43*Q43</f>
        <v>15000000</v>
      </c>
      <c r="Q43" s="97">
        <v>0.1</v>
      </c>
      <c r="R43" s="81">
        <f>+J43*S43</f>
        <v>120000000</v>
      </c>
      <c r="S43" s="97">
        <v>0.8</v>
      </c>
      <c r="T43" s="310">
        <f>+I43-J43</f>
        <v>-107359117</v>
      </c>
      <c r="U43" s="339">
        <f t="shared" si="54"/>
        <v>464.6533762319325</v>
      </c>
    </row>
    <row r="44" spans="1:153" s="64" customFormat="1" x14ac:dyDescent="0.25">
      <c r="A44" s="74" t="s">
        <v>72</v>
      </c>
      <c r="B44" s="222"/>
      <c r="C44" s="63" t="s">
        <v>15</v>
      </c>
      <c r="D44" s="314">
        <v>0</v>
      </c>
      <c r="E44" s="314">
        <v>20503408</v>
      </c>
      <c r="F44" s="311">
        <v>0</v>
      </c>
      <c r="G44" s="314">
        <f>+E44</f>
        <v>20503408</v>
      </c>
      <c r="H44" s="312">
        <v>0</v>
      </c>
      <c r="I44" s="315"/>
      <c r="J44" s="315">
        <f>+G43*0.2</f>
        <v>5312994</v>
      </c>
      <c r="K44" s="89">
        <f t="shared" si="10"/>
        <v>-0.74087263931927805</v>
      </c>
      <c r="L44" s="80"/>
      <c r="M44" s="97"/>
      <c r="N44" s="80">
        <f>+J44*O44</f>
        <v>531299.4</v>
      </c>
      <c r="O44" s="97">
        <v>0.1</v>
      </c>
      <c r="P44" s="80">
        <f>+J44*Q44</f>
        <v>531299.4</v>
      </c>
      <c r="Q44" s="97">
        <v>0.1</v>
      </c>
      <c r="R44" s="80">
        <f>+J44*S44</f>
        <v>4250395.2</v>
      </c>
      <c r="S44" s="97">
        <v>0.8</v>
      </c>
      <c r="T44" s="314">
        <f>+J44-I44</f>
        <v>5312994</v>
      </c>
      <c r="U44" s="340">
        <f t="shared" si="54"/>
        <v>-74.087263931927808</v>
      </c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2"/>
      <c r="BL44" s="62"/>
      <c r="BM44" s="62"/>
      <c r="BN44" s="62"/>
      <c r="BO44" s="62"/>
      <c r="BP44" s="62"/>
      <c r="BQ44" s="62"/>
      <c r="BR44" s="62"/>
      <c r="BS44" s="62"/>
      <c r="BT44" s="62"/>
      <c r="BU44" s="62"/>
      <c r="BV44" s="62"/>
      <c r="BW44" s="62"/>
      <c r="BX44" s="62"/>
      <c r="BY44" s="62"/>
      <c r="BZ44" s="62"/>
      <c r="CA44" s="62"/>
      <c r="CB44" s="62"/>
      <c r="CC44" s="62"/>
      <c r="CD44" s="62"/>
      <c r="CE44" s="62"/>
      <c r="CF44" s="62"/>
      <c r="CG44" s="62"/>
      <c r="CH44" s="62"/>
      <c r="CI44" s="62"/>
      <c r="CJ44" s="62"/>
      <c r="CK44" s="62"/>
      <c r="CL44" s="62"/>
      <c r="CM44" s="62"/>
      <c r="CN44" s="62"/>
      <c r="CO44" s="62"/>
      <c r="CP44" s="62"/>
      <c r="CQ44" s="62"/>
      <c r="CR44" s="62"/>
      <c r="CS44" s="62"/>
      <c r="CT44" s="62"/>
      <c r="CU44" s="62"/>
      <c r="CV44" s="62"/>
      <c r="CW44" s="62"/>
      <c r="CX44" s="62"/>
      <c r="CY44" s="62"/>
      <c r="CZ44" s="62"/>
      <c r="DA44" s="62"/>
      <c r="DB44" s="62"/>
      <c r="DC44" s="62"/>
      <c r="DD44" s="62"/>
      <c r="DE44" s="62"/>
      <c r="DF44" s="62"/>
      <c r="DG44" s="62"/>
      <c r="DH44" s="62"/>
      <c r="DI44" s="62"/>
      <c r="DJ44" s="62"/>
      <c r="DK44" s="62"/>
      <c r="DL44" s="62"/>
      <c r="DM44" s="62"/>
      <c r="DN44" s="62"/>
      <c r="DO44" s="62"/>
      <c r="DP44" s="62"/>
      <c r="DQ44" s="62"/>
      <c r="DR44" s="62"/>
      <c r="DS44" s="62"/>
      <c r="DT44" s="62"/>
      <c r="DU44" s="62"/>
      <c r="DV44" s="62"/>
      <c r="DW44" s="62"/>
      <c r="DX44" s="62"/>
      <c r="DY44" s="62"/>
      <c r="DZ44" s="62"/>
      <c r="EA44" s="62"/>
      <c r="EB44" s="62"/>
      <c r="EC44" s="62"/>
      <c r="ED44" s="62"/>
      <c r="EE44" s="62"/>
      <c r="EF44" s="62"/>
      <c r="EG44" s="62"/>
      <c r="EH44" s="62"/>
      <c r="EI44" s="62"/>
      <c r="EJ44" s="62"/>
      <c r="EK44" s="62"/>
      <c r="EL44" s="62"/>
      <c r="EM44" s="62"/>
      <c r="EN44" s="62"/>
      <c r="EO44" s="62"/>
      <c r="EP44" s="62"/>
      <c r="EQ44" s="62"/>
      <c r="ER44" s="62"/>
      <c r="ES44" s="62"/>
      <c r="ET44" s="62"/>
      <c r="EU44" s="62"/>
      <c r="EV44" s="62"/>
      <c r="EW44" s="62"/>
    </row>
    <row r="45" spans="1:153" x14ac:dyDescent="0.25">
      <c r="A45" s="75" t="s">
        <v>73</v>
      </c>
      <c r="B45" s="227"/>
      <c r="C45" s="66" t="s">
        <v>74</v>
      </c>
      <c r="D45" s="316">
        <f>+D46</f>
        <v>26758239</v>
      </c>
      <c r="E45" s="316">
        <f t="shared" ref="E45:T46" si="68">+E46</f>
        <v>446891666</v>
      </c>
      <c r="F45" s="311">
        <f t="shared" si="7"/>
        <v>16.701086570009334</v>
      </c>
      <c r="G45" s="316">
        <f t="shared" si="68"/>
        <v>459906641.60000002</v>
      </c>
      <c r="H45" s="312">
        <f t="shared" si="8"/>
        <v>17.187477905403266</v>
      </c>
      <c r="I45" s="317">
        <f t="shared" si="68"/>
        <v>477994148</v>
      </c>
      <c r="J45" s="317">
        <f t="shared" si="68"/>
        <v>355308833.88000011</v>
      </c>
      <c r="K45" s="89">
        <f t="shared" si="10"/>
        <v>-0.22743269667971655</v>
      </c>
      <c r="L45" s="85">
        <f t="shared" si="68"/>
        <v>319777950.4920001</v>
      </c>
      <c r="M45" s="97"/>
      <c r="N45" s="85">
        <f t="shared" si="68"/>
        <v>35530883.388000011</v>
      </c>
      <c r="O45" s="97"/>
      <c r="P45" s="85">
        <f t="shared" si="68"/>
        <v>0</v>
      </c>
      <c r="Q45" s="97"/>
      <c r="R45" s="85">
        <f t="shared" si="68"/>
        <v>0</v>
      </c>
      <c r="S45" s="97"/>
      <c r="T45" s="316">
        <f t="shared" si="68"/>
        <v>0</v>
      </c>
      <c r="U45" s="339">
        <f t="shared" si="54"/>
        <v>-22.74326966797166</v>
      </c>
    </row>
    <row r="46" spans="1:153" s="64" customFormat="1" x14ac:dyDescent="0.25">
      <c r="A46" s="74" t="s">
        <v>75</v>
      </c>
      <c r="B46" s="222"/>
      <c r="C46" s="63" t="s">
        <v>76</v>
      </c>
      <c r="D46" s="314">
        <f>+D47</f>
        <v>26758239</v>
      </c>
      <c r="E46" s="314">
        <f t="shared" si="68"/>
        <v>446891666</v>
      </c>
      <c r="F46" s="311">
        <f t="shared" si="7"/>
        <v>16.701086570009334</v>
      </c>
      <c r="G46" s="314">
        <f t="shared" si="68"/>
        <v>459906641.60000002</v>
      </c>
      <c r="H46" s="312">
        <f t="shared" si="8"/>
        <v>17.187477905403266</v>
      </c>
      <c r="I46" s="315">
        <f t="shared" si="68"/>
        <v>477994148</v>
      </c>
      <c r="J46" s="315">
        <f t="shared" si="68"/>
        <v>355308833.88000011</v>
      </c>
      <c r="K46" s="89">
        <f t="shared" si="10"/>
        <v>-0.22743269667971655</v>
      </c>
      <c r="L46" s="84">
        <f t="shared" si="68"/>
        <v>319777950.4920001</v>
      </c>
      <c r="M46" s="97"/>
      <c r="N46" s="84">
        <f t="shared" si="68"/>
        <v>35530883.388000011</v>
      </c>
      <c r="O46" s="97"/>
      <c r="P46" s="84">
        <f t="shared" si="68"/>
        <v>0</v>
      </c>
      <c r="Q46" s="97"/>
      <c r="R46" s="84">
        <f t="shared" si="68"/>
        <v>0</v>
      </c>
      <c r="S46" s="97"/>
      <c r="T46" s="314">
        <f t="shared" si="68"/>
        <v>0</v>
      </c>
      <c r="U46" s="340">
        <f t="shared" si="54"/>
        <v>-22.74326966797166</v>
      </c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62"/>
      <c r="BH46" s="62"/>
      <c r="BI46" s="62"/>
      <c r="BJ46" s="62"/>
      <c r="BK46" s="62"/>
      <c r="BL46" s="62"/>
      <c r="BM46" s="62"/>
      <c r="BN46" s="62"/>
      <c r="BO46" s="62"/>
      <c r="BP46" s="62"/>
      <c r="BQ46" s="62"/>
      <c r="BR46" s="62"/>
      <c r="BS46" s="62"/>
      <c r="BT46" s="62"/>
      <c r="BU46" s="62"/>
      <c r="BV46" s="62"/>
      <c r="BW46" s="62"/>
      <c r="BX46" s="62"/>
      <c r="BY46" s="62"/>
      <c r="BZ46" s="62"/>
      <c r="CA46" s="62"/>
      <c r="CB46" s="62"/>
      <c r="CC46" s="62"/>
      <c r="CD46" s="62"/>
      <c r="CE46" s="62"/>
      <c r="CF46" s="62"/>
      <c r="CG46" s="62"/>
      <c r="CH46" s="62"/>
      <c r="CI46" s="62"/>
      <c r="CJ46" s="62"/>
      <c r="CK46" s="62"/>
      <c r="CL46" s="62"/>
      <c r="CM46" s="62"/>
      <c r="CN46" s="62"/>
      <c r="CO46" s="62"/>
      <c r="CP46" s="62"/>
      <c r="CQ46" s="62"/>
      <c r="CR46" s="62"/>
      <c r="CS46" s="62"/>
      <c r="CT46" s="62"/>
      <c r="CU46" s="62"/>
      <c r="CV46" s="62"/>
      <c r="CW46" s="62"/>
      <c r="CX46" s="62"/>
      <c r="CY46" s="62"/>
      <c r="CZ46" s="62"/>
      <c r="DA46" s="62"/>
      <c r="DB46" s="62"/>
      <c r="DC46" s="62"/>
      <c r="DD46" s="62"/>
      <c r="DE46" s="62"/>
      <c r="DF46" s="62"/>
      <c r="DG46" s="62"/>
      <c r="DH46" s="62"/>
      <c r="DI46" s="62"/>
      <c r="DJ46" s="62"/>
      <c r="DK46" s="62"/>
      <c r="DL46" s="62"/>
      <c r="DM46" s="62"/>
      <c r="DN46" s="62"/>
      <c r="DO46" s="62"/>
      <c r="DP46" s="62"/>
      <c r="DQ46" s="62"/>
      <c r="DR46" s="62"/>
      <c r="DS46" s="62"/>
      <c r="DT46" s="62"/>
      <c r="DU46" s="62"/>
      <c r="DV46" s="62"/>
      <c r="DW46" s="62"/>
      <c r="DX46" s="62"/>
      <c r="DY46" s="62"/>
      <c r="DZ46" s="62"/>
      <c r="EA46" s="62"/>
      <c r="EB46" s="62"/>
      <c r="EC46" s="62"/>
      <c r="ED46" s="62"/>
      <c r="EE46" s="62"/>
      <c r="EF46" s="62"/>
      <c r="EG46" s="62"/>
      <c r="EH46" s="62"/>
      <c r="EI46" s="62"/>
      <c r="EJ46" s="62"/>
      <c r="EK46" s="62"/>
      <c r="EL46" s="62"/>
      <c r="EM46" s="62"/>
      <c r="EN46" s="62"/>
      <c r="EO46" s="62"/>
      <c r="EP46" s="62"/>
      <c r="EQ46" s="62"/>
      <c r="ER46" s="62"/>
      <c r="ES46" s="62"/>
      <c r="ET46" s="62"/>
      <c r="EU46" s="62"/>
      <c r="EV46" s="62"/>
      <c r="EW46" s="62"/>
    </row>
    <row r="47" spans="1:153" x14ac:dyDescent="0.25">
      <c r="A47" s="75" t="s">
        <v>77</v>
      </c>
      <c r="B47" s="227">
        <v>24</v>
      </c>
      <c r="C47" s="66" t="s">
        <v>78</v>
      </c>
      <c r="D47" s="316">
        <f>+D48+D49</f>
        <v>26758239</v>
      </c>
      <c r="E47" s="316">
        <f t="shared" ref="E47:G47" si="69">+E48+E49</f>
        <v>446891666</v>
      </c>
      <c r="F47" s="311">
        <f t="shared" si="7"/>
        <v>16.701086570009334</v>
      </c>
      <c r="G47" s="316">
        <f t="shared" si="69"/>
        <v>459906641.60000002</v>
      </c>
      <c r="H47" s="312">
        <f t="shared" si="8"/>
        <v>17.187477905403266</v>
      </c>
      <c r="I47" s="317">
        <f t="shared" ref="I47:L47" si="70">+I48+I49</f>
        <v>477994148</v>
      </c>
      <c r="J47" s="317">
        <f t="shared" si="70"/>
        <v>355308833.88000011</v>
      </c>
      <c r="K47" s="89">
        <f t="shared" si="10"/>
        <v>-0.22743269667971655</v>
      </c>
      <c r="L47" s="85">
        <f t="shared" si="70"/>
        <v>319777950.4920001</v>
      </c>
      <c r="M47" s="97"/>
      <c r="N47" s="85">
        <f t="shared" ref="N47" si="71">+N48+N49</f>
        <v>35530883.388000011</v>
      </c>
      <c r="O47" s="97"/>
      <c r="P47" s="85">
        <f t="shared" ref="P47" si="72">+P48+P49</f>
        <v>0</v>
      </c>
      <c r="Q47" s="97"/>
      <c r="R47" s="85">
        <f t="shared" ref="R47" si="73">+R48+R49</f>
        <v>0</v>
      </c>
      <c r="S47" s="97"/>
      <c r="T47" s="316">
        <f t="shared" ref="T47" si="74">+T48+T49</f>
        <v>0</v>
      </c>
      <c r="U47" s="339">
        <f t="shared" si="54"/>
        <v>-22.74326966797166</v>
      </c>
    </row>
    <row r="48" spans="1:153" s="64" customFormat="1" x14ac:dyDescent="0.25">
      <c r="A48" s="74" t="s">
        <v>79</v>
      </c>
      <c r="B48" s="222"/>
      <c r="C48" s="63" t="s">
        <v>30</v>
      </c>
      <c r="D48" s="314">
        <v>22641587</v>
      </c>
      <c r="E48" s="314">
        <v>260299512</v>
      </c>
      <c r="F48" s="311">
        <f t="shared" si="7"/>
        <v>11.496522394830363</v>
      </c>
      <c r="G48" s="314">
        <f>+E48*1.05</f>
        <v>273314487.60000002</v>
      </c>
      <c r="H48" s="312">
        <f t="shared" si="8"/>
        <v>12.071348514571882</v>
      </c>
      <c r="I48" s="315">
        <f>+'[2]COMPARATIVO RECAUDOS'!$F$28</f>
        <v>477994148</v>
      </c>
      <c r="J48" s="315">
        <f>+G48*1.1</f>
        <v>300645936.36000007</v>
      </c>
      <c r="K48" s="89">
        <f t="shared" si="10"/>
        <v>0.10000000000000017</v>
      </c>
      <c r="L48" s="80">
        <f>+J48*M48</f>
        <v>270581342.7240001</v>
      </c>
      <c r="M48" s="97">
        <v>0.9</v>
      </c>
      <c r="N48" s="80">
        <f>+J48*O48</f>
        <v>30064593.636000007</v>
      </c>
      <c r="O48" s="97">
        <v>0.1</v>
      </c>
      <c r="P48" s="80"/>
      <c r="Q48" s="97"/>
      <c r="R48" s="80"/>
      <c r="S48" s="97"/>
      <c r="T48" s="314">
        <f>+R48*1.05</f>
        <v>0</v>
      </c>
      <c r="U48" s="340">
        <f t="shared" si="54"/>
        <v>10.000000000000014</v>
      </c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62"/>
      <c r="BH48" s="62"/>
      <c r="BI48" s="62"/>
      <c r="BJ48" s="62"/>
      <c r="BK48" s="62"/>
      <c r="BL48" s="62"/>
      <c r="BM48" s="62"/>
      <c r="BN48" s="62"/>
      <c r="BO48" s="62"/>
      <c r="BP48" s="62"/>
      <c r="BQ48" s="62"/>
      <c r="BR48" s="62"/>
      <c r="BS48" s="62"/>
      <c r="BT48" s="62"/>
      <c r="BU48" s="62"/>
      <c r="BV48" s="62"/>
      <c r="BW48" s="62"/>
      <c r="BX48" s="62"/>
      <c r="BY48" s="62"/>
      <c r="BZ48" s="62"/>
      <c r="CA48" s="62"/>
      <c r="CB48" s="62"/>
      <c r="CC48" s="62"/>
      <c r="CD48" s="62"/>
      <c r="CE48" s="62"/>
      <c r="CF48" s="62"/>
      <c r="CG48" s="62"/>
      <c r="CH48" s="62"/>
      <c r="CI48" s="62"/>
      <c r="CJ48" s="62"/>
      <c r="CK48" s="62"/>
      <c r="CL48" s="62"/>
      <c r="CM48" s="62"/>
      <c r="CN48" s="62"/>
      <c r="CO48" s="62"/>
      <c r="CP48" s="62"/>
      <c r="CQ48" s="62"/>
      <c r="CR48" s="62"/>
      <c r="CS48" s="62"/>
      <c r="CT48" s="62"/>
      <c r="CU48" s="62"/>
      <c r="CV48" s="62"/>
      <c r="CW48" s="62"/>
      <c r="CX48" s="62"/>
      <c r="CY48" s="62"/>
      <c r="CZ48" s="62"/>
      <c r="DA48" s="62"/>
      <c r="DB48" s="62"/>
      <c r="DC48" s="62"/>
      <c r="DD48" s="62"/>
      <c r="DE48" s="62"/>
      <c r="DF48" s="62"/>
      <c r="DG48" s="62"/>
      <c r="DH48" s="62"/>
      <c r="DI48" s="62"/>
      <c r="DJ48" s="62"/>
      <c r="DK48" s="62"/>
      <c r="DL48" s="62"/>
      <c r="DM48" s="62"/>
      <c r="DN48" s="62"/>
      <c r="DO48" s="62"/>
      <c r="DP48" s="62"/>
      <c r="DQ48" s="62"/>
      <c r="DR48" s="62"/>
      <c r="DS48" s="62"/>
      <c r="DT48" s="62"/>
      <c r="DU48" s="62"/>
      <c r="DV48" s="62"/>
      <c r="DW48" s="62"/>
      <c r="DX48" s="62"/>
      <c r="DY48" s="62"/>
      <c r="DZ48" s="62"/>
      <c r="EA48" s="62"/>
      <c r="EB48" s="62"/>
      <c r="EC48" s="62"/>
      <c r="ED48" s="62"/>
      <c r="EE48" s="62"/>
      <c r="EF48" s="62"/>
      <c r="EG48" s="62"/>
      <c r="EH48" s="62"/>
      <c r="EI48" s="62"/>
      <c r="EJ48" s="62"/>
      <c r="EK48" s="62"/>
      <c r="EL48" s="62"/>
      <c r="EM48" s="62"/>
      <c r="EN48" s="62"/>
      <c r="EO48" s="62"/>
      <c r="EP48" s="62"/>
      <c r="EQ48" s="62"/>
      <c r="ER48" s="62"/>
      <c r="ES48" s="62"/>
      <c r="ET48" s="62"/>
      <c r="EU48" s="62"/>
      <c r="EV48" s="62"/>
      <c r="EW48" s="62"/>
    </row>
    <row r="49" spans="1:153" ht="11.25" customHeight="1" x14ac:dyDescent="0.25">
      <c r="A49" s="75" t="s">
        <v>80</v>
      </c>
      <c r="B49" s="227"/>
      <c r="C49" s="66" t="s">
        <v>32</v>
      </c>
      <c r="D49" s="316">
        <v>4116652</v>
      </c>
      <c r="E49" s="316">
        <v>186592154</v>
      </c>
      <c r="F49" s="311">
        <f t="shared" si="7"/>
        <v>45.326190797764788</v>
      </c>
      <c r="G49" s="316">
        <f>+E49</f>
        <v>186592154</v>
      </c>
      <c r="H49" s="312">
        <f t="shared" si="8"/>
        <v>45.326190797764788</v>
      </c>
      <c r="I49" s="317"/>
      <c r="J49" s="317">
        <f>+G48*0.2</f>
        <v>54662897.520000011</v>
      </c>
      <c r="K49" s="89">
        <f t="shared" si="10"/>
        <v>-0.70704610913061217</v>
      </c>
      <c r="L49" s="81">
        <f>+J49*M49</f>
        <v>49196607.768000014</v>
      </c>
      <c r="M49" s="97">
        <v>0.9</v>
      </c>
      <c r="N49" s="81">
        <f>+J49*O49</f>
        <v>5466289.7520000013</v>
      </c>
      <c r="O49" s="97">
        <v>0.1</v>
      </c>
      <c r="P49" s="81"/>
      <c r="Q49" s="97"/>
      <c r="R49" s="81"/>
      <c r="S49" s="97"/>
      <c r="T49" s="316">
        <f>+R49</f>
        <v>0</v>
      </c>
      <c r="U49" s="339">
        <f t="shared" si="54"/>
        <v>-70.704610913061217</v>
      </c>
    </row>
    <row r="50" spans="1:153" s="64" customFormat="1" ht="13.5" customHeight="1" x14ac:dyDescent="0.25">
      <c r="A50" s="74"/>
      <c r="B50" s="222"/>
      <c r="C50" s="63" t="s">
        <v>81</v>
      </c>
      <c r="D50" s="314">
        <f>+D51+D56</f>
        <v>83980000000</v>
      </c>
      <c r="E50" s="314">
        <f t="shared" ref="E50:G50" si="75">+E51+E56</f>
        <v>71913926701</v>
      </c>
      <c r="F50" s="311">
        <f t="shared" si="7"/>
        <v>0.85632206121695642</v>
      </c>
      <c r="G50" s="314">
        <f t="shared" si="75"/>
        <v>71998926701</v>
      </c>
      <c r="H50" s="312">
        <f t="shared" si="8"/>
        <v>0.85733420696594431</v>
      </c>
      <c r="I50" s="315">
        <f t="shared" ref="I50:L50" si="76">+I51+I56</f>
        <v>71913926701</v>
      </c>
      <c r="J50" s="315">
        <f t="shared" si="76"/>
        <v>85165000000</v>
      </c>
      <c r="K50" s="89">
        <f t="shared" si="10"/>
        <v>0.18286485510647391</v>
      </c>
      <c r="L50" s="84">
        <f t="shared" si="76"/>
        <v>0</v>
      </c>
      <c r="M50" s="97"/>
      <c r="N50" s="84">
        <f t="shared" ref="N50" si="77">+N51+N56</f>
        <v>0</v>
      </c>
      <c r="O50" s="97"/>
      <c r="P50" s="84">
        <f t="shared" ref="P50" si="78">+P51+P56</f>
        <v>8512000000</v>
      </c>
      <c r="Q50" s="97"/>
      <c r="R50" s="84">
        <f t="shared" ref="R50" si="79">+R51+R56</f>
        <v>76653000000</v>
      </c>
      <c r="S50" s="97"/>
      <c r="T50" s="314">
        <f>+J50-I50</f>
        <v>13251073299</v>
      </c>
      <c r="U50" s="340">
        <f t="shared" si="54"/>
        <v>18.286485510647395</v>
      </c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62"/>
      <c r="BG50" s="62"/>
      <c r="BH50" s="62"/>
      <c r="BI50" s="62"/>
      <c r="BJ50" s="62"/>
      <c r="BK50" s="62"/>
      <c r="BL50" s="62"/>
      <c r="BM50" s="62"/>
      <c r="BN50" s="62"/>
      <c r="BO50" s="62"/>
      <c r="BP50" s="62"/>
      <c r="BQ50" s="62"/>
      <c r="BR50" s="62"/>
      <c r="BS50" s="62"/>
      <c r="BT50" s="62"/>
      <c r="BU50" s="62"/>
      <c r="BV50" s="62"/>
      <c r="BW50" s="62"/>
      <c r="BX50" s="62"/>
      <c r="BY50" s="62"/>
      <c r="BZ50" s="62"/>
      <c r="CA50" s="62"/>
      <c r="CB50" s="62"/>
      <c r="CC50" s="62"/>
      <c r="CD50" s="62"/>
      <c r="CE50" s="62"/>
      <c r="CF50" s="62"/>
      <c r="CG50" s="62"/>
      <c r="CH50" s="62"/>
      <c r="CI50" s="62"/>
      <c r="CJ50" s="62"/>
      <c r="CK50" s="62"/>
      <c r="CL50" s="62"/>
      <c r="CM50" s="62"/>
      <c r="CN50" s="62"/>
      <c r="CO50" s="62"/>
      <c r="CP50" s="62"/>
      <c r="CQ50" s="62"/>
      <c r="CR50" s="62"/>
      <c r="CS50" s="62"/>
      <c r="CT50" s="62"/>
      <c r="CU50" s="62"/>
      <c r="CV50" s="62"/>
      <c r="CW50" s="62"/>
      <c r="CX50" s="62"/>
      <c r="CY50" s="62"/>
      <c r="CZ50" s="62"/>
      <c r="DA50" s="62"/>
      <c r="DB50" s="62"/>
      <c r="DC50" s="62"/>
      <c r="DD50" s="62"/>
      <c r="DE50" s="62"/>
      <c r="DF50" s="62"/>
      <c r="DG50" s="62"/>
      <c r="DH50" s="62"/>
      <c r="DI50" s="62"/>
      <c r="DJ50" s="62"/>
      <c r="DK50" s="62"/>
      <c r="DL50" s="62"/>
      <c r="DM50" s="62"/>
      <c r="DN50" s="62"/>
      <c r="DO50" s="62"/>
      <c r="DP50" s="62"/>
      <c r="DQ50" s="62"/>
      <c r="DR50" s="62"/>
      <c r="DS50" s="62"/>
      <c r="DT50" s="62"/>
      <c r="DU50" s="62"/>
      <c r="DV50" s="62"/>
      <c r="DW50" s="62"/>
      <c r="DX50" s="62"/>
      <c r="DY50" s="62"/>
      <c r="DZ50" s="62"/>
      <c r="EA50" s="62"/>
      <c r="EB50" s="62"/>
      <c r="EC50" s="62"/>
      <c r="ED50" s="62"/>
      <c r="EE50" s="62"/>
      <c r="EF50" s="62"/>
      <c r="EG50" s="62"/>
      <c r="EH50" s="62"/>
      <c r="EI50" s="62"/>
      <c r="EJ50" s="62"/>
      <c r="EK50" s="62"/>
      <c r="EL50" s="62"/>
      <c r="EM50" s="62"/>
      <c r="EN50" s="62"/>
      <c r="EO50" s="62"/>
      <c r="EP50" s="62"/>
      <c r="EQ50" s="62"/>
      <c r="ER50" s="62"/>
      <c r="ES50" s="62"/>
      <c r="ET50" s="62"/>
      <c r="EU50" s="62"/>
      <c r="EV50" s="62"/>
      <c r="EW50" s="62"/>
    </row>
    <row r="51" spans="1:153" ht="13.5" customHeight="1" x14ac:dyDescent="0.25">
      <c r="A51" s="75"/>
      <c r="B51" s="227"/>
      <c r="C51" s="66" t="s">
        <v>120</v>
      </c>
      <c r="D51" s="316">
        <f>+D52</f>
        <v>83817000000</v>
      </c>
      <c r="E51" s="316">
        <f t="shared" ref="E51:R52" si="80">+E52</f>
        <v>71835926701</v>
      </c>
      <c r="F51" s="311">
        <f t="shared" si="7"/>
        <v>0.85705676295978139</v>
      </c>
      <c r="G51" s="316">
        <f t="shared" si="80"/>
        <v>71835926701</v>
      </c>
      <c r="H51" s="312">
        <f t="shared" si="8"/>
        <v>0.85705676295978139</v>
      </c>
      <c r="I51" s="317">
        <f t="shared" si="80"/>
        <v>71835926701</v>
      </c>
      <c r="J51" s="317">
        <f t="shared" si="80"/>
        <v>85120000000</v>
      </c>
      <c r="K51" s="89">
        <f t="shared" si="10"/>
        <v>0.1849224184758109</v>
      </c>
      <c r="L51" s="85">
        <f t="shared" si="80"/>
        <v>0</v>
      </c>
      <c r="M51" s="97"/>
      <c r="N51" s="85">
        <f t="shared" si="80"/>
        <v>0</v>
      </c>
      <c r="O51" s="97"/>
      <c r="P51" s="85">
        <f t="shared" si="80"/>
        <v>8512000000</v>
      </c>
      <c r="Q51" s="97"/>
      <c r="R51" s="85">
        <f t="shared" si="80"/>
        <v>76608000000</v>
      </c>
      <c r="S51" s="97"/>
      <c r="T51" s="310">
        <f>+I51-J51</f>
        <v>-13284073299</v>
      </c>
      <c r="U51" s="339">
        <f t="shared" si="54"/>
        <v>18.492241847581099</v>
      </c>
    </row>
    <row r="52" spans="1:153" s="64" customFormat="1" ht="13.5" customHeight="1" x14ac:dyDescent="0.25">
      <c r="A52" s="74"/>
      <c r="B52" s="222"/>
      <c r="C52" s="63" t="s">
        <v>83</v>
      </c>
      <c r="D52" s="314">
        <f>+D53</f>
        <v>83817000000</v>
      </c>
      <c r="E52" s="314">
        <f t="shared" si="80"/>
        <v>71835926701</v>
      </c>
      <c r="F52" s="311">
        <f t="shared" si="7"/>
        <v>0.85705676295978139</v>
      </c>
      <c r="G52" s="314">
        <f t="shared" si="80"/>
        <v>71835926701</v>
      </c>
      <c r="H52" s="312">
        <f t="shared" si="8"/>
        <v>0.85705676295978139</v>
      </c>
      <c r="I52" s="315">
        <f t="shared" si="80"/>
        <v>71835926701</v>
      </c>
      <c r="J52" s="315">
        <f t="shared" si="80"/>
        <v>85120000000</v>
      </c>
      <c r="K52" s="89">
        <f t="shared" si="10"/>
        <v>0.1849224184758109</v>
      </c>
      <c r="L52" s="84">
        <f t="shared" si="80"/>
        <v>0</v>
      </c>
      <c r="M52" s="97"/>
      <c r="N52" s="84">
        <f t="shared" si="80"/>
        <v>0</v>
      </c>
      <c r="O52" s="97"/>
      <c r="P52" s="84">
        <f t="shared" si="80"/>
        <v>8512000000</v>
      </c>
      <c r="Q52" s="97"/>
      <c r="R52" s="84">
        <f t="shared" si="80"/>
        <v>76608000000</v>
      </c>
      <c r="S52" s="97"/>
      <c r="T52" s="314">
        <f>+J52-I52</f>
        <v>13284073299</v>
      </c>
      <c r="U52" s="340">
        <f t="shared" si="54"/>
        <v>18.492241847581099</v>
      </c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2"/>
      <c r="BR52" s="62"/>
      <c r="BS52" s="62"/>
      <c r="BT52" s="62"/>
      <c r="BU52" s="62"/>
      <c r="BV52" s="62"/>
      <c r="BW52" s="62"/>
      <c r="BX52" s="62"/>
      <c r="BY52" s="62"/>
      <c r="BZ52" s="62"/>
      <c r="CA52" s="62"/>
      <c r="CB52" s="62"/>
      <c r="CC52" s="62"/>
      <c r="CD52" s="62"/>
      <c r="CE52" s="62"/>
      <c r="CF52" s="62"/>
      <c r="CG52" s="62"/>
      <c r="CH52" s="62"/>
      <c r="CI52" s="62"/>
      <c r="CJ52" s="62"/>
      <c r="CK52" s="62"/>
      <c r="CL52" s="62"/>
      <c r="CM52" s="62"/>
      <c r="CN52" s="62"/>
      <c r="CO52" s="62"/>
      <c r="CP52" s="62"/>
      <c r="CQ52" s="62"/>
      <c r="CR52" s="62"/>
      <c r="CS52" s="62"/>
      <c r="CT52" s="62"/>
      <c r="CU52" s="62"/>
      <c r="CV52" s="62"/>
      <c r="CW52" s="62"/>
      <c r="CX52" s="62"/>
      <c r="CY52" s="62"/>
      <c r="CZ52" s="62"/>
      <c r="DA52" s="62"/>
      <c r="DB52" s="62"/>
      <c r="DC52" s="62"/>
      <c r="DD52" s="62"/>
      <c r="DE52" s="62"/>
      <c r="DF52" s="62"/>
      <c r="DG52" s="62"/>
      <c r="DH52" s="62"/>
      <c r="DI52" s="62"/>
      <c r="DJ52" s="62"/>
      <c r="DK52" s="62"/>
      <c r="DL52" s="62"/>
      <c r="DM52" s="62"/>
      <c r="DN52" s="62"/>
      <c r="DO52" s="62"/>
      <c r="DP52" s="62"/>
      <c r="DQ52" s="62"/>
      <c r="DR52" s="62"/>
      <c r="DS52" s="62"/>
      <c r="DT52" s="62"/>
      <c r="DU52" s="62"/>
      <c r="DV52" s="62"/>
      <c r="DW52" s="62"/>
      <c r="DX52" s="62"/>
      <c r="DY52" s="62"/>
      <c r="DZ52" s="62"/>
      <c r="EA52" s="62"/>
      <c r="EB52" s="62"/>
      <c r="EC52" s="62"/>
      <c r="ED52" s="62"/>
      <c r="EE52" s="62"/>
      <c r="EF52" s="62"/>
      <c r="EG52" s="62"/>
      <c r="EH52" s="62"/>
      <c r="EI52" s="62"/>
      <c r="EJ52" s="62"/>
      <c r="EK52" s="62"/>
      <c r="EL52" s="62"/>
      <c r="EM52" s="62"/>
      <c r="EN52" s="62"/>
      <c r="EO52" s="62"/>
      <c r="EP52" s="62"/>
      <c r="EQ52" s="62"/>
      <c r="ER52" s="62"/>
      <c r="ES52" s="62"/>
      <c r="ET52" s="62"/>
      <c r="EU52" s="62"/>
      <c r="EV52" s="62"/>
      <c r="EW52" s="62"/>
    </row>
    <row r="53" spans="1:153" ht="13.5" customHeight="1" x14ac:dyDescent="0.25">
      <c r="A53" s="75"/>
      <c r="B53" s="227">
        <v>61</v>
      </c>
      <c r="C53" s="66" t="s">
        <v>84</v>
      </c>
      <c r="D53" s="316">
        <f>+D54+D55</f>
        <v>83817000000</v>
      </c>
      <c r="E53" s="316">
        <f t="shared" ref="E53:G53" si="81">+E54+E55</f>
        <v>71835926701</v>
      </c>
      <c r="F53" s="311">
        <f t="shared" si="7"/>
        <v>0.85705676295978139</v>
      </c>
      <c r="G53" s="316">
        <f t="shared" si="81"/>
        <v>71835926701</v>
      </c>
      <c r="H53" s="312">
        <f t="shared" si="8"/>
        <v>0.85705676295978139</v>
      </c>
      <c r="I53" s="318">
        <f>+I54+I55</f>
        <v>71835926701</v>
      </c>
      <c r="J53" s="318">
        <f>+J54+J55</f>
        <v>85120000000</v>
      </c>
      <c r="K53" s="89">
        <f t="shared" si="10"/>
        <v>0.1849224184758109</v>
      </c>
      <c r="L53" s="87">
        <f>+L54+L55</f>
        <v>0</v>
      </c>
      <c r="M53" s="97"/>
      <c r="N53" s="87">
        <f>+N54+N55</f>
        <v>0</v>
      </c>
      <c r="O53" s="97"/>
      <c r="P53" s="87">
        <f>+P54+P55</f>
        <v>8512000000</v>
      </c>
      <c r="Q53" s="97"/>
      <c r="R53" s="87">
        <f>+R54+R55</f>
        <v>76608000000</v>
      </c>
      <c r="S53" s="97"/>
      <c r="T53" s="310">
        <f>+I53-J53</f>
        <v>-13284073299</v>
      </c>
      <c r="U53" s="339">
        <f t="shared" si="54"/>
        <v>18.492241847581099</v>
      </c>
    </row>
    <row r="54" spans="1:153" s="64" customFormat="1" ht="13.5" customHeight="1" x14ac:dyDescent="0.25">
      <c r="A54" s="74"/>
      <c r="B54" s="222"/>
      <c r="C54" s="63" t="s">
        <v>30</v>
      </c>
      <c r="D54" s="314">
        <v>75617000000</v>
      </c>
      <c r="E54" s="314">
        <v>65287736422</v>
      </c>
      <c r="F54" s="311">
        <f t="shared" si="7"/>
        <v>0.86340024626737377</v>
      </c>
      <c r="G54" s="314">
        <f>+E54</f>
        <v>65287736422</v>
      </c>
      <c r="H54" s="312">
        <f t="shared" si="8"/>
        <v>0.86340024626737377</v>
      </c>
      <c r="I54" s="315">
        <f>+'[2]COMPARATIVO RECAUDOS'!$F$30</f>
        <v>71835926701</v>
      </c>
      <c r="J54" s="315">
        <v>78120000000</v>
      </c>
      <c r="K54" s="89">
        <f t="shared" si="10"/>
        <v>0.19654937176954895</v>
      </c>
      <c r="L54" s="80"/>
      <c r="M54" s="97"/>
      <c r="N54" s="80"/>
      <c r="O54" s="97"/>
      <c r="P54" s="80">
        <f>+J54*Q54</f>
        <v>7812000000</v>
      </c>
      <c r="Q54" s="97">
        <v>0.1</v>
      </c>
      <c r="R54" s="80">
        <f>+J54*S54</f>
        <v>70308000000</v>
      </c>
      <c r="S54" s="97">
        <v>0.9</v>
      </c>
      <c r="T54" s="314">
        <f>+J54-I54</f>
        <v>6284073299</v>
      </c>
      <c r="U54" s="340">
        <f t="shared" si="54"/>
        <v>19.654937176954903</v>
      </c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2"/>
      <c r="BR54" s="62"/>
      <c r="BS54" s="62"/>
      <c r="BT54" s="62"/>
      <c r="BU54" s="62"/>
      <c r="BV54" s="62"/>
      <c r="BW54" s="62"/>
      <c r="BX54" s="62"/>
      <c r="BY54" s="62"/>
      <c r="BZ54" s="62"/>
      <c r="CA54" s="62"/>
      <c r="CB54" s="62"/>
      <c r="CC54" s="62"/>
      <c r="CD54" s="62"/>
      <c r="CE54" s="62"/>
      <c r="CF54" s="62"/>
      <c r="CG54" s="62"/>
      <c r="CH54" s="62"/>
      <c r="CI54" s="62"/>
      <c r="CJ54" s="62"/>
      <c r="CK54" s="62"/>
      <c r="CL54" s="62"/>
      <c r="CM54" s="62"/>
      <c r="CN54" s="62"/>
      <c r="CO54" s="62"/>
      <c r="CP54" s="62"/>
      <c r="CQ54" s="62"/>
      <c r="CR54" s="62"/>
      <c r="CS54" s="62"/>
      <c r="CT54" s="62"/>
      <c r="CU54" s="62"/>
      <c r="CV54" s="62"/>
      <c r="CW54" s="62"/>
      <c r="CX54" s="62"/>
      <c r="CY54" s="62"/>
      <c r="CZ54" s="62"/>
      <c r="DA54" s="62"/>
      <c r="DB54" s="62"/>
      <c r="DC54" s="62"/>
      <c r="DD54" s="62"/>
      <c r="DE54" s="62"/>
      <c r="DF54" s="62"/>
      <c r="DG54" s="62"/>
      <c r="DH54" s="62"/>
      <c r="DI54" s="62"/>
      <c r="DJ54" s="62"/>
      <c r="DK54" s="62"/>
      <c r="DL54" s="62"/>
      <c r="DM54" s="62"/>
      <c r="DN54" s="62"/>
      <c r="DO54" s="62"/>
      <c r="DP54" s="62"/>
      <c r="DQ54" s="62"/>
      <c r="DR54" s="62"/>
      <c r="DS54" s="62"/>
      <c r="DT54" s="62"/>
      <c r="DU54" s="62"/>
      <c r="DV54" s="62"/>
      <c r="DW54" s="62"/>
      <c r="DX54" s="62"/>
      <c r="DY54" s="62"/>
      <c r="DZ54" s="62"/>
      <c r="EA54" s="62"/>
      <c r="EB54" s="62"/>
      <c r="EC54" s="62"/>
      <c r="ED54" s="62"/>
      <c r="EE54" s="62"/>
      <c r="EF54" s="62"/>
      <c r="EG54" s="62"/>
      <c r="EH54" s="62"/>
      <c r="EI54" s="62"/>
      <c r="EJ54" s="62"/>
      <c r="EK54" s="62"/>
      <c r="EL54" s="62"/>
      <c r="EM54" s="62"/>
      <c r="EN54" s="62"/>
      <c r="EO54" s="62"/>
      <c r="EP54" s="62"/>
      <c r="EQ54" s="62"/>
      <c r="ER54" s="62"/>
      <c r="ES54" s="62"/>
      <c r="ET54" s="62"/>
      <c r="EU54" s="62"/>
      <c r="EV54" s="62"/>
      <c r="EW54" s="62"/>
    </row>
    <row r="55" spans="1:153" ht="13.5" customHeight="1" x14ac:dyDescent="0.25">
      <c r="A55" s="75"/>
      <c r="B55" s="227"/>
      <c r="C55" s="66" t="s">
        <v>32</v>
      </c>
      <c r="D55" s="316">
        <v>8200000000</v>
      </c>
      <c r="E55" s="316">
        <v>6548190279</v>
      </c>
      <c r="F55" s="311">
        <f t="shared" si="7"/>
        <v>0.79855979012195122</v>
      </c>
      <c r="G55" s="316">
        <f>+E55</f>
        <v>6548190279</v>
      </c>
      <c r="H55" s="312">
        <f t="shared" si="8"/>
        <v>0.79855979012195122</v>
      </c>
      <c r="I55" s="318"/>
      <c r="J55" s="318">
        <v>7000000000</v>
      </c>
      <c r="K55" s="89">
        <f t="shared" si="10"/>
        <v>6.8997646945133925E-2</v>
      </c>
      <c r="L55" s="81"/>
      <c r="M55" s="97"/>
      <c r="N55" s="81"/>
      <c r="O55" s="97"/>
      <c r="P55" s="81">
        <f>+J55*Q55</f>
        <v>700000000</v>
      </c>
      <c r="Q55" s="97">
        <v>0.1</v>
      </c>
      <c r="R55" s="81">
        <f>+J55*S55</f>
        <v>6300000000</v>
      </c>
      <c r="S55" s="97">
        <v>0.9</v>
      </c>
      <c r="T55" s="310">
        <f>+I55-J55</f>
        <v>-7000000000</v>
      </c>
      <c r="U55" s="339">
        <f t="shared" si="54"/>
        <v>6.8997646945133937</v>
      </c>
    </row>
    <row r="56" spans="1:153" s="64" customFormat="1" ht="13.5" customHeight="1" x14ac:dyDescent="0.25">
      <c r="A56" s="74"/>
      <c r="B56" s="222"/>
      <c r="C56" s="63" t="s">
        <v>121</v>
      </c>
      <c r="D56" s="314">
        <f>+D57</f>
        <v>163000000</v>
      </c>
      <c r="E56" s="314">
        <f t="shared" ref="E56:R56" si="82">+E57</f>
        <v>78000000</v>
      </c>
      <c r="F56" s="311">
        <f t="shared" si="7"/>
        <v>0.4785276073619632</v>
      </c>
      <c r="G56" s="314">
        <f t="shared" si="82"/>
        <v>163000000</v>
      </c>
      <c r="H56" s="312">
        <f t="shared" si="8"/>
        <v>1</v>
      </c>
      <c r="I56" s="315">
        <f t="shared" si="82"/>
        <v>78000000</v>
      </c>
      <c r="J56" s="315">
        <f t="shared" si="82"/>
        <v>45000000</v>
      </c>
      <c r="K56" s="89">
        <f t="shared" si="10"/>
        <v>-0.7239263803680982</v>
      </c>
      <c r="L56" s="84">
        <f t="shared" si="82"/>
        <v>0</v>
      </c>
      <c r="M56" s="97"/>
      <c r="N56" s="84">
        <f t="shared" si="82"/>
        <v>0</v>
      </c>
      <c r="O56" s="97"/>
      <c r="P56" s="84">
        <f t="shared" si="82"/>
        <v>0</v>
      </c>
      <c r="Q56" s="97"/>
      <c r="R56" s="84">
        <f t="shared" si="82"/>
        <v>45000000</v>
      </c>
      <c r="S56" s="97"/>
      <c r="T56" s="314">
        <f>+J56-I56</f>
        <v>-33000000</v>
      </c>
      <c r="U56" s="340">
        <f t="shared" si="54"/>
        <v>-72.392638036809814</v>
      </c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2"/>
      <c r="BE56" s="62"/>
      <c r="BF56" s="62"/>
      <c r="BG56" s="62"/>
      <c r="BH56" s="62"/>
      <c r="BI56" s="62"/>
      <c r="BJ56" s="62"/>
      <c r="BK56" s="62"/>
      <c r="BL56" s="62"/>
      <c r="BM56" s="62"/>
      <c r="BN56" s="62"/>
      <c r="BO56" s="62"/>
      <c r="BP56" s="62"/>
      <c r="BQ56" s="62"/>
      <c r="BR56" s="62"/>
      <c r="BS56" s="62"/>
      <c r="BT56" s="62"/>
      <c r="BU56" s="62"/>
      <c r="BV56" s="62"/>
      <c r="BW56" s="62"/>
      <c r="BX56" s="62"/>
      <c r="BY56" s="62"/>
      <c r="BZ56" s="62"/>
      <c r="CA56" s="62"/>
      <c r="CB56" s="62"/>
      <c r="CC56" s="62"/>
      <c r="CD56" s="62"/>
      <c r="CE56" s="62"/>
      <c r="CF56" s="62"/>
      <c r="CG56" s="62"/>
      <c r="CH56" s="62"/>
      <c r="CI56" s="62"/>
      <c r="CJ56" s="62"/>
      <c r="CK56" s="62"/>
      <c r="CL56" s="62"/>
      <c r="CM56" s="62"/>
      <c r="CN56" s="62"/>
      <c r="CO56" s="62"/>
      <c r="CP56" s="62"/>
      <c r="CQ56" s="62"/>
      <c r="CR56" s="62"/>
      <c r="CS56" s="62"/>
      <c r="CT56" s="62"/>
      <c r="CU56" s="62"/>
      <c r="CV56" s="62"/>
      <c r="CW56" s="62"/>
      <c r="CX56" s="62"/>
      <c r="CY56" s="62"/>
      <c r="CZ56" s="62"/>
      <c r="DA56" s="62"/>
      <c r="DB56" s="62"/>
      <c r="DC56" s="62"/>
      <c r="DD56" s="62"/>
      <c r="DE56" s="62"/>
      <c r="DF56" s="62"/>
      <c r="DG56" s="62"/>
      <c r="DH56" s="62"/>
      <c r="DI56" s="62"/>
      <c r="DJ56" s="62"/>
      <c r="DK56" s="62"/>
      <c r="DL56" s="62"/>
      <c r="DM56" s="62"/>
      <c r="DN56" s="62"/>
      <c r="DO56" s="62"/>
      <c r="DP56" s="62"/>
      <c r="DQ56" s="62"/>
      <c r="DR56" s="62"/>
      <c r="DS56" s="62"/>
      <c r="DT56" s="62"/>
      <c r="DU56" s="62"/>
      <c r="DV56" s="62"/>
      <c r="DW56" s="62"/>
      <c r="DX56" s="62"/>
      <c r="DY56" s="62"/>
      <c r="DZ56" s="62"/>
      <c r="EA56" s="62"/>
      <c r="EB56" s="62"/>
      <c r="EC56" s="62"/>
      <c r="ED56" s="62"/>
      <c r="EE56" s="62"/>
      <c r="EF56" s="62"/>
      <c r="EG56" s="62"/>
      <c r="EH56" s="62"/>
      <c r="EI56" s="62"/>
      <c r="EJ56" s="62"/>
      <c r="EK56" s="62"/>
      <c r="EL56" s="62"/>
      <c r="EM56" s="62"/>
      <c r="EN56" s="62"/>
      <c r="EO56" s="62"/>
      <c r="EP56" s="62"/>
      <c r="EQ56" s="62"/>
      <c r="ER56" s="62"/>
      <c r="ES56" s="62"/>
      <c r="ET56" s="62"/>
      <c r="EU56" s="62"/>
      <c r="EV56" s="62"/>
      <c r="EW56" s="62"/>
    </row>
    <row r="57" spans="1:153" ht="13.5" customHeight="1" x14ac:dyDescent="0.25">
      <c r="A57" s="75"/>
      <c r="B57" s="227">
        <v>62</v>
      </c>
      <c r="C57" s="66" t="s">
        <v>121</v>
      </c>
      <c r="D57" s="316">
        <v>163000000</v>
      </c>
      <c r="E57" s="316">
        <v>78000000</v>
      </c>
      <c r="F57" s="311">
        <f t="shared" si="7"/>
        <v>0.4785276073619632</v>
      </c>
      <c r="G57" s="316">
        <v>163000000</v>
      </c>
      <c r="H57" s="312">
        <f t="shared" si="8"/>
        <v>1</v>
      </c>
      <c r="I57" s="318">
        <f>+'[2]COMPARATIVO RECAUDOS'!$F$31</f>
        <v>78000000</v>
      </c>
      <c r="J57" s="318">
        <v>45000000</v>
      </c>
      <c r="K57" s="89">
        <f t="shared" si="10"/>
        <v>-0.7239263803680982</v>
      </c>
      <c r="L57" s="81"/>
      <c r="M57" s="97"/>
      <c r="N57" s="81"/>
      <c r="O57" s="97"/>
      <c r="P57" s="81"/>
      <c r="Q57" s="97"/>
      <c r="R57" s="81">
        <f>+S57*J57</f>
        <v>45000000</v>
      </c>
      <c r="S57" s="97">
        <v>1</v>
      </c>
      <c r="T57" s="310">
        <f>+I57-J57</f>
        <v>33000000</v>
      </c>
      <c r="U57" s="339">
        <f t="shared" si="54"/>
        <v>-72.392638036809814</v>
      </c>
    </row>
    <row r="58" spans="1:153" s="64" customFormat="1" x14ac:dyDescent="0.25">
      <c r="A58" s="74" t="s">
        <v>85</v>
      </c>
      <c r="B58" s="222"/>
      <c r="C58" s="63" t="s">
        <v>86</v>
      </c>
      <c r="D58" s="314">
        <f>+D59+D61+D62</f>
        <v>17718920085</v>
      </c>
      <c r="E58" s="314">
        <f>+E59+E61</f>
        <v>21006549026.880001</v>
      </c>
      <c r="F58" s="311">
        <f t="shared" si="7"/>
        <v>1.1855434149546817</v>
      </c>
      <c r="G58" s="314">
        <f t="shared" ref="G58" si="83">+G59+G61+G62</f>
        <v>22886621651.456001</v>
      </c>
      <c r="H58" s="312">
        <f t="shared" si="8"/>
        <v>1.2916487879433878</v>
      </c>
      <c r="I58" s="315">
        <f>+I59+I61+I62</f>
        <v>22982418742.060001</v>
      </c>
      <c r="J58" s="315">
        <f>+J59+J61+J62</f>
        <v>504375319.82880008</v>
      </c>
      <c r="K58" s="89">
        <f t="shared" si="10"/>
        <v>-0.97796200210279993</v>
      </c>
      <c r="L58" s="84">
        <f>+L59+L61+L62</f>
        <v>0</v>
      </c>
      <c r="M58" s="97"/>
      <c r="N58" s="84">
        <f>+N59+N61+N62</f>
        <v>0</v>
      </c>
      <c r="O58" s="98"/>
      <c r="P58" s="84">
        <f>+P59+P61+P62</f>
        <v>50437531.982880011</v>
      </c>
      <c r="Q58" s="97"/>
      <c r="R58" s="84">
        <f>+R59+R61+R62</f>
        <v>453937787.84592009</v>
      </c>
      <c r="S58" s="97"/>
      <c r="T58" s="314">
        <f>+J58-I58</f>
        <v>-22478043422.231201</v>
      </c>
      <c r="U58" s="340">
        <f t="shared" si="54"/>
        <v>-97.796200210279991</v>
      </c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62"/>
      <c r="BB58" s="62"/>
      <c r="BC58" s="62"/>
      <c r="BD58" s="62"/>
      <c r="BE58" s="62"/>
      <c r="BF58" s="62"/>
      <c r="BG58" s="62"/>
      <c r="BH58" s="62"/>
      <c r="BI58" s="62"/>
      <c r="BJ58" s="62"/>
      <c r="BK58" s="62"/>
      <c r="BL58" s="62"/>
      <c r="BM58" s="62"/>
      <c r="BN58" s="62"/>
      <c r="BO58" s="62"/>
      <c r="BP58" s="62"/>
      <c r="BQ58" s="62"/>
      <c r="BR58" s="62"/>
      <c r="BS58" s="62"/>
      <c r="BT58" s="62"/>
      <c r="BU58" s="62"/>
      <c r="BV58" s="62"/>
      <c r="BW58" s="62"/>
      <c r="BX58" s="62"/>
      <c r="BY58" s="62"/>
      <c r="BZ58" s="62"/>
      <c r="CA58" s="62"/>
      <c r="CB58" s="62"/>
      <c r="CC58" s="62"/>
      <c r="CD58" s="62"/>
      <c r="CE58" s="62"/>
      <c r="CF58" s="62"/>
      <c r="CG58" s="62"/>
      <c r="CH58" s="62"/>
      <c r="CI58" s="62"/>
      <c r="CJ58" s="62"/>
      <c r="CK58" s="62"/>
      <c r="CL58" s="62"/>
      <c r="CM58" s="62"/>
      <c r="CN58" s="62"/>
      <c r="CO58" s="62"/>
      <c r="CP58" s="62"/>
      <c r="CQ58" s="62"/>
      <c r="CR58" s="62"/>
      <c r="CS58" s="62"/>
      <c r="CT58" s="62"/>
      <c r="CU58" s="62"/>
      <c r="CV58" s="62"/>
      <c r="CW58" s="62"/>
      <c r="CX58" s="62"/>
      <c r="CY58" s="62"/>
      <c r="CZ58" s="62"/>
      <c r="DA58" s="62"/>
      <c r="DB58" s="62"/>
      <c r="DC58" s="62"/>
      <c r="DD58" s="62"/>
      <c r="DE58" s="62"/>
      <c r="DF58" s="62"/>
      <c r="DG58" s="62"/>
      <c r="DH58" s="62"/>
      <c r="DI58" s="62"/>
      <c r="DJ58" s="62"/>
      <c r="DK58" s="62"/>
      <c r="DL58" s="62"/>
      <c r="DM58" s="62"/>
      <c r="DN58" s="62"/>
      <c r="DO58" s="62"/>
      <c r="DP58" s="62"/>
      <c r="DQ58" s="62"/>
      <c r="DR58" s="62"/>
      <c r="DS58" s="62"/>
      <c r="DT58" s="62"/>
      <c r="DU58" s="62"/>
      <c r="DV58" s="62"/>
      <c r="DW58" s="62"/>
      <c r="DX58" s="62"/>
      <c r="DY58" s="62"/>
      <c r="DZ58" s="62"/>
      <c r="EA58" s="62"/>
      <c r="EB58" s="62"/>
      <c r="EC58" s="62"/>
      <c r="ED58" s="62"/>
      <c r="EE58" s="62"/>
      <c r="EF58" s="62"/>
      <c r="EG58" s="62"/>
      <c r="EH58" s="62"/>
      <c r="EI58" s="62"/>
      <c r="EJ58" s="62"/>
      <c r="EK58" s="62"/>
      <c r="EL58" s="62"/>
      <c r="EM58" s="62"/>
      <c r="EN58" s="62"/>
      <c r="EO58" s="62"/>
      <c r="EP58" s="62"/>
      <c r="EQ58" s="62"/>
      <c r="ER58" s="62"/>
      <c r="ES58" s="62"/>
      <c r="ET58" s="62"/>
      <c r="EU58" s="62"/>
      <c r="EV58" s="62"/>
      <c r="EW58" s="62"/>
    </row>
    <row r="59" spans="1:153" x14ac:dyDescent="0.25">
      <c r="A59" s="75" t="s">
        <v>87</v>
      </c>
      <c r="B59" s="227"/>
      <c r="C59" s="66" t="s">
        <v>88</v>
      </c>
      <c r="D59" s="316">
        <f>+D60</f>
        <v>245599803</v>
      </c>
      <c r="E59" s="316">
        <f t="shared" ref="E59:G59" si="84">+E60</f>
        <v>400297872.88</v>
      </c>
      <c r="F59" s="311">
        <f t="shared" si="7"/>
        <v>1.629878639927085</v>
      </c>
      <c r="G59" s="316">
        <f t="shared" si="84"/>
        <v>480357447.45600003</v>
      </c>
      <c r="H59" s="312">
        <f t="shared" si="8"/>
        <v>1.955854367912502</v>
      </c>
      <c r="I59" s="318">
        <f>+I60</f>
        <v>576167588.05999994</v>
      </c>
      <c r="J59" s="318">
        <f>+J60</f>
        <v>504375319.82880008</v>
      </c>
      <c r="K59" s="89">
        <f t="shared" si="10"/>
        <v>5.0000000000000107E-2</v>
      </c>
      <c r="L59" s="87">
        <f>+L60</f>
        <v>0</v>
      </c>
      <c r="M59" s="97"/>
      <c r="N59" s="87">
        <f>+N60</f>
        <v>0</v>
      </c>
      <c r="O59" s="98"/>
      <c r="P59" s="87">
        <f>+P60</f>
        <v>50437531.982880011</v>
      </c>
      <c r="Q59" s="97"/>
      <c r="R59" s="87">
        <f>+R60</f>
        <v>453937787.84592009</v>
      </c>
      <c r="S59" s="97"/>
      <c r="T59" s="310">
        <f>+I59-J59</f>
        <v>71792268.231199861</v>
      </c>
      <c r="U59" s="339">
        <f t="shared" si="54"/>
        <v>5</v>
      </c>
    </row>
    <row r="60" spans="1:153" s="64" customFormat="1" x14ac:dyDescent="0.25">
      <c r="A60" s="63" t="s">
        <v>89</v>
      </c>
      <c r="B60" s="224">
        <v>71</v>
      </c>
      <c r="C60" s="63" t="s">
        <v>90</v>
      </c>
      <c r="D60" s="314">
        <v>245599803</v>
      </c>
      <c r="E60" s="314">
        <v>400297872.88</v>
      </c>
      <c r="F60" s="311">
        <f t="shared" si="7"/>
        <v>1.629878639927085</v>
      </c>
      <c r="G60" s="314">
        <f>+(E60/10)*12</f>
        <v>480357447.45600003</v>
      </c>
      <c r="H60" s="312">
        <f t="shared" si="8"/>
        <v>1.955854367912502</v>
      </c>
      <c r="I60" s="315">
        <f>+'[2]COMPARATIVO RECAUDOS'!$F$33</f>
        <v>576167588.05999994</v>
      </c>
      <c r="J60" s="315">
        <f>+G60*1.05</f>
        <v>504375319.82880008</v>
      </c>
      <c r="K60" s="89">
        <f t="shared" si="10"/>
        <v>5.0000000000000107E-2</v>
      </c>
      <c r="L60" s="80"/>
      <c r="M60" s="97"/>
      <c r="N60" s="80"/>
      <c r="O60" s="98"/>
      <c r="P60" s="80">
        <f>+J60*Q60</f>
        <v>50437531.982880011</v>
      </c>
      <c r="Q60" s="97">
        <v>0.1</v>
      </c>
      <c r="R60" s="80">
        <f>+J60*S60</f>
        <v>453937787.84592009</v>
      </c>
      <c r="S60" s="97">
        <v>0.9</v>
      </c>
      <c r="T60" s="314">
        <f>+J60-I60</f>
        <v>-71792268.231199861</v>
      </c>
      <c r="U60" s="340">
        <f t="shared" si="54"/>
        <v>5</v>
      </c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2"/>
      <c r="BK60" s="62"/>
      <c r="BL60" s="62"/>
      <c r="BM60" s="62"/>
      <c r="BN60" s="62"/>
      <c r="BO60" s="62"/>
      <c r="BP60" s="62"/>
      <c r="BQ60" s="62"/>
      <c r="BR60" s="62"/>
      <c r="BS60" s="62"/>
      <c r="BT60" s="62"/>
      <c r="BU60" s="62"/>
      <c r="BV60" s="62"/>
      <c r="BW60" s="62"/>
      <c r="BX60" s="62"/>
      <c r="BY60" s="62"/>
      <c r="BZ60" s="62"/>
      <c r="CA60" s="62"/>
      <c r="CB60" s="62"/>
      <c r="CC60" s="62"/>
      <c r="CD60" s="62"/>
      <c r="CE60" s="62"/>
      <c r="CF60" s="62"/>
      <c r="CG60" s="62"/>
      <c r="CH60" s="62"/>
      <c r="CI60" s="62"/>
      <c r="CJ60" s="62"/>
      <c r="CK60" s="62"/>
      <c r="CL60" s="62"/>
      <c r="CM60" s="62"/>
      <c r="CN60" s="62"/>
      <c r="CO60" s="62"/>
      <c r="CP60" s="62"/>
      <c r="CQ60" s="62"/>
      <c r="CR60" s="62"/>
      <c r="CS60" s="62"/>
      <c r="CT60" s="62"/>
      <c r="CU60" s="62"/>
      <c r="CV60" s="62"/>
      <c r="CW60" s="62"/>
      <c r="CX60" s="62"/>
      <c r="CY60" s="62"/>
      <c r="CZ60" s="62"/>
      <c r="DA60" s="62"/>
      <c r="DB60" s="62"/>
      <c r="DC60" s="62"/>
      <c r="DD60" s="62"/>
      <c r="DE60" s="62"/>
      <c r="DF60" s="62"/>
      <c r="DG60" s="62"/>
      <c r="DH60" s="62"/>
      <c r="DI60" s="62"/>
      <c r="DJ60" s="62"/>
      <c r="DK60" s="62"/>
      <c r="DL60" s="62"/>
      <c r="DM60" s="62"/>
      <c r="DN60" s="62"/>
      <c r="DO60" s="62"/>
      <c r="DP60" s="62"/>
      <c r="DQ60" s="62"/>
      <c r="DR60" s="62"/>
      <c r="DS60" s="62"/>
      <c r="DT60" s="62"/>
      <c r="DU60" s="62"/>
      <c r="DV60" s="62"/>
      <c r="DW60" s="62"/>
      <c r="DX60" s="62"/>
      <c r="DY60" s="62"/>
      <c r="DZ60" s="62"/>
      <c r="EA60" s="62"/>
      <c r="EB60" s="62"/>
      <c r="EC60" s="62"/>
      <c r="ED60" s="62"/>
      <c r="EE60" s="62"/>
      <c r="EF60" s="62"/>
      <c r="EG60" s="62"/>
      <c r="EH60" s="62"/>
      <c r="EI60" s="62"/>
      <c r="EJ60" s="62"/>
      <c r="EK60" s="62"/>
      <c r="EL60" s="62"/>
      <c r="EM60" s="62"/>
      <c r="EN60" s="62"/>
      <c r="EO60" s="62"/>
      <c r="EP60" s="62"/>
      <c r="EQ60" s="62"/>
      <c r="ER60" s="62"/>
      <c r="ES60" s="62"/>
      <c r="ET60" s="62"/>
      <c r="EU60" s="62"/>
      <c r="EV60" s="62"/>
      <c r="EW60" s="62"/>
    </row>
    <row r="61" spans="1:153" x14ac:dyDescent="0.25">
      <c r="A61" s="75" t="s">
        <v>91</v>
      </c>
      <c r="B61" s="227"/>
      <c r="C61" s="66" t="s">
        <v>92</v>
      </c>
      <c r="D61" s="316">
        <f>+D63</f>
        <v>17473320282</v>
      </c>
      <c r="E61" s="316">
        <f t="shared" ref="E61:G61" si="85">+E63</f>
        <v>20606251154</v>
      </c>
      <c r="F61" s="311">
        <f t="shared" si="7"/>
        <v>1.1792979709315672</v>
      </c>
      <c r="G61" s="316">
        <f t="shared" si="85"/>
        <v>22406264204</v>
      </c>
      <c r="H61" s="312">
        <f t="shared" si="8"/>
        <v>1.2823129114780567</v>
      </c>
      <c r="I61" s="317">
        <f>+I63</f>
        <v>22406251154</v>
      </c>
      <c r="J61" s="317">
        <f>+J63</f>
        <v>0</v>
      </c>
      <c r="K61" s="89">
        <f t="shared" si="10"/>
        <v>-1</v>
      </c>
      <c r="L61" s="85">
        <f>+L63</f>
        <v>0</v>
      </c>
      <c r="M61" s="97"/>
      <c r="N61" s="85">
        <f>+N63</f>
        <v>0</v>
      </c>
      <c r="O61" s="98"/>
      <c r="P61" s="85">
        <f>+P63</f>
        <v>0</v>
      </c>
      <c r="Q61" s="97"/>
      <c r="R61" s="85">
        <f>+R63</f>
        <v>0</v>
      </c>
      <c r="S61" s="97"/>
      <c r="T61" s="316">
        <f t="shared" ref="T61" si="86">+T63</f>
        <v>0</v>
      </c>
      <c r="U61" s="339">
        <f t="shared" si="54"/>
        <v>-100</v>
      </c>
    </row>
    <row r="62" spans="1:153" hidden="1" x14ac:dyDescent="0.25">
      <c r="A62" s="75" t="s">
        <v>93</v>
      </c>
      <c r="B62" s="227">
        <v>72</v>
      </c>
      <c r="C62" s="66" t="s">
        <v>94</v>
      </c>
      <c r="D62" s="316">
        <v>0</v>
      </c>
      <c r="E62" s="316"/>
      <c r="F62" s="311">
        <v>0</v>
      </c>
      <c r="G62" s="316"/>
      <c r="H62" s="312">
        <v>0</v>
      </c>
      <c r="I62" s="318"/>
      <c r="J62" s="318"/>
      <c r="K62" s="89">
        <v>0</v>
      </c>
      <c r="L62" s="81"/>
      <c r="M62" s="97"/>
      <c r="N62" s="81"/>
      <c r="O62" s="98"/>
      <c r="P62" s="81"/>
      <c r="Q62" s="97"/>
      <c r="R62" s="81"/>
      <c r="S62" s="97"/>
      <c r="T62" s="316"/>
      <c r="U62" s="339" t="e">
        <f t="shared" si="54"/>
        <v>#DIV/0!</v>
      </c>
    </row>
    <row r="63" spans="1:153" s="64" customFormat="1" x14ac:dyDescent="0.25">
      <c r="A63" s="63" t="s">
        <v>95</v>
      </c>
      <c r="B63" s="224"/>
      <c r="C63" s="63" t="s">
        <v>96</v>
      </c>
      <c r="D63" s="314">
        <f>+D64</f>
        <v>17473320282</v>
      </c>
      <c r="E63" s="314">
        <f t="shared" ref="E63:T63" si="87">+E64</f>
        <v>20606251154</v>
      </c>
      <c r="F63" s="311">
        <f t="shared" si="7"/>
        <v>1.1792979709315672</v>
      </c>
      <c r="G63" s="314">
        <f t="shared" si="87"/>
        <v>22406264204</v>
      </c>
      <c r="H63" s="312">
        <f t="shared" si="8"/>
        <v>1.2823129114780567</v>
      </c>
      <c r="I63" s="315">
        <f t="shared" si="87"/>
        <v>22406251154</v>
      </c>
      <c r="J63" s="315">
        <f t="shared" si="87"/>
        <v>0</v>
      </c>
      <c r="K63" s="89">
        <f t="shared" si="10"/>
        <v>-1</v>
      </c>
      <c r="L63" s="84">
        <f t="shared" si="87"/>
        <v>0</v>
      </c>
      <c r="M63" s="97"/>
      <c r="N63" s="84">
        <f t="shared" si="87"/>
        <v>0</v>
      </c>
      <c r="O63" s="98"/>
      <c r="P63" s="84">
        <f t="shared" si="87"/>
        <v>0</v>
      </c>
      <c r="Q63" s="97"/>
      <c r="R63" s="84">
        <f t="shared" si="87"/>
        <v>0</v>
      </c>
      <c r="S63" s="97"/>
      <c r="T63" s="314">
        <f t="shared" si="87"/>
        <v>0</v>
      </c>
      <c r="U63" s="340">
        <f t="shared" si="54"/>
        <v>-100</v>
      </c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62"/>
      <c r="BD63" s="62"/>
      <c r="BE63" s="62"/>
      <c r="BF63" s="62"/>
      <c r="BG63" s="62"/>
      <c r="BH63" s="62"/>
      <c r="BI63" s="62"/>
      <c r="BJ63" s="62"/>
      <c r="BK63" s="62"/>
      <c r="BL63" s="62"/>
      <c r="BM63" s="62"/>
      <c r="BN63" s="62"/>
      <c r="BO63" s="62"/>
      <c r="BP63" s="62"/>
      <c r="BQ63" s="62"/>
      <c r="BR63" s="62"/>
      <c r="BS63" s="62"/>
      <c r="BT63" s="62"/>
      <c r="BU63" s="62"/>
      <c r="BV63" s="62"/>
      <c r="BW63" s="62"/>
      <c r="BX63" s="62"/>
      <c r="BY63" s="62"/>
      <c r="BZ63" s="62"/>
      <c r="CA63" s="62"/>
      <c r="CB63" s="62"/>
      <c r="CC63" s="62"/>
      <c r="CD63" s="62"/>
      <c r="CE63" s="62"/>
      <c r="CF63" s="62"/>
      <c r="CG63" s="62"/>
      <c r="CH63" s="62"/>
      <c r="CI63" s="62"/>
      <c r="CJ63" s="62"/>
      <c r="CK63" s="62"/>
      <c r="CL63" s="62"/>
      <c r="CM63" s="62"/>
      <c r="CN63" s="62"/>
      <c r="CO63" s="62"/>
      <c r="CP63" s="62"/>
      <c r="CQ63" s="62"/>
      <c r="CR63" s="62"/>
      <c r="CS63" s="62"/>
      <c r="CT63" s="62"/>
      <c r="CU63" s="62"/>
      <c r="CV63" s="62"/>
      <c r="CW63" s="62"/>
      <c r="CX63" s="62"/>
      <c r="CY63" s="62"/>
      <c r="CZ63" s="62"/>
      <c r="DA63" s="62"/>
      <c r="DB63" s="62"/>
      <c r="DC63" s="62"/>
      <c r="DD63" s="62"/>
      <c r="DE63" s="62"/>
      <c r="DF63" s="62"/>
      <c r="DG63" s="62"/>
      <c r="DH63" s="62"/>
      <c r="DI63" s="62"/>
      <c r="DJ63" s="62"/>
      <c r="DK63" s="62"/>
      <c r="DL63" s="62"/>
      <c r="DM63" s="62"/>
      <c r="DN63" s="62"/>
      <c r="DO63" s="62"/>
      <c r="DP63" s="62"/>
      <c r="DQ63" s="62"/>
      <c r="DR63" s="62"/>
      <c r="DS63" s="62"/>
      <c r="DT63" s="62"/>
      <c r="DU63" s="62"/>
      <c r="DV63" s="62"/>
      <c r="DW63" s="62"/>
      <c r="DX63" s="62"/>
      <c r="DY63" s="62"/>
      <c r="DZ63" s="62"/>
      <c r="EA63" s="62"/>
      <c r="EB63" s="62"/>
      <c r="EC63" s="62"/>
      <c r="ED63" s="62"/>
      <c r="EE63" s="62"/>
      <c r="EF63" s="62"/>
      <c r="EG63" s="62"/>
      <c r="EH63" s="62"/>
      <c r="EI63" s="62"/>
      <c r="EJ63" s="62"/>
      <c r="EK63" s="62"/>
      <c r="EL63" s="62"/>
      <c r="EM63" s="62"/>
      <c r="EN63" s="62"/>
      <c r="EO63" s="62"/>
      <c r="EP63" s="62"/>
      <c r="EQ63" s="62"/>
      <c r="ER63" s="62"/>
      <c r="ES63" s="62"/>
      <c r="ET63" s="62"/>
      <c r="EU63" s="62"/>
      <c r="EV63" s="62"/>
      <c r="EW63" s="62"/>
    </row>
    <row r="64" spans="1:153" x14ac:dyDescent="0.25">
      <c r="A64" s="75" t="s">
        <v>97</v>
      </c>
      <c r="B64" s="227">
        <v>81</v>
      </c>
      <c r="C64" s="66" t="s">
        <v>98</v>
      </c>
      <c r="D64" s="316">
        <f>+D65</f>
        <v>17473320282</v>
      </c>
      <c r="E64" s="316">
        <f>+E65+E66</f>
        <v>20606251154</v>
      </c>
      <c r="F64" s="311">
        <f t="shared" si="7"/>
        <v>1.1792979709315672</v>
      </c>
      <c r="G64" s="316">
        <f>+G65+G66</f>
        <v>22406264204</v>
      </c>
      <c r="H64" s="312">
        <f t="shared" si="8"/>
        <v>1.2823129114780567</v>
      </c>
      <c r="I64" s="317">
        <f>+I65+I66</f>
        <v>22406251154</v>
      </c>
      <c r="J64" s="317">
        <f>+J65+J66</f>
        <v>0</v>
      </c>
      <c r="K64" s="89">
        <f t="shared" si="10"/>
        <v>-1</v>
      </c>
      <c r="L64" s="85">
        <f>+L65+L66</f>
        <v>0</v>
      </c>
      <c r="M64" s="97"/>
      <c r="N64" s="85">
        <f>+N65+N66</f>
        <v>0</v>
      </c>
      <c r="O64" s="98"/>
      <c r="P64" s="85">
        <f>+P65+P66</f>
        <v>0</v>
      </c>
      <c r="Q64" s="97"/>
      <c r="R64" s="85">
        <f>+R65+R66</f>
        <v>0</v>
      </c>
      <c r="S64" s="97"/>
      <c r="T64" s="316">
        <f>+T65+T66</f>
        <v>0</v>
      </c>
      <c r="U64" s="339">
        <f t="shared" si="54"/>
        <v>-100</v>
      </c>
    </row>
    <row r="65" spans="1:153" s="64" customFormat="1" x14ac:dyDescent="0.25">
      <c r="A65" s="74"/>
      <c r="B65" s="222"/>
      <c r="C65" s="63" t="s">
        <v>30</v>
      </c>
      <c r="D65" s="314">
        <v>17473320282</v>
      </c>
      <c r="E65" s="314">
        <v>15673307232</v>
      </c>
      <c r="F65" s="311">
        <f t="shared" si="7"/>
        <v>0.89698505945351048</v>
      </c>
      <c r="G65" s="314">
        <f>+D65</f>
        <v>17473320282</v>
      </c>
      <c r="H65" s="312">
        <f t="shared" si="8"/>
        <v>1</v>
      </c>
      <c r="I65" s="315">
        <f>+'[2]COMPARATIVO RECAUDOS'!$F$37</f>
        <v>22406251154</v>
      </c>
      <c r="J65" s="315">
        <v>0</v>
      </c>
      <c r="K65" s="89">
        <f t="shared" si="10"/>
        <v>-1</v>
      </c>
      <c r="L65" s="80"/>
      <c r="M65" s="97"/>
      <c r="N65" s="80"/>
      <c r="O65" s="98"/>
      <c r="P65" s="80"/>
      <c r="Q65" s="97"/>
      <c r="R65" s="80">
        <f>+J65*S65</f>
        <v>0</v>
      </c>
      <c r="S65" s="97">
        <v>1</v>
      </c>
      <c r="T65" s="314">
        <f>+Q65</f>
        <v>0</v>
      </c>
      <c r="U65" s="340">
        <f t="shared" si="54"/>
        <v>-100</v>
      </c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62"/>
      <c r="BD65" s="62"/>
      <c r="BE65" s="62"/>
      <c r="BF65" s="62"/>
      <c r="BG65" s="62"/>
      <c r="BH65" s="62"/>
      <c r="BI65" s="62"/>
      <c r="BJ65" s="62"/>
      <c r="BK65" s="62"/>
      <c r="BL65" s="62"/>
      <c r="BM65" s="62"/>
      <c r="BN65" s="62"/>
      <c r="BO65" s="62"/>
      <c r="BP65" s="62"/>
      <c r="BQ65" s="62"/>
      <c r="BR65" s="62"/>
      <c r="BS65" s="62"/>
      <c r="BT65" s="62"/>
      <c r="BU65" s="62"/>
      <c r="BV65" s="62"/>
      <c r="BW65" s="62"/>
      <c r="BX65" s="62"/>
      <c r="BY65" s="62"/>
      <c r="BZ65" s="62"/>
      <c r="CA65" s="62"/>
      <c r="CB65" s="62"/>
      <c r="CC65" s="62"/>
      <c r="CD65" s="62"/>
      <c r="CE65" s="62"/>
      <c r="CF65" s="62"/>
      <c r="CG65" s="62"/>
      <c r="CH65" s="62"/>
      <c r="CI65" s="62"/>
      <c r="CJ65" s="62"/>
      <c r="CK65" s="62"/>
      <c r="CL65" s="62"/>
      <c r="CM65" s="62"/>
      <c r="CN65" s="62"/>
      <c r="CO65" s="62"/>
      <c r="CP65" s="62"/>
      <c r="CQ65" s="62"/>
      <c r="CR65" s="62"/>
      <c r="CS65" s="62"/>
      <c r="CT65" s="62"/>
      <c r="CU65" s="62"/>
      <c r="CV65" s="62"/>
      <c r="CW65" s="62"/>
      <c r="CX65" s="62"/>
      <c r="CY65" s="62"/>
      <c r="CZ65" s="62"/>
      <c r="DA65" s="62"/>
      <c r="DB65" s="62"/>
      <c r="DC65" s="62"/>
      <c r="DD65" s="62"/>
      <c r="DE65" s="62"/>
      <c r="DF65" s="62"/>
      <c r="DG65" s="62"/>
      <c r="DH65" s="62"/>
      <c r="DI65" s="62"/>
      <c r="DJ65" s="62"/>
      <c r="DK65" s="62"/>
      <c r="DL65" s="62"/>
      <c r="DM65" s="62"/>
      <c r="DN65" s="62"/>
      <c r="DO65" s="62"/>
      <c r="DP65" s="62"/>
      <c r="DQ65" s="62"/>
      <c r="DR65" s="62"/>
      <c r="DS65" s="62"/>
      <c r="DT65" s="62"/>
      <c r="DU65" s="62"/>
      <c r="DV65" s="62"/>
      <c r="DW65" s="62"/>
      <c r="DX65" s="62"/>
      <c r="DY65" s="62"/>
      <c r="DZ65" s="62"/>
      <c r="EA65" s="62"/>
      <c r="EB65" s="62"/>
      <c r="EC65" s="62"/>
      <c r="ED65" s="62"/>
      <c r="EE65" s="62"/>
      <c r="EF65" s="62"/>
      <c r="EG65" s="62"/>
      <c r="EH65" s="62"/>
      <c r="EI65" s="62"/>
      <c r="EJ65" s="62"/>
      <c r="EK65" s="62"/>
      <c r="EL65" s="62"/>
      <c r="EM65" s="62"/>
      <c r="EN65" s="62"/>
      <c r="EO65" s="62"/>
      <c r="EP65" s="62"/>
      <c r="EQ65" s="62"/>
      <c r="ER65" s="62"/>
      <c r="ES65" s="62"/>
      <c r="ET65" s="62"/>
      <c r="EU65" s="62"/>
      <c r="EV65" s="62"/>
      <c r="EW65" s="62"/>
    </row>
    <row r="66" spans="1:153" s="83" customFormat="1" x14ac:dyDescent="0.25">
      <c r="A66" s="82" t="s">
        <v>99</v>
      </c>
      <c r="B66" s="229"/>
      <c r="C66" s="71" t="s">
        <v>39</v>
      </c>
      <c r="D66" s="319">
        <v>0</v>
      </c>
      <c r="E66" s="319">
        <v>4932943922</v>
      </c>
      <c r="F66" s="311">
        <v>0</v>
      </c>
      <c r="G66" s="319">
        <f>+E66</f>
        <v>4932943922</v>
      </c>
      <c r="H66" s="312">
        <v>0</v>
      </c>
      <c r="I66" s="320"/>
      <c r="J66" s="320">
        <v>0</v>
      </c>
      <c r="K66" s="89">
        <f t="shared" si="10"/>
        <v>-1</v>
      </c>
      <c r="L66" s="92"/>
      <c r="M66" s="97"/>
      <c r="N66" s="92"/>
      <c r="O66" s="98"/>
      <c r="P66" s="92"/>
      <c r="Q66" s="98"/>
      <c r="R66" s="92"/>
      <c r="S66" s="97"/>
      <c r="T66" s="319">
        <f>+R66</f>
        <v>0</v>
      </c>
      <c r="U66" s="341">
        <f t="shared" si="54"/>
        <v>-100</v>
      </c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  <c r="BG66" s="62"/>
      <c r="BH66" s="62"/>
      <c r="BI66" s="62"/>
      <c r="BJ66" s="62"/>
      <c r="BK66" s="62"/>
      <c r="BL66" s="62"/>
      <c r="BM66" s="62"/>
      <c r="BN66" s="62"/>
      <c r="BO66" s="62"/>
      <c r="BP66" s="62"/>
      <c r="BQ66" s="62"/>
      <c r="BR66" s="62"/>
      <c r="BS66" s="62"/>
      <c r="BT66" s="62"/>
      <c r="BU66" s="62"/>
      <c r="BV66" s="62"/>
      <c r="BW66" s="62"/>
      <c r="BX66" s="62"/>
      <c r="BY66" s="62"/>
      <c r="BZ66" s="62"/>
      <c r="CA66" s="62"/>
      <c r="CB66" s="62"/>
      <c r="CC66" s="62"/>
      <c r="CD66" s="62"/>
      <c r="CE66" s="62"/>
      <c r="CF66" s="62"/>
      <c r="CG66" s="62"/>
      <c r="CH66" s="62"/>
      <c r="CI66" s="62"/>
      <c r="CJ66" s="62"/>
      <c r="CK66" s="62"/>
      <c r="CL66" s="62"/>
      <c r="CM66" s="62"/>
      <c r="CN66" s="62"/>
      <c r="CO66" s="62"/>
      <c r="CP66" s="62"/>
      <c r="CQ66" s="62"/>
      <c r="CR66" s="62"/>
      <c r="CS66" s="62"/>
      <c r="CT66" s="62"/>
      <c r="CU66" s="62"/>
      <c r="CV66" s="62"/>
      <c r="CW66" s="62"/>
      <c r="CX66" s="62"/>
      <c r="CY66" s="62"/>
      <c r="CZ66" s="62"/>
      <c r="DA66" s="62"/>
      <c r="DB66" s="62"/>
      <c r="DC66" s="62"/>
      <c r="DD66" s="62"/>
      <c r="DE66" s="62"/>
      <c r="DF66" s="62"/>
      <c r="DG66" s="62"/>
      <c r="DH66" s="62"/>
      <c r="DI66" s="62"/>
      <c r="DJ66" s="62"/>
      <c r="DK66" s="62"/>
      <c r="DL66" s="62"/>
      <c r="DM66" s="62"/>
      <c r="DN66" s="62"/>
      <c r="DO66" s="62"/>
      <c r="DP66" s="62"/>
      <c r="DQ66" s="62"/>
      <c r="DR66" s="62"/>
      <c r="DS66" s="62"/>
      <c r="DT66" s="62"/>
      <c r="DU66" s="62"/>
      <c r="DV66" s="62"/>
      <c r="DW66" s="62"/>
      <c r="DX66" s="62"/>
      <c r="DY66" s="62"/>
      <c r="DZ66" s="62"/>
      <c r="EA66" s="62"/>
      <c r="EB66" s="62"/>
      <c r="EC66" s="62"/>
      <c r="ED66" s="62"/>
      <c r="EE66" s="62"/>
      <c r="EF66" s="62"/>
      <c r="EG66" s="62"/>
      <c r="EH66" s="62"/>
      <c r="EI66" s="62"/>
      <c r="EJ66" s="62"/>
      <c r="EK66" s="62"/>
      <c r="EL66" s="62"/>
      <c r="EM66" s="62"/>
      <c r="EN66" s="62"/>
      <c r="EO66" s="62"/>
      <c r="EP66" s="62"/>
      <c r="EQ66" s="62"/>
      <c r="ER66" s="62"/>
      <c r="ES66" s="62"/>
      <c r="ET66" s="62"/>
      <c r="EU66" s="62"/>
      <c r="EV66" s="62"/>
      <c r="EW66" s="62"/>
    </row>
    <row r="67" spans="1:153" s="64" customFormat="1" x14ac:dyDescent="0.25">
      <c r="A67" s="74" t="s">
        <v>100</v>
      </c>
      <c r="B67" s="222"/>
      <c r="C67" s="63" t="s">
        <v>101</v>
      </c>
      <c r="D67" s="314">
        <f>+D68+D69</f>
        <v>2210571200</v>
      </c>
      <c r="E67" s="314">
        <f t="shared" ref="E67:R67" si="88">+E68+E69</f>
        <v>2199800000</v>
      </c>
      <c r="F67" s="311">
        <f t="shared" si="7"/>
        <v>0.9951274132224287</v>
      </c>
      <c r="G67" s="314">
        <f t="shared" si="88"/>
        <v>2694800000</v>
      </c>
      <c r="H67" s="312">
        <f t="shared" si="8"/>
        <v>1.2190514379269937</v>
      </c>
      <c r="I67" s="315">
        <f t="shared" si="88"/>
        <v>2694800000</v>
      </c>
      <c r="J67" s="315">
        <f t="shared" si="88"/>
        <v>2311989800</v>
      </c>
      <c r="K67" s="89">
        <f t="shared" si="10"/>
        <v>-0.14205514323883034</v>
      </c>
      <c r="L67" s="84">
        <f t="shared" si="88"/>
        <v>2311989800</v>
      </c>
      <c r="M67" s="97"/>
      <c r="N67" s="84">
        <f t="shared" si="88"/>
        <v>0</v>
      </c>
      <c r="O67" s="98"/>
      <c r="P67" s="84">
        <f t="shared" si="88"/>
        <v>0</v>
      </c>
      <c r="Q67" s="98"/>
      <c r="R67" s="84">
        <f t="shared" si="88"/>
        <v>0</v>
      </c>
      <c r="S67" s="97"/>
      <c r="T67" s="314">
        <f>+J67-I67</f>
        <v>-382810200</v>
      </c>
      <c r="U67" s="340">
        <f t="shared" si="54"/>
        <v>-14.205514323883037</v>
      </c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  <c r="BB67" s="62"/>
      <c r="BC67" s="62"/>
      <c r="BD67" s="62"/>
      <c r="BE67" s="62"/>
      <c r="BF67" s="62"/>
      <c r="BG67" s="62"/>
      <c r="BH67" s="62"/>
      <c r="BI67" s="62"/>
      <c r="BJ67" s="62"/>
      <c r="BK67" s="62"/>
      <c r="BL67" s="62"/>
      <c r="BM67" s="62"/>
      <c r="BN67" s="62"/>
      <c r="BO67" s="62"/>
      <c r="BP67" s="62"/>
      <c r="BQ67" s="62"/>
      <c r="BR67" s="62"/>
      <c r="BS67" s="62"/>
      <c r="BT67" s="62"/>
      <c r="BU67" s="62"/>
      <c r="BV67" s="62"/>
      <c r="BW67" s="62"/>
      <c r="BX67" s="62"/>
      <c r="BY67" s="62"/>
      <c r="BZ67" s="62"/>
      <c r="CA67" s="62"/>
      <c r="CB67" s="62"/>
      <c r="CC67" s="62"/>
      <c r="CD67" s="62"/>
      <c r="CE67" s="62"/>
      <c r="CF67" s="62"/>
      <c r="CG67" s="62"/>
      <c r="CH67" s="62"/>
      <c r="CI67" s="62"/>
      <c r="CJ67" s="62"/>
      <c r="CK67" s="62"/>
      <c r="CL67" s="62"/>
      <c r="CM67" s="62"/>
      <c r="CN67" s="62"/>
      <c r="CO67" s="62"/>
      <c r="CP67" s="62"/>
      <c r="CQ67" s="62"/>
      <c r="CR67" s="62"/>
      <c r="CS67" s="62"/>
      <c r="CT67" s="62"/>
      <c r="CU67" s="62"/>
      <c r="CV67" s="62"/>
      <c r="CW67" s="62"/>
      <c r="CX67" s="62"/>
      <c r="CY67" s="62"/>
      <c r="CZ67" s="62"/>
      <c r="DA67" s="62"/>
      <c r="DB67" s="62"/>
      <c r="DC67" s="62"/>
      <c r="DD67" s="62"/>
      <c r="DE67" s="62"/>
      <c r="DF67" s="62"/>
      <c r="DG67" s="62"/>
      <c r="DH67" s="62"/>
      <c r="DI67" s="62"/>
      <c r="DJ67" s="62"/>
      <c r="DK67" s="62"/>
      <c r="DL67" s="62"/>
      <c r="DM67" s="62"/>
      <c r="DN67" s="62"/>
      <c r="DO67" s="62"/>
      <c r="DP67" s="62"/>
      <c r="DQ67" s="62"/>
      <c r="DR67" s="62"/>
      <c r="DS67" s="62"/>
      <c r="DT67" s="62"/>
      <c r="DU67" s="62"/>
      <c r="DV67" s="62"/>
      <c r="DW67" s="62"/>
      <c r="DX67" s="62"/>
      <c r="DY67" s="62"/>
      <c r="DZ67" s="62"/>
      <c r="EA67" s="62"/>
      <c r="EB67" s="62"/>
      <c r="EC67" s="62"/>
      <c r="ED67" s="62"/>
      <c r="EE67" s="62"/>
      <c r="EF67" s="62"/>
      <c r="EG67" s="62"/>
      <c r="EH67" s="62"/>
      <c r="EI67" s="62"/>
      <c r="EJ67" s="62"/>
      <c r="EK67" s="62"/>
      <c r="EL67" s="62"/>
      <c r="EM67" s="62"/>
      <c r="EN67" s="62"/>
      <c r="EO67" s="62"/>
      <c r="EP67" s="62"/>
      <c r="EQ67" s="62"/>
      <c r="ER67" s="62"/>
      <c r="ES67" s="62"/>
      <c r="ET67" s="62"/>
      <c r="EU67" s="62"/>
      <c r="EV67" s="62"/>
      <c r="EW67" s="62"/>
    </row>
    <row r="68" spans="1:153" s="83" customFormat="1" x14ac:dyDescent="0.25">
      <c r="A68" s="82" t="s">
        <v>102</v>
      </c>
      <c r="B68" s="229">
        <v>11</v>
      </c>
      <c r="C68" s="71" t="s">
        <v>103</v>
      </c>
      <c r="D68" s="319">
        <v>2210571200</v>
      </c>
      <c r="E68" s="319">
        <v>2199800000</v>
      </c>
      <c r="F68" s="311">
        <f t="shared" si="7"/>
        <v>0.9951274132224287</v>
      </c>
      <c r="G68" s="319">
        <f>+E68+495000000</f>
        <v>2694800000</v>
      </c>
      <c r="H68" s="312">
        <f t="shared" si="8"/>
        <v>1.2190514379269937</v>
      </c>
      <c r="I68" s="320">
        <f>+'[2]COMPARATIVO RECAUDOS'!$F$39</f>
        <v>2694800000</v>
      </c>
      <c r="J68" s="320">
        <v>2311989800</v>
      </c>
      <c r="K68" s="89">
        <f t="shared" si="10"/>
        <v>-0.14205514323883034</v>
      </c>
      <c r="L68" s="92">
        <f>+J68*M68</f>
        <v>2311989800</v>
      </c>
      <c r="M68" s="97">
        <v>1</v>
      </c>
      <c r="N68" s="92"/>
      <c r="O68" s="98"/>
      <c r="P68" s="92"/>
      <c r="Q68" s="98"/>
      <c r="R68" s="92"/>
      <c r="S68" s="97"/>
      <c r="T68" s="310">
        <f>+I68-J68</f>
        <v>382810200</v>
      </c>
      <c r="U68" s="341">
        <f t="shared" si="54"/>
        <v>-14.205514323883037</v>
      </c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2"/>
      <c r="BB68" s="62"/>
      <c r="BC68" s="62"/>
      <c r="BD68" s="62"/>
      <c r="BE68" s="62"/>
      <c r="BF68" s="62"/>
      <c r="BG68" s="62"/>
      <c r="BH68" s="62"/>
      <c r="BI68" s="62"/>
      <c r="BJ68" s="62"/>
      <c r="BK68" s="62"/>
      <c r="BL68" s="62"/>
      <c r="BM68" s="62"/>
      <c r="BN68" s="62"/>
      <c r="BO68" s="62"/>
      <c r="BP68" s="62"/>
      <c r="BQ68" s="62"/>
      <c r="BR68" s="62"/>
      <c r="BS68" s="62"/>
      <c r="BT68" s="62"/>
      <c r="BU68" s="62"/>
      <c r="BV68" s="62"/>
      <c r="BW68" s="62"/>
      <c r="BX68" s="62"/>
      <c r="BY68" s="62"/>
      <c r="BZ68" s="62"/>
      <c r="CA68" s="62"/>
      <c r="CB68" s="62"/>
      <c r="CC68" s="62"/>
      <c r="CD68" s="62"/>
      <c r="CE68" s="62"/>
      <c r="CF68" s="62"/>
      <c r="CG68" s="62"/>
      <c r="CH68" s="62"/>
      <c r="CI68" s="62"/>
      <c r="CJ68" s="62"/>
      <c r="CK68" s="62"/>
      <c r="CL68" s="62"/>
      <c r="CM68" s="62"/>
      <c r="CN68" s="62"/>
      <c r="CO68" s="62"/>
      <c r="CP68" s="62"/>
      <c r="CQ68" s="62"/>
      <c r="CR68" s="62"/>
      <c r="CS68" s="62"/>
      <c r="CT68" s="62"/>
      <c r="CU68" s="62"/>
      <c r="CV68" s="62"/>
      <c r="CW68" s="62"/>
      <c r="CX68" s="62"/>
      <c r="CY68" s="62"/>
      <c r="CZ68" s="62"/>
      <c r="DA68" s="62"/>
      <c r="DB68" s="62"/>
      <c r="DC68" s="62"/>
      <c r="DD68" s="62"/>
      <c r="DE68" s="62"/>
      <c r="DF68" s="62"/>
      <c r="DG68" s="62"/>
      <c r="DH68" s="62"/>
      <c r="DI68" s="62"/>
      <c r="DJ68" s="62"/>
      <c r="DK68" s="62"/>
      <c r="DL68" s="62"/>
      <c r="DM68" s="62"/>
      <c r="DN68" s="62"/>
      <c r="DO68" s="62"/>
      <c r="DP68" s="62"/>
      <c r="DQ68" s="62"/>
      <c r="DR68" s="62"/>
      <c r="DS68" s="62"/>
      <c r="DT68" s="62"/>
      <c r="DU68" s="62"/>
      <c r="DV68" s="62"/>
      <c r="DW68" s="62"/>
      <c r="DX68" s="62"/>
      <c r="DY68" s="62"/>
      <c r="DZ68" s="62"/>
      <c r="EA68" s="62"/>
      <c r="EB68" s="62"/>
      <c r="EC68" s="62"/>
      <c r="ED68" s="62"/>
      <c r="EE68" s="62"/>
      <c r="EF68" s="62"/>
      <c r="EG68" s="62"/>
      <c r="EH68" s="62"/>
      <c r="EI68" s="62"/>
      <c r="EJ68" s="62"/>
      <c r="EK68" s="62"/>
      <c r="EL68" s="62"/>
      <c r="EM68" s="62"/>
      <c r="EN68" s="62"/>
      <c r="EO68" s="62"/>
      <c r="EP68" s="62"/>
      <c r="EQ68" s="62"/>
      <c r="ER68" s="62"/>
      <c r="ES68" s="62"/>
      <c r="ET68" s="62"/>
      <c r="EU68" s="62"/>
      <c r="EV68" s="62"/>
      <c r="EW68" s="62"/>
    </row>
    <row r="69" spans="1:153" s="64" customFormat="1" hidden="1" x14ac:dyDescent="0.25">
      <c r="A69" s="74" t="s">
        <v>104</v>
      </c>
      <c r="B69" s="222">
        <v>12</v>
      </c>
      <c r="C69" s="63" t="s">
        <v>105</v>
      </c>
      <c r="D69" s="314">
        <v>0</v>
      </c>
      <c r="E69" s="314">
        <v>0</v>
      </c>
      <c r="F69" s="311">
        <v>0</v>
      </c>
      <c r="G69" s="314">
        <f>+D69</f>
        <v>0</v>
      </c>
      <c r="H69" s="312">
        <v>0</v>
      </c>
      <c r="I69" s="315"/>
      <c r="J69" s="315"/>
      <c r="K69" s="89">
        <v>0</v>
      </c>
      <c r="L69" s="80"/>
      <c r="M69" s="97"/>
      <c r="N69" s="80"/>
      <c r="O69" s="98"/>
      <c r="P69" s="80"/>
      <c r="Q69" s="98"/>
      <c r="R69" s="80"/>
      <c r="S69" s="98"/>
      <c r="T69" s="314">
        <f>+Q69</f>
        <v>0</v>
      </c>
      <c r="U69" s="340" t="e">
        <f t="shared" si="54"/>
        <v>#DIV/0!</v>
      </c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62"/>
      <c r="AS69" s="62"/>
      <c r="AT69" s="62"/>
      <c r="AU69" s="62"/>
      <c r="AV69" s="62"/>
      <c r="AW69" s="62"/>
      <c r="AX69" s="62"/>
      <c r="AY69" s="62"/>
      <c r="AZ69" s="62"/>
      <c r="BA69" s="62"/>
      <c r="BB69" s="62"/>
      <c r="BC69" s="62"/>
      <c r="BD69" s="62"/>
      <c r="BE69" s="62"/>
      <c r="BF69" s="62"/>
      <c r="BG69" s="62"/>
      <c r="BH69" s="62"/>
      <c r="BI69" s="62"/>
      <c r="BJ69" s="62"/>
      <c r="BK69" s="62"/>
      <c r="BL69" s="62"/>
      <c r="BM69" s="62"/>
      <c r="BN69" s="62"/>
      <c r="BO69" s="62"/>
      <c r="BP69" s="62"/>
      <c r="BQ69" s="62"/>
      <c r="BR69" s="62"/>
      <c r="BS69" s="62"/>
      <c r="BT69" s="62"/>
      <c r="BU69" s="62"/>
      <c r="BV69" s="62"/>
      <c r="BW69" s="62"/>
      <c r="BX69" s="62"/>
      <c r="BY69" s="62"/>
      <c r="BZ69" s="62"/>
      <c r="CA69" s="62"/>
      <c r="CB69" s="62"/>
      <c r="CC69" s="62"/>
      <c r="CD69" s="62"/>
      <c r="CE69" s="62"/>
      <c r="CF69" s="62"/>
      <c r="CG69" s="62"/>
      <c r="CH69" s="62"/>
      <c r="CI69" s="62"/>
      <c r="CJ69" s="62"/>
      <c r="CK69" s="62"/>
      <c r="CL69" s="62"/>
      <c r="CM69" s="62"/>
      <c r="CN69" s="62"/>
      <c r="CO69" s="62"/>
      <c r="CP69" s="62"/>
      <c r="CQ69" s="62"/>
      <c r="CR69" s="62"/>
      <c r="CS69" s="62"/>
      <c r="CT69" s="62"/>
      <c r="CU69" s="62"/>
      <c r="CV69" s="62"/>
      <c r="CW69" s="62"/>
      <c r="CX69" s="62"/>
      <c r="CY69" s="62"/>
      <c r="CZ69" s="62"/>
      <c r="DA69" s="62"/>
      <c r="DB69" s="62"/>
      <c r="DC69" s="62"/>
      <c r="DD69" s="62"/>
      <c r="DE69" s="62"/>
      <c r="DF69" s="62"/>
      <c r="DG69" s="62"/>
      <c r="DH69" s="62"/>
      <c r="DI69" s="62"/>
      <c r="DJ69" s="62"/>
      <c r="DK69" s="62"/>
      <c r="DL69" s="62"/>
      <c r="DM69" s="62"/>
      <c r="DN69" s="62"/>
      <c r="DO69" s="62"/>
      <c r="DP69" s="62"/>
      <c r="DQ69" s="62"/>
      <c r="DR69" s="62"/>
      <c r="DS69" s="62"/>
      <c r="DT69" s="62"/>
      <c r="DU69" s="62"/>
      <c r="DV69" s="62"/>
      <c r="DW69" s="62"/>
      <c r="DX69" s="62"/>
      <c r="DY69" s="62"/>
      <c r="DZ69" s="62"/>
      <c r="EA69" s="62"/>
      <c r="EB69" s="62"/>
      <c r="EC69" s="62"/>
      <c r="ED69" s="62"/>
      <c r="EE69" s="62"/>
      <c r="EF69" s="62"/>
      <c r="EG69" s="62"/>
      <c r="EH69" s="62"/>
      <c r="EI69" s="62"/>
      <c r="EJ69" s="62"/>
      <c r="EK69" s="62"/>
      <c r="EL69" s="62"/>
      <c r="EM69" s="62"/>
      <c r="EN69" s="62"/>
      <c r="EO69" s="62"/>
      <c r="EP69" s="62"/>
      <c r="EQ69" s="62"/>
      <c r="ER69" s="62"/>
      <c r="ES69" s="62"/>
      <c r="ET69" s="62"/>
      <c r="EU69" s="62"/>
      <c r="EV69" s="62"/>
      <c r="EW69" s="62"/>
    </row>
    <row r="70" spans="1:153" s="78" customFormat="1" x14ac:dyDescent="0.25">
      <c r="A70" s="76"/>
      <c r="B70" s="76"/>
      <c r="C70" s="77" t="s">
        <v>106</v>
      </c>
      <c r="D70" s="321">
        <f>+D5+D67</f>
        <v>151139860542</v>
      </c>
      <c r="E70" s="321">
        <f>+E5+E67</f>
        <v>136373284797.73001</v>
      </c>
      <c r="F70" s="322">
        <f t="shared" si="7"/>
        <v>0.90229860149853369</v>
      </c>
      <c r="G70" s="321">
        <f>+G5+G67</f>
        <v>145271398773.89966</v>
      </c>
      <c r="H70" s="323">
        <f t="shared" ref="H70" si="89">+G70/D70</f>
        <v>0.96117197841088675</v>
      </c>
      <c r="I70" s="324">
        <f t="shared" ref="I70:R70" si="90">+I5+I67</f>
        <v>147914909236.64001</v>
      </c>
      <c r="J70" s="324">
        <f t="shared" si="90"/>
        <v>143572002805.34863</v>
      </c>
      <c r="K70" s="90">
        <f t="shared" ref="K70" si="91">+(J70-G70)/G70</f>
        <v>-1.1698076723250697E-2</v>
      </c>
      <c r="L70" s="88">
        <f t="shared" si="90"/>
        <v>13806496068.421753</v>
      </c>
      <c r="M70" s="98"/>
      <c r="N70" s="88">
        <f t="shared" si="90"/>
        <v>5614497519.9055462</v>
      </c>
      <c r="O70" s="98"/>
      <c r="P70" s="88">
        <f t="shared" si="90"/>
        <v>12363481377.636566</v>
      </c>
      <c r="Q70" s="98"/>
      <c r="R70" s="88">
        <f t="shared" si="90"/>
        <v>111787527839.38477</v>
      </c>
      <c r="S70" s="98"/>
      <c r="T70" s="321">
        <f>+J70-I70</f>
        <v>-4342906431.2913818</v>
      </c>
      <c r="U70" s="342">
        <f t="shared" ref="U70" si="92">+J70/G70*100-100</f>
        <v>-1.1698076723250779</v>
      </c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  <c r="AM70" s="62"/>
      <c r="AN70" s="62"/>
      <c r="AO70" s="62"/>
      <c r="AP70" s="62"/>
      <c r="AQ70" s="62"/>
      <c r="AR70" s="62"/>
      <c r="AS70" s="62"/>
      <c r="AT70" s="62"/>
      <c r="AU70" s="62"/>
      <c r="AV70" s="62"/>
      <c r="AW70" s="62"/>
      <c r="AX70" s="62"/>
      <c r="AY70" s="62"/>
      <c r="AZ70" s="62"/>
      <c r="BA70" s="62"/>
      <c r="BB70" s="62"/>
      <c r="BC70" s="62"/>
      <c r="BD70" s="62"/>
      <c r="BE70" s="62"/>
      <c r="BF70" s="62"/>
      <c r="BG70" s="62"/>
      <c r="BH70" s="62"/>
      <c r="BI70" s="62"/>
      <c r="BJ70" s="62"/>
      <c r="BK70" s="62"/>
      <c r="BL70" s="62"/>
      <c r="BM70" s="62"/>
      <c r="BN70" s="62"/>
      <c r="BO70" s="62"/>
      <c r="BP70" s="62"/>
      <c r="BQ70" s="62"/>
      <c r="BR70" s="62"/>
      <c r="BS70" s="62"/>
      <c r="BT70" s="62"/>
      <c r="BU70" s="62"/>
      <c r="BV70" s="62"/>
      <c r="BW70" s="62"/>
      <c r="BX70" s="62"/>
      <c r="BY70" s="62"/>
      <c r="BZ70" s="62"/>
      <c r="CA70" s="62"/>
      <c r="CB70" s="62"/>
      <c r="CC70" s="62"/>
      <c r="CD70" s="62"/>
      <c r="CE70" s="62"/>
      <c r="CF70" s="62"/>
      <c r="CG70" s="62"/>
      <c r="CH70" s="62"/>
      <c r="CI70" s="62"/>
      <c r="CJ70" s="62"/>
      <c r="CK70" s="62"/>
      <c r="CL70" s="62"/>
      <c r="CM70" s="62"/>
      <c r="CN70" s="62"/>
      <c r="CO70" s="62"/>
      <c r="CP70" s="62"/>
      <c r="CQ70" s="62"/>
      <c r="CR70" s="62"/>
      <c r="CS70" s="62"/>
      <c r="CT70" s="62"/>
      <c r="CU70" s="62"/>
      <c r="CV70" s="62"/>
      <c r="CW70" s="62"/>
      <c r="CX70" s="62"/>
      <c r="CY70" s="62"/>
      <c r="CZ70" s="62"/>
      <c r="DA70" s="62"/>
      <c r="DB70" s="62"/>
      <c r="DC70" s="62"/>
      <c r="DD70" s="62"/>
      <c r="DE70" s="62"/>
      <c r="DF70" s="62"/>
      <c r="DG70" s="62"/>
      <c r="DH70" s="62"/>
      <c r="DI70" s="62"/>
      <c r="DJ70" s="62"/>
      <c r="DK70" s="62"/>
      <c r="DL70" s="62"/>
      <c r="DM70" s="62"/>
      <c r="DN70" s="62"/>
      <c r="DO70" s="62"/>
      <c r="DP70" s="62"/>
      <c r="DQ70" s="62"/>
      <c r="DR70" s="62"/>
      <c r="DS70" s="62"/>
      <c r="DT70" s="62"/>
      <c r="DU70" s="62"/>
      <c r="DV70" s="62"/>
      <c r="DW70" s="62"/>
      <c r="DX70" s="62"/>
      <c r="DY70" s="62"/>
      <c r="DZ70" s="62"/>
      <c r="EA70" s="62"/>
      <c r="EB70" s="62"/>
      <c r="EC70" s="62"/>
      <c r="ED70" s="62"/>
      <c r="EE70" s="62"/>
      <c r="EF70" s="62"/>
      <c r="EG70" s="62"/>
      <c r="EH70" s="62"/>
      <c r="EI70" s="62"/>
      <c r="EJ70" s="62"/>
      <c r="EK70" s="62"/>
      <c r="EL70" s="62"/>
      <c r="EM70" s="62"/>
      <c r="EN70" s="62"/>
      <c r="EO70" s="62"/>
      <c r="EP70" s="62"/>
      <c r="EQ70" s="62"/>
      <c r="ER70" s="62"/>
      <c r="ES70" s="62"/>
      <c r="ET70" s="62"/>
      <c r="EU70" s="62"/>
      <c r="EV70" s="62"/>
      <c r="EW70" s="62"/>
    </row>
    <row r="71" spans="1:153" x14ac:dyDescent="0.25">
      <c r="G71" s="345">
        <f>+G70/D70</f>
        <v>0.96117197841088675</v>
      </c>
      <c r="J71" s="345"/>
    </row>
    <row r="72" spans="1:153" x14ac:dyDescent="0.25">
      <c r="I72" s="198"/>
      <c r="J72" s="91"/>
    </row>
    <row r="73" spans="1:153" x14ac:dyDescent="0.25">
      <c r="I73" s="198"/>
      <c r="L73" s="91"/>
      <c r="R73" s="91">
        <f>+L70+N70+P70+R70</f>
        <v>143572002805.34863</v>
      </c>
    </row>
    <row r="74" spans="1:153" x14ac:dyDescent="0.25">
      <c r="I74" s="198"/>
      <c r="R74" s="91"/>
    </row>
    <row r="75" spans="1:153" x14ac:dyDescent="0.25">
      <c r="I75" s="198"/>
    </row>
    <row r="76" spans="1:153" x14ac:dyDescent="0.25">
      <c r="I76" s="198"/>
      <c r="N76" s="62" t="s">
        <v>545</v>
      </c>
      <c r="P76" s="198">
        <f>+'GASTOS DE FTO 2024 - 2027 '!U3</f>
        <v>14162543582</v>
      </c>
    </row>
    <row r="78" spans="1:153" x14ac:dyDescent="0.25">
      <c r="N78" s="62" t="s">
        <v>128</v>
      </c>
      <c r="P78" s="198">
        <f>+P76*0.4</f>
        <v>5665017432.8000002</v>
      </c>
    </row>
    <row r="80" spans="1:153" x14ac:dyDescent="0.25">
      <c r="N80" s="62" t="s">
        <v>126</v>
      </c>
      <c r="P80" s="230">
        <f>+P76-P78</f>
        <v>8497526149.1999998</v>
      </c>
    </row>
    <row r="82" spans="14:16" x14ac:dyDescent="0.25">
      <c r="N82" s="62" t="s">
        <v>546</v>
      </c>
      <c r="P82" s="230">
        <f>+P70-P78</f>
        <v>6698463944.836566</v>
      </c>
    </row>
    <row r="85" spans="14:16" x14ac:dyDescent="0.25">
      <c r="P85" s="91">
        <f>+L70+P70</f>
        <v>26169977446.058319</v>
      </c>
    </row>
    <row r="86" spans="14:16" x14ac:dyDescent="0.25">
      <c r="P86" s="91">
        <f>+'GASTOS DE FTO 2024 - 2027 '!U57</f>
        <v>23378784812</v>
      </c>
    </row>
    <row r="87" spans="14:16" x14ac:dyDescent="0.25">
      <c r="P87" s="91">
        <f>+P85-P86</f>
        <v>2791192634.0583191</v>
      </c>
    </row>
  </sheetData>
  <mergeCells count="23">
    <mergeCell ref="T1:T3"/>
    <mergeCell ref="U1:U3"/>
    <mergeCell ref="L2:M2"/>
    <mergeCell ref="N2:O2"/>
    <mergeCell ref="P2:S2"/>
    <mergeCell ref="L3:L4"/>
    <mergeCell ref="M3:M4"/>
    <mergeCell ref="N3:N4"/>
    <mergeCell ref="O3:O4"/>
    <mergeCell ref="P3:Q3"/>
    <mergeCell ref="L1:S1"/>
    <mergeCell ref="R3:S3"/>
    <mergeCell ref="G1:G3"/>
    <mergeCell ref="H1:H3"/>
    <mergeCell ref="I1:I3"/>
    <mergeCell ref="J1:J3"/>
    <mergeCell ref="K1:K3"/>
    <mergeCell ref="F1:F3"/>
    <mergeCell ref="A1:A3"/>
    <mergeCell ref="B1:B3"/>
    <mergeCell ref="C1:C3"/>
    <mergeCell ref="D1:D3"/>
    <mergeCell ref="E1:E3"/>
  </mergeCells>
  <printOptions horizontalCentered="1"/>
  <pageMargins left="0.70866141732283472" right="0.70866141732283472" top="0.74803149606299213" bottom="0.74803149606299213" header="0.31496062992125984" footer="0.31496062992125984"/>
  <pageSetup paperSize="12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9637C-697B-493F-B540-26F37BDF57AB}">
  <sheetPr>
    <pageSetUpPr fitToPage="1"/>
  </sheetPr>
  <dimension ref="A1:BG87"/>
  <sheetViews>
    <sheetView topLeftCell="C1" zoomScaleNormal="100" workbookViewId="0">
      <selection activeCell="S16" sqref="S16"/>
    </sheetView>
  </sheetViews>
  <sheetFormatPr baseColWidth="10" defaultRowHeight="13.2" x14ac:dyDescent="0.25"/>
  <cols>
    <col min="1" max="2" width="16.44140625" style="62" hidden="1" customWidth="1"/>
    <col min="3" max="3" width="37.5546875" style="79" customWidth="1"/>
    <col min="4" max="4" width="18.109375" style="62" customWidth="1"/>
    <col min="5" max="5" width="15.33203125" style="62" hidden="1" customWidth="1"/>
    <col min="6" max="6" width="8.88671875" style="62" hidden="1" customWidth="1"/>
    <col min="7" max="7" width="17.33203125" style="62" hidden="1" customWidth="1"/>
    <col min="8" max="8" width="9.33203125" style="62" hidden="1" customWidth="1"/>
    <col min="9" max="9" width="18.88671875" style="62" customWidth="1"/>
    <col min="10" max="10" width="8.88671875" style="62" hidden="1" customWidth="1"/>
    <col min="11" max="11" width="19" style="62" hidden="1" customWidth="1"/>
    <col min="12" max="12" width="7.33203125" style="62" hidden="1" customWidth="1"/>
    <col min="13" max="13" width="20.109375" style="62" hidden="1" customWidth="1"/>
    <col min="14" max="14" width="6.33203125" style="62" hidden="1" customWidth="1"/>
    <col min="15" max="15" width="17.5546875" style="62" hidden="1" customWidth="1"/>
    <col min="16" max="16" width="6.33203125" style="62" hidden="1" customWidth="1"/>
    <col min="17" max="17" width="18" style="62" hidden="1" customWidth="1"/>
    <col min="18" max="18" width="7.33203125" style="62" hidden="1" customWidth="1"/>
    <col min="19" max="19" width="16.33203125" style="62" customWidth="1"/>
    <col min="20" max="20" width="8" style="62" customWidth="1"/>
    <col min="21" max="21" width="16.6640625" style="62" customWidth="1"/>
    <col min="22" max="71" width="11.5546875" style="62" customWidth="1"/>
    <col min="72" max="250" width="11.5546875" style="62"/>
    <col min="251" max="251" width="0" style="62" hidden="1" customWidth="1"/>
    <col min="252" max="252" width="31.5546875" style="62" customWidth="1"/>
    <col min="253" max="253" width="14.6640625" style="62" customWidth="1"/>
    <col min="254" max="506" width="11.5546875" style="62"/>
    <col min="507" max="507" width="0" style="62" hidden="1" customWidth="1"/>
    <col min="508" max="508" width="31.5546875" style="62" customWidth="1"/>
    <col min="509" max="509" width="14.6640625" style="62" customWidth="1"/>
    <col min="510" max="762" width="11.5546875" style="62"/>
    <col min="763" max="763" width="0" style="62" hidden="1" customWidth="1"/>
    <col min="764" max="764" width="31.5546875" style="62" customWidth="1"/>
    <col min="765" max="765" width="14.6640625" style="62" customWidth="1"/>
    <col min="766" max="1018" width="11.5546875" style="62"/>
    <col min="1019" max="1019" width="0" style="62" hidden="1" customWidth="1"/>
    <col min="1020" max="1020" width="31.5546875" style="62" customWidth="1"/>
    <col min="1021" max="1021" width="14.6640625" style="62" customWidth="1"/>
    <col min="1022" max="1274" width="11.5546875" style="62"/>
    <col min="1275" max="1275" width="0" style="62" hidden="1" customWidth="1"/>
    <col min="1276" max="1276" width="31.5546875" style="62" customWidth="1"/>
    <col min="1277" max="1277" width="14.6640625" style="62" customWidth="1"/>
    <col min="1278" max="1530" width="11.5546875" style="62"/>
    <col min="1531" max="1531" width="0" style="62" hidden="1" customWidth="1"/>
    <col min="1532" max="1532" width="31.5546875" style="62" customWidth="1"/>
    <col min="1533" max="1533" width="14.6640625" style="62" customWidth="1"/>
    <col min="1534" max="1786" width="11.5546875" style="62"/>
    <col min="1787" max="1787" width="0" style="62" hidden="1" customWidth="1"/>
    <col min="1788" max="1788" width="31.5546875" style="62" customWidth="1"/>
    <col min="1789" max="1789" width="14.6640625" style="62" customWidth="1"/>
    <col min="1790" max="2042" width="11.5546875" style="62"/>
    <col min="2043" max="2043" width="0" style="62" hidden="1" customWidth="1"/>
    <col min="2044" max="2044" width="31.5546875" style="62" customWidth="1"/>
    <col min="2045" max="2045" width="14.6640625" style="62" customWidth="1"/>
    <col min="2046" max="2298" width="11.5546875" style="62"/>
    <col min="2299" max="2299" width="0" style="62" hidden="1" customWidth="1"/>
    <col min="2300" max="2300" width="31.5546875" style="62" customWidth="1"/>
    <col min="2301" max="2301" width="14.6640625" style="62" customWidth="1"/>
    <col min="2302" max="2554" width="11.5546875" style="62"/>
    <col min="2555" max="2555" width="0" style="62" hidden="1" customWidth="1"/>
    <col min="2556" max="2556" width="31.5546875" style="62" customWidth="1"/>
    <col min="2557" max="2557" width="14.6640625" style="62" customWidth="1"/>
    <col min="2558" max="2810" width="11.5546875" style="62"/>
    <col min="2811" max="2811" width="0" style="62" hidden="1" customWidth="1"/>
    <col min="2812" max="2812" width="31.5546875" style="62" customWidth="1"/>
    <col min="2813" max="2813" width="14.6640625" style="62" customWidth="1"/>
    <col min="2814" max="3066" width="11.5546875" style="62"/>
    <col min="3067" max="3067" width="0" style="62" hidden="1" customWidth="1"/>
    <col min="3068" max="3068" width="31.5546875" style="62" customWidth="1"/>
    <col min="3069" max="3069" width="14.6640625" style="62" customWidth="1"/>
    <col min="3070" max="3322" width="11.5546875" style="62"/>
    <col min="3323" max="3323" width="0" style="62" hidden="1" customWidth="1"/>
    <col min="3324" max="3324" width="31.5546875" style="62" customWidth="1"/>
    <col min="3325" max="3325" width="14.6640625" style="62" customWidth="1"/>
    <col min="3326" max="3578" width="11.5546875" style="62"/>
    <col min="3579" max="3579" width="0" style="62" hidden="1" customWidth="1"/>
    <col min="3580" max="3580" width="31.5546875" style="62" customWidth="1"/>
    <col min="3581" max="3581" width="14.6640625" style="62" customWidth="1"/>
    <col min="3582" max="3834" width="11.5546875" style="62"/>
    <col min="3835" max="3835" width="0" style="62" hidden="1" customWidth="1"/>
    <col min="3836" max="3836" width="31.5546875" style="62" customWidth="1"/>
    <col min="3837" max="3837" width="14.6640625" style="62" customWidth="1"/>
    <col min="3838" max="4090" width="11.5546875" style="62"/>
    <col min="4091" max="4091" width="0" style="62" hidden="1" customWidth="1"/>
    <col min="4092" max="4092" width="31.5546875" style="62" customWidth="1"/>
    <col min="4093" max="4093" width="14.6640625" style="62" customWidth="1"/>
    <col min="4094" max="4346" width="11.5546875" style="62"/>
    <col min="4347" max="4347" width="0" style="62" hidden="1" customWidth="1"/>
    <col min="4348" max="4348" width="31.5546875" style="62" customWidth="1"/>
    <col min="4349" max="4349" width="14.6640625" style="62" customWidth="1"/>
    <col min="4350" max="4602" width="11.5546875" style="62"/>
    <col min="4603" max="4603" width="0" style="62" hidden="1" customWidth="1"/>
    <col min="4604" max="4604" width="31.5546875" style="62" customWidth="1"/>
    <col min="4605" max="4605" width="14.6640625" style="62" customWidth="1"/>
    <col min="4606" max="4858" width="11.5546875" style="62"/>
    <col min="4859" max="4859" width="0" style="62" hidden="1" customWidth="1"/>
    <col min="4860" max="4860" width="31.5546875" style="62" customWidth="1"/>
    <col min="4861" max="4861" width="14.6640625" style="62" customWidth="1"/>
    <col min="4862" max="5114" width="11.5546875" style="62"/>
    <col min="5115" max="5115" width="0" style="62" hidden="1" customWidth="1"/>
    <col min="5116" max="5116" width="31.5546875" style="62" customWidth="1"/>
    <col min="5117" max="5117" width="14.6640625" style="62" customWidth="1"/>
    <col min="5118" max="5370" width="11.5546875" style="62"/>
    <col min="5371" max="5371" width="0" style="62" hidden="1" customWidth="1"/>
    <col min="5372" max="5372" width="31.5546875" style="62" customWidth="1"/>
    <col min="5373" max="5373" width="14.6640625" style="62" customWidth="1"/>
    <col min="5374" max="5626" width="11.5546875" style="62"/>
    <col min="5627" max="5627" width="0" style="62" hidden="1" customWidth="1"/>
    <col min="5628" max="5628" width="31.5546875" style="62" customWidth="1"/>
    <col min="5629" max="5629" width="14.6640625" style="62" customWidth="1"/>
    <col min="5630" max="5882" width="11.5546875" style="62"/>
    <col min="5883" max="5883" width="0" style="62" hidden="1" customWidth="1"/>
    <col min="5884" max="5884" width="31.5546875" style="62" customWidth="1"/>
    <col min="5885" max="5885" width="14.6640625" style="62" customWidth="1"/>
    <col min="5886" max="6138" width="11.5546875" style="62"/>
    <col min="6139" max="6139" width="0" style="62" hidden="1" customWidth="1"/>
    <col min="6140" max="6140" width="31.5546875" style="62" customWidth="1"/>
    <col min="6141" max="6141" width="14.6640625" style="62" customWidth="1"/>
    <col min="6142" max="6394" width="11.5546875" style="62"/>
    <col min="6395" max="6395" width="0" style="62" hidden="1" customWidth="1"/>
    <col min="6396" max="6396" width="31.5546875" style="62" customWidth="1"/>
    <col min="6397" max="6397" width="14.6640625" style="62" customWidth="1"/>
    <col min="6398" max="6650" width="11.5546875" style="62"/>
    <col min="6651" max="6651" width="0" style="62" hidden="1" customWidth="1"/>
    <col min="6652" max="6652" width="31.5546875" style="62" customWidth="1"/>
    <col min="6653" max="6653" width="14.6640625" style="62" customWidth="1"/>
    <col min="6654" max="6906" width="11.5546875" style="62"/>
    <col min="6907" max="6907" width="0" style="62" hidden="1" customWidth="1"/>
    <col min="6908" max="6908" width="31.5546875" style="62" customWidth="1"/>
    <col min="6909" max="6909" width="14.6640625" style="62" customWidth="1"/>
    <col min="6910" max="7162" width="11.5546875" style="62"/>
    <col min="7163" max="7163" width="0" style="62" hidden="1" customWidth="1"/>
    <col min="7164" max="7164" width="31.5546875" style="62" customWidth="1"/>
    <col min="7165" max="7165" width="14.6640625" style="62" customWidth="1"/>
    <col min="7166" max="7418" width="11.5546875" style="62"/>
    <col min="7419" max="7419" width="0" style="62" hidden="1" customWidth="1"/>
    <col min="7420" max="7420" width="31.5546875" style="62" customWidth="1"/>
    <col min="7421" max="7421" width="14.6640625" style="62" customWidth="1"/>
    <col min="7422" max="7674" width="11.5546875" style="62"/>
    <col min="7675" max="7675" width="0" style="62" hidden="1" customWidth="1"/>
    <col min="7676" max="7676" width="31.5546875" style="62" customWidth="1"/>
    <col min="7677" max="7677" width="14.6640625" style="62" customWidth="1"/>
    <col min="7678" max="7930" width="11.5546875" style="62"/>
    <col min="7931" max="7931" width="0" style="62" hidden="1" customWidth="1"/>
    <col min="7932" max="7932" width="31.5546875" style="62" customWidth="1"/>
    <col min="7933" max="7933" width="14.6640625" style="62" customWidth="1"/>
    <col min="7934" max="8186" width="11.5546875" style="62"/>
    <col min="8187" max="8187" width="0" style="62" hidden="1" customWidth="1"/>
    <col min="8188" max="8188" width="31.5546875" style="62" customWidth="1"/>
    <col min="8189" max="8189" width="14.6640625" style="62" customWidth="1"/>
    <col min="8190" max="8442" width="11.5546875" style="62"/>
    <col min="8443" max="8443" width="0" style="62" hidden="1" customWidth="1"/>
    <col min="8444" max="8444" width="31.5546875" style="62" customWidth="1"/>
    <col min="8445" max="8445" width="14.6640625" style="62" customWidth="1"/>
    <col min="8446" max="8698" width="11.5546875" style="62"/>
    <col min="8699" max="8699" width="0" style="62" hidden="1" customWidth="1"/>
    <col min="8700" max="8700" width="31.5546875" style="62" customWidth="1"/>
    <col min="8701" max="8701" width="14.6640625" style="62" customWidth="1"/>
    <col min="8702" max="8954" width="11.5546875" style="62"/>
    <col min="8955" max="8955" width="0" style="62" hidden="1" customWidth="1"/>
    <col min="8956" max="8956" width="31.5546875" style="62" customWidth="1"/>
    <col min="8957" max="8957" width="14.6640625" style="62" customWidth="1"/>
    <col min="8958" max="9210" width="11.5546875" style="62"/>
    <col min="9211" max="9211" width="0" style="62" hidden="1" customWidth="1"/>
    <col min="9212" max="9212" width="31.5546875" style="62" customWidth="1"/>
    <col min="9213" max="9213" width="14.6640625" style="62" customWidth="1"/>
    <col min="9214" max="9466" width="11.5546875" style="62"/>
    <col min="9467" max="9467" width="0" style="62" hidden="1" customWidth="1"/>
    <col min="9468" max="9468" width="31.5546875" style="62" customWidth="1"/>
    <col min="9469" max="9469" width="14.6640625" style="62" customWidth="1"/>
    <col min="9470" max="9722" width="11.5546875" style="62"/>
    <col min="9723" max="9723" width="0" style="62" hidden="1" customWidth="1"/>
    <col min="9724" max="9724" width="31.5546875" style="62" customWidth="1"/>
    <col min="9725" max="9725" width="14.6640625" style="62" customWidth="1"/>
    <col min="9726" max="9978" width="11.5546875" style="62"/>
    <col min="9979" max="9979" width="0" style="62" hidden="1" customWidth="1"/>
    <col min="9980" max="9980" width="31.5546875" style="62" customWidth="1"/>
    <col min="9981" max="9981" width="14.6640625" style="62" customWidth="1"/>
    <col min="9982" max="10234" width="11.5546875" style="62"/>
    <col min="10235" max="10235" width="0" style="62" hidden="1" customWidth="1"/>
    <col min="10236" max="10236" width="31.5546875" style="62" customWidth="1"/>
    <col min="10237" max="10237" width="14.6640625" style="62" customWidth="1"/>
    <col min="10238" max="10490" width="11.5546875" style="62"/>
    <col min="10491" max="10491" width="0" style="62" hidden="1" customWidth="1"/>
    <col min="10492" max="10492" width="31.5546875" style="62" customWidth="1"/>
    <col min="10493" max="10493" width="14.6640625" style="62" customWidth="1"/>
    <col min="10494" max="10746" width="11.5546875" style="62"/>
    <col min="10747" max="10747" width="0" style="62" hidden="1" customWidth="1"/>
    <col min="10748" max="10748" width="31.5546875" style="62" customWidth="1"/>
    <col min="10749" max="10749" width="14.6640625" style="62" customWidth="1"/>
    <col min="10750" max="11002" width="11.5546875" style="62"/>
    <col min="11003" max="11003" width="0" style="62" hidden="1" customWidth="1"/>
    <col min="11004" max="11004" width="31.5546875" style="62" customWidth="1"/>
    <col min="11005" max="11005" width="14.6640625" style="62" customWidth="1"/>
    <col min="11006" max="11258" width="11.5546875" style="62"/>
    <col min="11259" max="11259" width="0" style="62" hidden="1" customWidth="1"/>
    <col min="11260" max="11260" width="31.5546875" style="62" customWidth="1"/>
    <col min="11261" max="11261" width="14.6640625" style="62" customWidth="1"/>
    <col min="11262" max="11514" width="11.5546875" style="62"/>
    <col min="11515" max="11515" width="0" style="62" hidden="1" customWidth="1"/>
    <col min="11516" max="11516" width="31.5546875" style="62" customWidth="1"/>
    <col min="11517" max="11517" width="14.6640625" style="62" customWidth="1"/>
    <col min="11518" max="11770" width="11.5546875" style="62"/>
    <col min="11771" max="11771" width="0" style="62" hidden="1" customWidth="1"/>
    <col min="11772" max="11772" width="31.5546875" style="62" customWidth="1"/>
    <col min="11773" max="11773" width="14.6640625" style="62" customWidth="1"/>
    <col min="11774" max="12026" width="11.5546875" style="62"/>
    <col min="12027" max="12027" width="0" style="62" hidden="1" customWidth="1"/>
    <col min="12028" max="12028" width="31.5546875" style="62" customWidth="1"/>
    <col min="12029" max="12029" width="14.6640625" style="62" customWidth="1"/>
    <col min="12030" max="12282" width="11.5546875" style="62"/>
    <col min="12283" max="12283" width="0" style="62" hidden="1" customWidth="1"/>
    <col min="12284" max="12284" width="31.5546875" style="62" customWidth="1"/>
    <col min="12285" max="12285" width="14.6640625" style="62" customWidth="1"/>
    <col min="12286" max="12538" width="11.5546875" style="62"/>
    <col min="12539" max="12539" width="0" style="62" hidden="1" customWidth="1"/>
    <col min="12540" max="12540" width="31.5546875" style="62" customWidth="1"/>
    <col min="12541" max="12541" width="14.6640625" style="62" customWidth="1"/>
    <col min="12542" max="12794" width="11.5546875" style="62"/>
    <col min="12795" max="12795" width="0" style="62" hidden="1" customWidth="1"/>
    <col min="12796" max="12796" width="31.5546875" style="62" customWidth="1"/>
    <col min="12797" max="12797" width="14.6640625" style="62" customWidth="1"/>
    <col min="12798" max="13050" width="11.5546875" style="62"/>
    <col min="13051" max="13051" width="0" style="62" hidden="1" customWidth="1"/>
    <col min="13052" max="13052" width="31.5546875" style="62" customWidth="1"/>
    <col min="13053" max="13053" width="14.6640625" style="62" customWidth="1"/>
    <col min="13054" max="13306" width="11.5546875" style="62"/>
    <col min="13307" max="13307" width="0" style="62" hidden="1" customWidth="1"/>
    <col min="13308" max="13308" width="31.5546875" style="62" customWidth="1"/>
    <col min="13309" max="13309" width="14.6640625" style="62" customWidth="1"/>
    <col min="13310" max="13562" width="11.5546875" style="62"/>
    <col min="13563" max="13563" width="0" style="62" hidden="1" customWidth="1"/>
    <col min="13564" max="13564" width="31.5546875" style="62" customWidth="1"/>
    <col min="13565" max="13565" width="14.6640625" style="62" customWidth="1"/>
    <col min="13566" max="13818" width="11.5546875" style="62"/>
    <col min="13819" max="13819" width="0" style="62" hidden="1" customWidth="1"/>
    <col min="13820" max="13820" width="31.5546875" style="62" customWidth="1"/>
    <col min="13821" max="13821" width="14.6640625" style="62" customWidth="1"/>
    <col min="13822" max="14074" width="11.5546875" style="62"/>
    <col min="14075" max="14075" width="0" style="62" hidden="1" customWidth="1"/>
    <col min="14076" max="14076" width="31.5546875" style="62" customWidth="1"/>
    <col min="14077" max="14077" width="14.6640625" style="62" customWidth="1"/>
    <col min="14078" max="14330" width="11.5546875" style="62"/>
    <col min="14331" max="14331" width="0" style="62" hidden="1" customWidth="1"/>
    <col min="14332" max="14332" width="31.5546875" style="62" customWidth="1"/>
    <col min="14333" max="14333" width="14.6640625" style="62" customWidth="1"/>
    <col min="14334" max="14586" width="11.5546875" style="62"/>
    <col min="14587" max="14587" width="0" style="62" hidden="1" customWidth="1"/>
    <col min="14588" max="14588" width="31.5546875" style="62" customWidth="1"/>
    <col min="14589" max="14589" width="14.6640625" style="62" customWidth="1"/>
    <col min="14590" max="14842" width="11.5546875" style="62"/>
    <col min="14843" max="14843" width="0" style="62" hidden="1" customWidth="1"/>
    <col min="14844" max="14844" width="31.5546875" style="62" customWidth="1"/>
    <col min="14845" max="14845" width="14.6640625" style="62" customWidth="1"/>
    <col min="14846" max="15098" width="11.5546875" style="62"/>
    <col min="15099" max="15099" width="0" style="62" hidden="1" customWidth="1"/>
    <col min="15100" max="15100" width="31.5546875" style="62" customWidth="1"/>
    <col min="15101" max="15101" width="14.6640625" style="62" customWidth="1"/>
    <col min="15102" max="15354" width="11.5546875" style="62"/>
    <col min="15355" max="15355" width="0" style="62" hidden="1" customWidth="1"/>
    <col min="15356" max="15356" width="31.5546875" style="62" customWidth="1"/>
    <col min="15357" max="15357" width="14.6640625" style="62" customWidth="1"/>
    <col min="15358" max="15610" width="11.5546875" style="62"/>
    <col min="15611" max="15611" width="0" style="62" hidden="1" customWidth="1"/>
    <col min="15612" max="15612" width="31.5546875" style="62" customWidth="1"/>
    <col min="15613" max="15613" width="14.6640625" style="62" customWidth="1"/>
    <col min="15614" max="15866" width="11.5546875" style="62"/>
    <col min="15867" max="15867" width="0" style="62" hidden="1" customWidth="1"/>
    <col min="15868" max="15868" width="31.5546875" style="62" customWidth="1"/>
    <col min="15869" max="15869" width="14.6640625" style="62" customWidth="1"/>
    <col min="15870" max="16122" width="11.5546875" style="62"/>
    <col min="16123" max="16123" width="0" style="62" hidden="1" customWidth="1"/>
    <col min="16124" max="16124" width="31.5546875" style="62" customWidth="1"/>
    <col min="16125" max="16125" width="14.6640625" style="62" customWidth="1"/>
    <col min="16126" max="16384" width="11.5546875" style="62"/>
  </cols>
  <sheetData>
    <row r="1" spans="1:59" s="94" customFormat="1" ht="22.5" customHeight="1" x14ac:dyDescent="0.2">
      <c r="A1" s="527" t="s">
        <v>0</v>
      </c>
      <c r="B1" s="527" t="s">
        <v>543</v>
      </c>
      <c r="C1" s="535" t="s">
        <v>1</v>
      </c>
      <c r="D1" s="526" t="s">
        <v>586</v>
      </c>
      <c r="E1" s="526" t="s">
        <v>547</v>
      </c>
      <c r="F1" s="536" t="s">
        <v>122</v>
      </c>
      <c r="G1" s="526" t="s">
        <v>568</v>
      </c>
      <c r="H1" s="534" t="s">
        <v>122</v>
      </c>
      <c r="I1" s="526" t="s">
        <v>548</v>
      </c>
      <c r="J1" s="530" t="s">
        <v>124</v>
      </c>
      <c r="K1" s="537" t="s">
        <v>125</v>
      </c>
      <c r="L1" s="538"/>
      <c r="M1" s="538"/>
      <c r="N1" s="538"/>
      <c r="O1" s="538"/>
      <c r="P1" s="538"/>
      <c r="Q1" s="538"/>
      <c r="R1" s="539"/>
      <c r="S1" s="526" t="s">
        <v>585</v>
      </c>
      <c r="T1" s="526" t="s">
        <v>588</v>
      </c>
      <c r="U1" s="334"/>
      <c r="V1" s="334"/>
      <c r="W1" s="334"/>
      <c r="X1" s="334"/>
      <c r="Y1" s="334"/>
      <c r="Z1" s="334"/>
      <c r="AA1" s="334"/>
      <c r="AB1" s="334"/>
      <c r="AC1" s="334"/>
      <c r="AD1" s="334"/>
      <c r="AE1" s="334"/>
      <c r="AF1" s="334"/>
      <c r="AG1" s="334"/>
      <c r="AH1" s="334"/>
      <c r="AI1" s="334"/>
      <c r="AJ1" s="334"/>
      <c r="AK1" s="334"/>
      <c r="AL1" s="334"/>
      <c r="AM1" s="334"/>
      <c r="AN1" s="334"/>
      <c r="AO1" s="334"/>
      <c r="AP1" s="334"/>
      <c r="AQ1" s="334"/>
      <c r="AR1" s="334"/>
      <c r="AS1" s="334"/>
      <c r="AT1" s="334"/>
      <c r="AU1" s="334"/>
      <c r="AV1" s="334"/>
      <c r="AW1" s="334"/>
      <c r="AX1" s="334"/>
      <c r="AY1" s="334"/>
      <c r="AZ1" s="334"/>
      <c r="BA1" s="334"/>
      <c r="BB1" s="334"/>
      <c r="BC1" s="334"/>
      <c r="BD1" s="334"/>
      <c r="BE1" s="334"/>
      <c r="BF1" s="334"/>
      <c r="BG1" s="334"/>
    </row>
    <row r="2" spans="1:59" s="94" customFormat="1" ht="22.5" customHeight="1" x14ac:dyDescent="0.2">
      <c r="A2" s="528"/>
      <c r="B2" s="528"/>
      <c r="C2" s="535"/>
      <c r="D2" s="526"/>
      <c r="E2" s="526"/>
      <c r="F2" s="536"/>
      <c r="G2" s="526"/>
      <c r="H2" s="534"/>
      <c r="I2" s="526"/>
      <c r="J2" s="531"/>
      <c r="K2" s="533" t="s">
        <v>126</v>
      </c>
      <c r="L2" s="533"/>
      <c r="M2" s="533" t="s">
        <v>127</v>
      </c>
      <c r="N2" s="533"/>
      <c r="O2" s="533" t="s">
        <v>128</v>
      </c>
      <c r="P2" s="533"/>
      <c r="Q2" s="533"/>
      <c r="R2" s="533"/>
      <c r="S2" s="526"/>
      <c r="T2" s="526"/>
      <c r="U2" s="334"/>
      <c r="V2" s="334"/>
      <c r="W2" s="334"/>
      <c r="X2" s="334"/>
      <c r="Y2" s="334"/>
      <c r="Z2" s="334"/>
      <c r="AA2" s="334"/>
      <c r="AB2" s="334"/>
      <c r="AC2" s="334"/>
      <c r="AD2" s="334"/>
      <c r="AE2" s="334"/>
      <c r="AF2" s="334"/>
      <c r="AG2" s="334"/>
      <c r="AH2" s="334"/>
      <c r="AI2" s="334"/>
      <c r="AJ2" s="334"/>
      <c r="AK2" s="334"/>
      <c r="AL2" s="334"/>
      <c r="AM2" s="334"/>
      <c r="AN2" s="334"/>
      <c r="AO2" s="334"/>
      <c r="AP2" s="334"/>
      <c r="AQ2" s="334"/>
      <c r="AR2" s="334"/>
      <c r="AS2" s="334"/>
      <c r="AT2" s="334"/>
      <c r="AU2" s="334"/>
      <c r="AV2" s="334"/>
      <c r="AW2" s="334"/>
      <c r="AX2" s="334"/>
      <c r="AY2" s="334"/>
      <c r="AZ2" s="334"/>
      <c r="BA2" s="334"/>
      <c r="BB2" s="334"/>
      <c r="BC2" s="334"/>
      <c r="BD2" s="334"/>
      <c r="BE2" s="334"/>
      <c r="BF2" s="334"/>
      <c r="BG2" s="334"/>
    </row>
    <row r="3" spans="1:59" s="94" customFormat="1" ht="18.75" customHeight="1" x14ac:dyDescent="0.2">
      <c r="A3" s="529"/>
      <c r="B3" s="529"/>
      <c r="C3" s="535"/>
      <c r="D3" s="526"/>
      <c r="E3" s="526"/>
      <c r="F3" s="536"/>
      <c r="G3" s="526"/>
      <c r="H3" s="534"/>
      <c r="I3" s="526"/>
      <c r="J3" s="532"/>
      <c r="K3" s="527" t="s">
        <v>129</v>
      </c>
      <c r="L3" s="540" t="s">
        <v>122</v>
      </c>
      <c r="M3" s="527" t="s">
        <v>129</v>
      </c>
      <c r="N3" s="540" t="s">
        <v>122</v>
      </c>
      <c r="O3" s="533" t="s">
        <v>130</v>
      </c>
      <c r="P3" s="533"/>
      <c r="Q3" s="533" t="s">
        <v>131</v>
      </c>
      <c r="R3" s="533"/>
      <c r="S3" s="526"/>
      <c r="T3" s="526"/>
      <c r="U3" s="334"/>
      <c r="V3" s="334"/>
      <c r="W3" s="334"/>
      <c r="X3" s="334"/>
      <c r="Y3" s="334"/>
      <c r="Z3" s="334"/>
      <c r="AA3" s="334"/>
      <c r="AB3" s="334"/>
      <c r="AC3" s="334"/>
      <c r="AD3" s="334"/>
      <c r="AE3" s="334"/>
      <c r="AF3" s="334"/>
      <c r="AG3" s="334"/>
      <c r="AH3" s="334"/>
      <c r="AI3" s="334"/>
      <c r="AJ3" s="334"/>
      <c r="AK3" s="334"/>
      <c r="AL3" s="334"/>
      <c r="AM3" s="334"/>
      <c r="AN3" s="334"/>
      <c r="AO3" s="334"/>
      <c r="AP3" s="334"/>
      <c r="AQ3" s="334"/>
      <c r="AR3" s="334"/>
      <c r="AS3" s="334"/>
      <c r="AT3" s="334"/>
      <c r="AU3" s="334"/>
      <c r="AV3" s="334"/>
      <c r="AW3" s="334"/>
      <c r="AX3" s="334"/>
      <c r="AY3" s="334"/>
      <c r="AZ3" s="334"/>
      <c r="BA3" s="334"/>
      <c r="BB3" s="334"/>
      <c r="BC3" s="334"/>
      <c r="BD3" s="334"/>
      <c r="BE3" s="334"/>
      <c r="BF3" s="334"/>
      <c r="BG3" s="334"/>
    </row>
    <row r="4" spans="1:59" s="94" customFormat="1" ht="18.75" hidden="1" customHeight="1" x14ac:dyDescent="0.2">
      <c r="A4" s="93"/>
      <c r="B4" s="221"/>
      <c r="C4" s="251"/>
      <c r="D4" s="252"/>
      <c r="E4" s="252"/>
      <c r="F4" s="253"/>
      <c r="G4" s="252"/>
      <c r="H4" s="254"/>
      <c r="I4" s="252"/>
      <c r="J4" s="96"/>
      <c r="K4" s="529"/>
      <c r="L4" s="541"/>
      <c r="M4" s="529"/>
      <c r="N4" s="541"/>
      <c r="O4" s="95" t="s">
        <v>129</v>
      </c>
      <c r="P4" s="99" t="s">
        <v>122</v>
      </c>
      <c r="Q4" s="95" t="s">
        <v>129</v>
      </c>
      <c r="R4" s="99" t="s">
        <v>122</v>
      </c>
      <c r="S4" s="252"/>
      <c r="T4" s="93"/>
      <c r="U4" s="334"/>
      <c r="V4" s="334"/>
      <c r="W4" s="334"/>
      <c r="X4" s="334"/>
      <c r="Y4" s="334"/>
      <c r="Z4" s="334"/>
      <c r="AA4" s="334"/>
      <c r="AB4" s="334"/>
      <c r="AC4" s="334"/>
      <c r="AD4" s="334"/>
      <c r="AE4" s="334"/>
      <c r="AF4" s="334"/>
      <c r="AG4" s="334"/>
      <c r="AH4" s="334"/>
      <c r="AI4" s="334"/>
      <c r="AJ4" s="334"/>
      <c r="AK4" s="334"/>
      <c r="AL4" s="334"/>
      <c r="AM4" s="334"/>
      <c r="AN4" s="334"/>
      <c r="AO4" s="334"/>
      <c r="AP4" s="334"/>
      <c r="AQ4" s="334"/>
      <c r="AR4" s="334"/>
      <c r="AS4" s="334"/>
      <c r="AT4" s="334"/>
      <c r="AU4" s="334"/>
      <c r="AV4" s="334"/>
      <c r="AW4" s="334"/>
      <c r="AX4" s="334"/>
      <c r="AY4" s="334"/>
      <c r="AZ4" s="334"/>
      <c r="BA4" s="334"/>
      <c r="BB4" s="334"/>
      <c r="BC4" s="334"/>
      <c r="BD4" s="334"/>
      <c r="BE4" s="334"/>
      <c r="BF4" s="334"/>
      <c r="BG4" s="334"/>
    </row>
    <row r="5" spans="1:59" x14ac:dyDescent="0.25">
      <c r="A5" s="60" t="s">
        <v>2</v>
      </c>
      <c r="B5" s="223"/>
      <c r="C5" s="61" t="s">
        <v>3</v>
      </c>
      <c r="D5" s="310">
        <f>+D6+D58</f>
        <v>148929289342</v>
      </c>
      <c r="E5" s="310">
        <f t="shared" ref="E5:G5" si="0">+E6+E58</f>
        <v>134173484797.73001</v>
      </c>
      <c r="F5" s="311">
        <f>+E5/D5</f>
        <v>0.90092073487045998</v>
      </c>
      <c r="G5" s="310">
        <f t="shared" si="0"/>
        <v>142576598773.89966</v>
      </c>
      <c r="H5" s="312">
        <f>+G5/D5</f>
        <v>0.95734424977002286</v>
      </c>
      <c r="I5" s="313">
        <f t="shared" ref="I5:K5" si="1">+I6+I58</f>
        <v>141260013005.34863</v>
      </c>
      <c r="J5" s="325">
        <f>+(I5-G5)/G5</f>
        <v>-9.2342346491157985E-3</v>
      </c>
      <c r="K5" s="326">
        <f t="shared" si="1"/>
        <v>11494506268.421753</v>
      </c>
      <c r="L5" s="327"/>
      <c r="M5" s="326">
        <f t="shared" ref="M5" si="2">+M6+M58</f>
        <v>5614497519.9055462</v>
      </c>
      <c r="N5" s="327"/>
      <c r="O5" s="326">
        <f t="shared" ref="O5" si="3">+O6+O58</f>
        <v>12363481377.636566</v>
      </c>
      <c r="P5" s="327"/>
      <c r="Q5" s="326">
        <f t="shared" ref="Q5" si="4">+Q6+Q58</f>
        <v>111787527839.38477</v>
      </c>
      <c r="R5" s="327"/>
      <c r="S5" s="313">
        <f t="shared" ref="S5:S69" si="5">+I5-D5</f>
        <v>-7669276336.6513672</v>
      </c>
      <c r="T5" s="304">
        <f>+I5/D5*100-100</f>
        <v>-5.1496091672335211</v>
      </c>
      <c r="U5" s="343"/>
    </row>
    <row r="6" spans="1:59" s="64" customFormat="1" x14ac:dyDescent="0.25">
      <c r="A6" s="63" t="s">
        <v>4</v>
      </c>
      <c r="B6" s="224"/>
      <c r="C6" s="63" t="s">
        <v>5</v>
      </c>
      <c r="D6" s="314">
        <f>D7+D12</f>
        <v>131210369257</v>
      </c>
      <c r="E6" s="314">
        <f t="shared" ref="E6:G6" si="6">E7+E12</f>
        <v>113166935770.85001</v>
      </c>
      <c r="F6" s="311">
        <f t="shared" ref="F6:F70" si="7">+E6/D6</f>
        <v>0.86248469851640641</v>
      </c>
      <c r="G6" s="314">
        <f t="shared" si="6"/>
        <v>119689977122.44366</v>
      </c>
      <c r="H6" s="312">
        <f t="shared" ref="H6:H68" si="8">+G6/D6</f>
        <v>0.91219907237673037</v>
      </c>
      <c r="I6" s="315">
        <f t="shared" ref="I6:K6" si="9">I7+I12</f>
        <v>140755637685.51984</v>
      </c>
      <c r="J6" s="325">
        <f t="shared" ref="J6:J68" si="10">+(I6-G6)/G6</f>
        <v>0.17600187642717868</v>
      </c>
      <c r="K6" s="328">
        <f t="shared" si="9"/>
        <v>11494506268.421753</v>
      </c>
      <c r="L6" s="327"/>
      <c r="M6" s="328">
        <f t="shared" ref="M6" si="11">M7+M12</f>
        <v>5614497519.9055462</v>
      </c>
      <c r="N6" s="327"/>
      <c r="O6" s="328">
        <f t="shared" ref="O6" si="12">O7+O12</f>
        <v>12313043845.653687</v>
      </c>
      <c r="P6" s="327"/>
      <c r="Q6" s="328">
        <f t="shared" ref="Q6" si="13">Q7+Q12</f>
        <v>111333590051.53885</v>
      </c>
      <c r="R6" s="327"/>
      <c r="S6" s="315">
        <f t="shared" si="5"/>
        <v>9545268428.5198364</v>
      </c>
      <c r="T6" s="305">
        <f t="shared" ref="T6:T68" si="14">+I6/D6*100-100</f>
        <v>7.27478207901666</v>
      </c>
      <c r="U6" s="343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</row>
    <row r="7" spans="1:59" x14ac:dyDescent="0.25">
      <c r="A7" s="65" t="s">
        <v>6</v>
      </c>
      <c r="B7" s="225"/>
      <c r="C7" s="66" t="s">
        <v>7</v>
      </c>
      <c r="D7" s="316">
        <f>+D8</f>
        <v>15911638600</v>
      </c>
      <c r="E7" s="316">
        <f t="shared" ref="E7:Q8" si="15">+E8</f>
        <v>11965599195.58</v>
      </c>
      <c r="F7" s="311">
        <f t="shared" si="7"/>
        <v>0.75200295182546439</v>
      </c>
      <c r="G7" s="316">
        <f t="shared" si="15"/>
        <v>14007338999.320999</v>
      </c>
      <c r="H7" s="312">
        <f t="shared" si="8"/>
        <v>0.88032033352749728</v>
      </c>
      <c r="I7" s="317">
        <f t="shared" si="15"/>
        <v>16422288760.272699</v>
      </c>
      <c r="J7" s="325">
        <f t="shared" si="10"/>
        <v>0.17240603379905092</v>
      </c>
      <c r="K7" s="329">
        <f t="shared" si="15"/>
        <v>0</v>
      </c>
      <c r="L7" s="327"/>
      <c r="M7" s="329">
        <f t="shared" si="15"/>
        <v>0</v>
      </c>
      <c r="N7" s="327"/>
      <c r="O7" s="329">
        <f t="shared" si="15"/>
        <v>1642228876.0272701</v>
      </c>
      <c r="P7" s="327"/>
      <c r="Q7" s="329">
        <f t="shared" si="15"/>
        <v>14780059884.24543</v>
      </c>
      <c r="R7" s="327"/>
      <c r="S7" s="317">
        <f t="shared" si="5"/>
        <v>510650160.27269936</v>
      </c>
      <c r="T7" s="304">
        <f t="shared" si="14"/>
        <v>3.2092870703630751</v>
      </c>
      <c r="U7" s="343"/>
    </row>
    <row r="8" spans="1:59" s="64" customFormat="1" x14ac:dyDescent="0.25">
      <c r="A8" s="67" t="s">
        <v>8</v>
      </c>
      <c r="B8" s="222"/>
      <c r="C8" s="63" t="s">
        <v>9</v>
      </c>
      <c r="D8" s="314">
        <f>+D9</f>
        <v>15911638600</v>
      </c>
      <c r="E8" s="314">
        <f t="shared" si="15"/>
        <v>11965599195.58</v>
      </c>
      <c r="F8" s="311">
        <f t="shared" si="7"/>
        <v>0.75200295182546439</v>
      </c>
      <c r="G8" s="314">
        <f t="shared" si="15"/>
        <v>14007338999.320999</v>
      </c>
      <c r="H8" s="312">
        <f t="shared" si="8"/>
        <v>0.88032033352749728</v>
      </c>
      <c r="I8" s="315">
        <f t="shared" si="15"/>
        <v>16422288760.272699</v>
      </c>
      <c r="J8" s="325">
        <f t="shared" si="10"/>
        <v>0.17240603379905092</v>
      </c>
      <c r="K8" s="328">
        <f t="shared" si="15"/>
        <v>0</v>
      </c>
      <c r="L8" s="327"/>
      <c r="M8" s="328">
        <f t="shared" si="15"/>
        <v>0</v>
      </c>
      <c r="N8" s="327"/>
      <c r="O8" s="328">
        <f t="shared" si="15"/>
        <v>1642228876.0272701</v>
      </c>
      <c r="P8" s="327"/>
      <c r="Q8" s="328">
        <f t="shared" si="15"/>
        <v>14780059884.24543</v>
      </c>
      <c r="R8" s="327"/>
      <c r="S8" s="315">
        <f t="shared" si="5"/>
        <v>510650160.27269936</v>
      </c>
      <c r="T8" s="305">
        <f t="shared" si="14"/>
        <v>3.2092870703630751</v>
      </c>
      <c r="U8" s="343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</row>
    <row r="9" spans="1:59" x14ac:dyDescent="0.25">
      <c r="A9" s="68" t="s">
        <v>10</v>
      </c>
      <c r="B9" s="226">
        <v>31</v>
      </c>
      <c r="C9" s="66" t="s">
        <v>11</v>
      </c>
      <c r="D9" s="316">
        <f>+D10+D11</f>
        <v>15911638600</v>
      </c>
      <c r="E9" s="316">
        <f t="shared" ref="E9:G9" si="16">+E10+E11</f>
        <v>11965599195.58</v>
      </c>
      <c r="F9" s="311">
        <f t="shared" si="7"/>
        <v>0.75200295182546439</v>
      </c>
      <c r="G9" s="316">
        <f t="shared" si="16"/>
        <v>14007338999.320999</v>
      </c>
      <c r="H9" s="312">
        <f t="shared" si="8"/>
        <v>0.88032033352749728</v>
      </c>
      <c r="I9" s="317">
        <f t="shared" ref="I9:K9" si="17">+I10+I11</f>
        <v>16422288760.272699</v>
      </c>
      <c r="J9" s="325">
        <f t="shared" si="10"/>
        <v>0.17240603379905092</v>
      </c>
      <c r="K9" s="329">
        <f t="shared" si="17"/>
        <v>0</v>
      </c>
      <c r="L9" s="327"/>
      <c r="M9" s="329">
        <f t="shared" ref="M9" si="18">+M10+M11</f>
        <v>0</v>
      </c>
      <c r="N9" s="327"/>
      <c r="O9" s="329">
        <f t="shared" ref="O9" si="19">+O10+O11</f>
        <v>1642228876.0272701</v>
      </c>
      <c r="P9" s="327"/>
      <c r="Q9" s="329">
        <f t="shared" ref="Q9" si="20">+Q10+Q11</f>
        <v>14780059884.24543</v>
      </c>
      <c r="R9" s="327"/>
      <c r="S9" s="317">
        <f t="shared" si="5"/>
        <v>510650160.27269936</v>
      </c>
      <c r="T9" s="304">
        <f t="shared" si="14"/>
        <v>3.2092870703630751</v>
      </c>
      <c r="U9" s="343"/>
    </row>
    <row r="10" spans="1:59" s="64" customFormat="1" x14ac:dyDescent="0.25">
      <c r="A10" s="69" t="s">
        <v>12</v>
      </c>
      <c r="B10" s="222"/>
      <c r="C10" s="63" t="s">
        <v>13</v>
      </c>
      <c r="D10" s="314">
        <v>14074650894</v>
      </c>
      <c r="E10" s="314">
        <v>8451798841.8299999</v>
      </c>
      <c r="F10" s="311">
        <f t="shared" si="7"/>
        <v>0.60049793813592833</v>
      </c>
      <c r="G10" s="314">
        <f>+E10*1.2</f>
        <v>10142158610.195999</v>
      </c>
      <c r="H10" s="312">
        <f t="shared" si="8"/>
        <v>0.72059752576311387</v>
      </c>
      <c r="I10" s="315">
        <f>+G10*1.2</f>
        <v>12170590332.235199</v>
      </c>
      <c r="J10" s="325">
        <f t="shared" si="10"/>
        <v>0.2</v>
      </c>
      <c r="K10" s="314"/>
      <c r="L10" s="327"/>
      <c r="M10" s="314"/>
      <c r="N10" s="327"/>
      <c r="O10" s="314">
        <f>+I10*P10</f>
        <v>1217059033.22352</v>
      </c>
      <c r="P10" s="327">
        <v>0.1</v>
      </c>
      <c r="Q10" s="314">
        <f>+I10*R10</f>
        <v>10953531299.011679</v>
      </c>
      <c r="R10" s="327">
        <v>0.9</v>
      </c>
      <c r="S10" s="315">
        <f t="shared" si="5"/>
        <v>-1904060561.764801</v>
      </c>
      <c r="T10" s="305">
        <f t="shared" si="14"/>
        <v>-13.528296908426327</v>
      </c>
      <c r="U10" s="343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</row>
    <row r="11" spans="1:59" x14ac:dyDescent="0.25">
      <c r="A11" s="70" t="s">
        <v>14</v>
      </c>
      <c r="B11" s="227"/>
      <c r="C11" s="71" t="s">
        <v>15</v>
      </c>
      <c r="D11" s="316">
        <v>1836987706</v>
      </c>
      <c r="E11" s="316">
        <v>3513800353.75</v>
      </c>
      <c r="F11" s="311">
        <f t="shared" si="7"/>
        <v>1.912805590518198</v>
      </c>
      <c r="G11" s="316">
        <f>+E11*1.1</f>
        <v>3865180389.1250005</v>
      </c>
      <c r="H11" s="312">
        <f t="shared" si="8"/>
        <v>2.1040861495700183</v>
      </c>
      <c r="I11" s="317">
        <f>+G11*1.1</f>
        <v>4251698428.0375009</v>
      </c>
      <c r="J11" s="325">
        <f t="shared" si="10"/>
        <v>0.10000000000000009</v>
      </c>
      <c r="K11" s="330"/>
      <c r="L11" s="327"/>
      <c r="M11" s="330"/>
      <c r="N11" s="327"/>
      <c r="O11" s="330">
        <f>+I11*P11</f>
        <v>425169842.8037501</v>
      </c>
      <c r="P11" s="327">
        <v>0.1</v>
      </c>
      <c r="Q11" s="330">
        <f>+I11*R11</f>
        <v>3826528585.2337508</v>
      </c>
      <c r="R11" s="327">
        <v>0.9</v>
      </c>
      <c r="S11" s="317">
        <f t="shared" si="5"/>
        <v>2414710722.0375009</v>
      </c>
      <c r="T11" s="304">
        <f t="shared" si="14"/>
        <v>131.44947645270202</v>
      </c>
      <c r="U11" s="343"/>
    </row>
    <row r="12" spans="1:59" s="64" customFormat="1" x14ac:dyDescent="0.25">
      <c r="A12" s="69" t="s">
        <v>16</v>
      </c>
      <c r="B12" s="222"/>
      <c r="C12" s="63" t="s">
        <v>17</v>
      </c>
      <c r="D12" s="314">
        <f>+D13+D27+D45+D50</f>
        <v>115298730657</v>
      </c>
      <c r="E12" s="314">
        <f t="shared" ref="E12:G12" si="21">+E13+E27+E45+E50</f>
        <v>101201336575.27</v>
      </c>
      <c r="F12" s="311">
        <f t="shared" si="7"/>
        <v>0.87773157604251462</v>
      </c>
      <c r="G12" s="314">
        <f t="shared" si="21"/>
        <v>105682638123.12267</v>
      </c>
      <c r="H12" s="312">
        <f t="shared" si="8"/>
        <v>0.91659845274026419</v>
      </c>
      <c r="I12" s="315">
        <f>+I13+I27+I45+I50</f>
        <v>124333348925.24713</v>
      </c>
      <c r="J12" s="325">
        <f t="shared" si="10"/>
        <v>0.17647847492599461</v>
      </c>
      <c r="K12" s="328">
        <f t="shared" ref="K12" si="22">+K13+K27+K45+K50</f>
        <v>11494506268.421753</v>
      </c>
      <c r="L12" s="327"/>
      <c r="M12" s="328">
        <f t="shared" ref="M12" si="23">+M13+M27+M45+M50</f>
        <v>5614497519.9055462</v>
      </c>
      <c r="N12" s="327"/>
      <c r="O12" s="328">
        <f t="shared" ref="O12" si="24">+O13+O27+O45+O50</f>
        <v>10670814969.626417</v>
      </c>
      <c r="P12" s="327"/>
      <c r="Q12" s="328">
        <f t="shared" ref="Q12" si="25">+Q13+Q27+Q45+Q50</f>
        <v>96553530167.293427</v>
      </c>
      <c r="R12" s="327"/>
      <c r="S12" s="315">
        <f t="shared" si="5"/>
        <v>9034618268.2471313</v>
      </c>
      <c r="T12" s="305">
        <f t="shared" si="14"/>
        <v>7.8358349799392215</v>
      </c>
      <c r="U12" s="343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</row>
    <row r="13" spans="1:59" x14ac:dyDescent="0.25">
      <c r="A13" s="72" t="s">
        <v>18</v>
      </c>
      <c r="B13" s="227"/>
      <c r="C13" s="66" t="s">
        <v>19</v>
      </c>
      <c r="D13" s="316">
        <f>+D14</f>
        <v>14424839860</v>
      </c>
      <c r="E13" s="316">
        <f t="shared" ref="E13:Q14" si="26">+E14</f>
        <v>13324895573.67</v>
      </c>
      <c r="F13" s="311">
        <f t="shared" si="7"/>
        <v>0.92374651663342622</v>
      </c>
      <c r="G13" s="316">
        <f t="shared" si="26"/>
        <v>14849541058.836666</v>
      </c>
      <c r="H13" s="312">
        <f t="shared" si="8"/>
        <v>1.0294423510388049</v>
      </c>
      <c r="I13" s="317">
        <f t="shared" si="26"/>
        <v>16976626273.808336</v>
      </c>
      <c r="J13" s="325">
        <f t="shared" si="10"/>
        <v>0.1432424885418182</v>
      </c>
      <c r="K13" s="329">
        <f t="shared" si="26"/>
        <v>1697662627.3808334</v>
      </c>
      <c r="L13" s="327"/>
      <c r="M13" s="329">
        <f t="shared" si="26"/>
        <v>3395325254.7616668</v>
      </c>
      <c r="N13" s="327"/>
      <c r="O13" s="329">
        <f t="shared" si="26"/>
        <v>1028180886.8204167</v>
      </c>
      <c r="P13" s="327"/>
      <c r="Q13" s="329">
        <f t="shared" si="26"/>
        <v>10855457504.845417</v>
      </c>
      <c r="R13" s="327"/>
      <c r="S13" s="317">
        <f t="shared" si="5"/>
        <v>2551786413.8083363</v>
      </c>
      <c r="T13" s="304">
        <f t="shared" si="14"/>
        <v>17.690223521194341</v>
      </c>
      <c r="U13" s="343"/>
    </row>
    <row r="14" spans="1:59" s="64" customFormat="1" ht="12.75" customHeight="1" x14ac:dyDescent="0.25">
      <c r="A14" s="63" t="s">
        <v>20</v>
      </c>
      <c r="B14" s="224"/>
      <c r="C14" s="63" t="s">
        <v>21</v>
      </c>
      <c r="D14" s="314">
        <f>+D15</f>
        <v>14424839860</v>
      </c>
      <c r="E14" s="314">
        <f t="shared" si="26"/>
        <v>13324895573.67</v>
      </c>
      <c r="F14" s="311">
        <f t="shared" si="7"/>
        <v>0.92374651663342622</v>
      </c>
      <c r="G14" s="314">
        <f t="shared" si="26"/>
        <v>14849541058.836666</v>
      </c>
      <c r="H14" s="312">
        <f t="shared" si="8"/>
        <v>1.0294423510388049</v>
      </c>
      <c r="I14" s="315">
        <f t="shared" si="26"/>
        <v>16976626273.808336</v>
      </c>
      <c r="J14" s="325">
        <f t="shared" si="10"/>
        <v>0.1432424885418182</v>
      </c>
      <c r="K14" s="328">
        <f t="shared" si="26"/>
        <v>1697662627.3808334</v>
      </c>
      <c r="L14" s="327"/>
      <c r="M14" s="328">
        <f t="shared" si="26"/>
        <v>3395325254.7616668</v>
      </c>
      <c r="N14" s="327"/>
      <c r="O14" s="328">
        <f t="shared" si="26"/>
        <v>1028180886.8204167</v>
      </c>
      <c r="P14" s="327"/>
      <c r="Q14" s="328">
        <f t="shared" si="26"/>
        <v>10855457504.845417</v>
      </c>
      <c r="R14" s="327"/>
      <c r="S14" s="315">
        <f t="shared" si="5"/>
        <v>2551786413.8083363</v>
      </c>
      <c r="T14" s="305">
        <f t="shared" si="14"/>
        <v>17.690223521194341</v>
      </c>
      <c r="U14" s="343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</row>
    <row r="15" spans="1:59" x14ac:dyDescent="0.25">
      <c r="A15" s="73" t="s">
        <v>22</v>
      </c>
      <c r="B15" s="228"/>
      <c r="C15" s="66" t="s">
        <v>23</v>
      </c>
      <c r="D15" s="316">
        <f>+D16+D23</f>
        <v>14424839860</v>
      </c>
      <c r="E15" s="316">
        <f t="shared" ref="E15:G15" si="27">+E16+E23</f>
        <v>13324895573.67</v>
      </c>
      <c r="F15" s="311">
        <f t="shared" si="7"/>
        <v>0.92374651663342622</v>
      </c>
      <c r="G15" s="316">
        <f t="shared" si="27"/>
        <v>14849541058.836666</v>
      </c>
      <c r="H15" s="312">
        <f t="shared" si="8"/>
        <v>1.0294423510388049</v>
      </c>
      <c r="I15" s="317">
        <f t="shared" ref="I15:K15" si="28">+I16+I23</f>
        <v>16976626273.808336</v>
      </c>
      <c r="J15" s="325">
        <f t="shared" si="10"/>
        <v>0.1432424885418182</v>
      </c>
      <c r="K15" s="329">
        <f t="shared" si="28"/>
        <v>1697662627.3808334</v>
      </c>
      <c r="L15" s="327"/>
      <c r="M15" s="329">
        <f t="shared" ref="M15" si="29">+M16+M23</f>
        <v>3395325254.7616668</v>
      </c>
      <c r="N15" s="327"/>
      <c r="O15" s="329">
        <f t="shared" ref="O15" si="30">+O16+O23</f>
        <v>1028180886.8204167</v>
      </c>
      <c r="P15" s="327"/>
      <c r="Q15" s="329">
        <f t="shared" ref="Q15" si="31">+Q16+Q23</f>
        <v>10855457504.845417</v>
      </c>
      <c r="R15" s="327"/>
      <c r="S15" s="317">
        <f t="shared" si="5"/>
        <v>2551786413.8083363</v>
      </c>
      <c r="T15" s="304">
        <f t="shared" si="14"/>
        <v>17.690223521194341</v>
      </c>
      <c r="U15" s="343"/>
    </row>
    <row r="16" spans="1:59" s="64" customFormat="1" x14ac:dyDescent="0.25">
      <c r="A16" s="74" t="s">
        <v>24</v>
      </c>
      <c r="B16" s="222"/>
      <c r="C16" s="63" t="s">
        <v>25</v>
      </c>
      <c r="D16" s="314">
        <f>+D17+D20</f>
        <v>14302168579</v>
      </c>
      <c r="E16" s="314">
        <f t="shared" ref="E16:G16" si="32">+E17+E20</f>
        <v>13297619103.67</v>
      </c>
      <c r="F16" s="311">
        <f t="shared" si="7"/>
        <v>0.92976243638989209</v>
      </c>
      <c r="G16" s="314">
        <f t="shared" si="32"/>
        <v>14813172432.17</v>
      </c>
      <c r="H16" s="312">
        <f t="shared" si="8"/>
        <v>1.0357291169061111</v>
      </c>
      <c r="I16" s="315">
        <f t="shared" ref="I16:K16" si="33">+I17+I20</f>
        <v>16846626273.808336</v>
      </c>
      <c r="J16" s="325">
        <f t="shared" si="10"/>
        <v>0.1372733525481856</v>
      </c>
      <c r="K16" s="328">
        <f t="shared" si="33"/>
        <v>1684662627.3808334</v>
      </c>
      <c r="L16" s="327"/>
      <c r="M16" s="328">
        <f t="shared" ref="M16" si="34">+M17+M20</f>
        <v>3369325254.7616668</v>
      </c>
      <c r="N16" s="327"/>
      <c r="O16" s="328">
        <f t="shared" ref="O16" si="35">+O17+O20</f>
        <v>1015180886.8204167</v>
      </c>
      <c r="P16" s="327"/>
      <c r="Q16" s="328">
        <f t="shared" ref="Q16" si="36">+Q17+Q20</f>
        <v>10777457504.845417</v>
      </c>
      <c r="R16" s="327"/>
      <c r="S16" s="315">
        <f t="shared" si="5"/>
        <v>2544457694.8083363</v>
      </c>
      <c r="T16" s="305">
        <f t="shared" si="14"/>
        <v>17.790712511558453</v>
      </c>
      <c r="U16" s="343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</row>
    <row r="17" spans="1:59" x14ac:dyDescent="0.25">
      <c r="A17" s="75" t="s">
        <v>26</v>
      </c>
      <c r="B17" s="227">
        <v>41</v>
      </c>
      <c r="C17" s="66" t="s">
        <v>27</v>
      </c>
      <c r="D17" s="316">
        <f>+D18+D19</f>
        <v>12075022817</v>
      </c>
      <c r="E17" s="316">
        <f t="shared" ref="E17:G17" si="37">+E18+E19</f>
        <v>10560318551.67</v>
      </c>
      <c r="F17" s="311">
        <f t="shared" si="7"/>
        <v>0.8745588900090937</v>
      </c>
      <c r="G17" s="316">
        <f t="shared" si="37"/>
        <v>11588971674.17</v>
      </c>
      <c r="H17" s="312">
        <f t="shared" si="8"/>
        <v>0.95974739342556725</v>
      </c>
      <c r="I17" s="317">
        <f t="shared" ref="I17:K17" si="38">+I18+I19</f>
        <v>13389634811.208336</v>
      </c>
      <c r="J17" s="325">
        <f t="shared" si="10"/>
        <v>0.15537730073598605</v>
      </c>
      <c r="K17" s="329">
        <f t="shared" si="38"/>
        <v>1338963481.1208334</v>
      </c>
      <c r="L17" s="327"/>
      <c r="M17" s="329">
        <f t="shared" ref="M17" si="39">+M18+M19</f>
        <v>2677926962.2416668</v>
      </c>
      <c r="N17" s="327"/>
      <c r="O17" s="329">
        <f t="shared" ref="O17" si="40">+O18+O19</f>
        <v>669481740.5604167</v>
      </c>
      <c r="P17" s="327"/>
      <c r="Q17" s="329">
        <f t="shared" ref="Q17" si="41">+Q18+Q19</f>
        <v>8703262627.2854176</v>
      </c>
      <c r="R17" s="327"/>
      <c r="S17" s="317">
        <f t="shared" si="5"/>
        <v>1314611994.2083359</v>
      </c>
      <c r="T17" s="304">
        <f t="shared" si="14"/>
        <v>10.88703528044303</v>
      </c>
      <c r="U17" s="343"/>
    </row>
    <row r="18" spans="1:59" s="64" customFormat="1" x14ac:dyDescent="0.25">
      <c r="A18" s="74" t="s">
        <v>29</v>
      </c>
      <c r="B18" s="222"/>
      <c r="C18" s="63" t="s">
        <v>30</v>
      </c>
      <c r="D18" s="314">
        <v>11224669097</v>
      </c>
      <c r="E18" s="314">
        <v>10286531225</v>
      </c>
      <c r="F18" s="311">
        <f t="shared" si="7"/>
        <v>0.91642177921746182</v>
      </c>
      <c r="G18" s="314">
        <f>+(E18/10)*11</f>
        <v>11315184347.5</v>
      </c>
      <c r="H18" s="312">
        <f t="shared" si="8"/>
        <v>1.008063957139208</v>
      </c>
      <c r="I18" s="315">
        <f>+G18*1.1</f>
        <v>12446702782.250002</v>
      </c>
      <c r="J18" s="325">
        <f t="shared" si="10"/>
        <v>0.10000000000000017</v>
      </c>
      <c r="K18" s="314">
        <f>+I18*L18</f>
        <v>1244670278.2250001</v>
      </c>
      <c r="L18" s="327">
        <v>0.1</v>
      </c>
      <c r="M18" s="314">
        <f>+I18*N18</f>
        <v>2489340556.4500003</v>
      </c>
      <c r="N18" s="327">
        <v>0.2</v>
      </c>
      <c r="O18" s="314">
        <f>+I18*P18</f>
        <v>622335139.11250007</v>
      </c>
      <c r="P18" s="327">
        <v>0.05</v>
      </c>
      <c r="Q18" s="314">
        <f>+I18*R18</f>
        <v>8090356808.4625006</v>
      </c>
      <c r="R18" s="327">
        <f>100%-L18-N18-P18</f>
        <v>0.64999999999999991</v>
      </c>
      <c r="S18" s="315">
        <f t="shared" si="5"/>
        <v>1222033685.2500019</v>
      </c>
      <c r="T18" s="305">
        <f t="shared" si="14"/>
        <v>10.887035285312891</v>
      </c>
      <c r="U18" s="343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</row>
    <row r="19" spans="1:59" x14ac:dyDescent="0.25">
      <c r="A19" s="75" t="s">
        <v>31</v>
      </c>
      <c r="B19" s="227"/>
      <c r="C19" s="66" t="s">
        <v>32</v>
      </c>
      <c r="D19" s="316">
        <v>850353720</v>
      </c>
      <c r="E19" s="316">
        <v>273787326.67000002</v>
      </c>
      <c r="F19" s="311">
        <f t="shared" si="7"/>
        <v>0.32196875280324522</v>
      </c>
      <c r="G19" s="316">
        <f>+E19</f>
        <v>273787326.67000002</v>
      </c>
      <c r="H19" s="312">
        <f t="shared" si="8"/>
        <v>0.32196875280324522</v>
      </c>
      <c r="I19" s="317">
        <f>+G18/12</f>
        <v>942932028.95833337</v>
      </c>
      <c r="J19" s="325">
        <f t="shared" si="10"/>
        <v>2.4440309579955963</v>
      </c>
      <c r="K19" s="330">
        <f>+I19*L19</f>
        <v>94293202.895833343</v>
      </c>
      <c r="L19" s="327">
        <v>0.1</v>
      </c>
      <c r="M19" s="330">
        <f>+I19*N19</f>
        <v>188586405.79166669</v>
      </c>
      <c r="N19" s="327">
        <v>0.2</v>
      </c>
      <c r="O19" s="330">
        <f>+I19*P19</f>
        <v>47146601.447916672</v>
      </c>
      <c r="P19" s="327">
        <v>0.05</v>
      </c>
      <c r="Q19" s="330">
        <f>+I19*R19</f>
        <v>612905818.82291663</v>
      </c>
      <c r="R19" s="327">
        <f>100%-L19-N19-P19</f>
        <v>0.64999999999999991</v>
      </c>
      <c r="S19" s="317">
        <f t="shared" si="5"/>
        <v>92578308.958333373</v>
      </c>
      <c r="T19" s="304">
        <f t="shared" si="14"/>
        <v>10.887035216160797</v>
      </c>
      <c r="U19" s="343"/>
    </row>
    <row r="20" spans="1:59" s="64" customFormat="1" x14ac:dyDescent="0.25">
      <c r="A20" s="74" t="s">
        <v>34</v>
      </c>
      <c r="B20" s="222">
        <v>42</v>
      </c>
      <c r="C20" s="63" t="s">
        <v>35</v>
      </c>
      <c r="D20" s="314">
        <f>+D21+D22</f>
        <v>2227145762</v>
      </c>
      <c r="E20" s="314">
        <f t="shared" ref="E20:G20" si="42">+E21+E22</f>
        <v>2737300552</v>
      </c>
      <c r="F20" s="311">
        <f t="shared" si="7"/>
        <v>1.229062147033374</v>
      </c>
      <c r="G20" s="314">
        <f t="shared" si="42"/>
        <v>3224200758</v>
      </c>
      <c r="H20" s="312">
        <f t="shared" si="8"/>
        <v>1.4476828652223617</v>
      </c>
      <c r="I20" s="315">
        <f t="shared" ref="I20:Q20" si="43">+I21+I22</f>
        <v>3456991462.6000004</v>
      </c>
      <c r="J20" s="325">
        <f t="shared" si="10"/>
        <v>7.2201057586873868E-2</v>
      </c>
      <c r="K20" s="328">
        <f t="shared" si="43"/>
        <v>345699146.26000005</v>
      </c>
      <c r="L20" s="327"/>
      <c r="M20" s="328">
        <f t="shared" si="43"/>
        <v>691398292.5200001</v>
      </c>
      <c r="N20" s="327"/>
      <c r="O20" s="328">
        <f t="shared" si="43"/>
        <v>345699146.26000005</v>
      </c>
      <c r="P20" s="327"/>
      <c r="Q20" s="328">
        <f t="shared" si="43"/>
        <v>2074194877.5600002</v>
      </c>
      <c r="R20" s="327"/>
      <c r="S20" s="315">
        <f t="shared" si="5"/>
        <v>1229845700.6000004</v>
      </c>
      <c r="T20" s="305">
        <f t="shared" si="14"/>
        <v>55.220709914181185</v>
      </c>
      <c r="U20" s="343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</row>
    <row r="21" spans="1:59" x14ac:dyDescent="0.25">
      <c r="A21" s="75" t="s">
        <v>36</v>
      </c>
      <c r="B21" s="227"/>
      <c r="C21" s="66" t="s">
        <v>37</v>
      </c>
      <c r="D21" s="316">
        <v>2070304512</v>
      </c>
      <c r="E21" s="316">
        <v>2434501030</v>
      </c>
      <c r="F21" s="311">
        <f t="shared" si="7"/>
        <v>1.1759144685668346</v>
      </c>
      <c r="G21" s="316">
        <f>+(E21/10)*12</f>
        <v>2921401236</v>
      </c>
      <c r="H21" s="312">
        <f t="shared" si="8"/>
        <v>1.4110973622802017</v>
      </c>
      <c r="I21" s="317">
        <f>+G21*1.1</f>
        <v>3213541359.6000004</v>
      </c>
      <c r="J21" s="325">
        <f t="shared" si="10"/>
        <v>0.10000000000000013</v>
      </c>
      <c r="K21" s="330">
        <f>+I21*L21</f>
        <v>321354135.96000004</v>
      </c>
      <c r="L21" s="327">
        <v>0.1</v>
      </c>
      <c r="M21" s="330">
        <f>+I21*N21</f>
        <v>642708271.92000008</v>
      </c>
      <c r="N21" s="327">
        <v>0.2</v>
      </c>
      <c r="O21" s="330">
        <f>+I21*P21</f>
        <v>321354135.96000004</v>
      </c>
      <c r="P21" s="327">
        <v>0.1</v>
      </c>
      <c r="Q21" s="330">
        <f>+I21*R21</f>
        <v>1928124815.7600002</v>
      </c>
      <c r="R21" s="327">
        <v>0.6</v>
      </c>
      <c r="S21" s="317">
        <f t="shared" si="5"/>
        <v>1143236847.6000004</v>
      </c>
      <c r="T21" s="304">
        <f t="shared" si="14"/>
        <v>55.220709850822203</v>
      </c>
      <c r="U21" s="343"/>
    </row>
    <row r="22" spans="1:59" s="64" customFormat="1" x14ac:dyDescent="0.25">
      <c r="A22" s="74" t="s">
        <v>38</v>
      </c>
      <c r="B22" s="222"/>
      <c r="C22" s="63" t="s">
        <v>39</v>
      </c>
      <c r="D22" s="314">
        <v>156841250</v>
      </c>
      <c r="E22" s="314">
        <v>302799522</v>
      </c>
      <c r="F22" s="311">
        <f t="shared" si="7"/>
        <v>1.9306115068580492</v>
      </c>
      <c r="G22" s="314">
        <f>+E22</f>
        <v>302799522</v>
      </c>
      <c r="H22" s="312">
        <f t="shared" si="8"/>
        <v>1.9306115068580492</v>
      </c>
      <c r="I22" s="315">
        <f>+G21/12</f>
        <v>243450103</v>
      </c>
      <c r="J22" s="325">
        <f t="shared" si="10"/>
        <v>-0.19600235366289648</v>
      </c>
      <c r="K22" s="314">
        <f>+I22*L22</f>
        <v>24345010.300000001</v>
      </c>
      <c r="L22" s="327">
        <v>0.1</v>
      </c>
      <c r="M22" s="314">
        <f>+I22*N22</f>
        <v>48690020.600000001</v>
      </c>
      <c r="N22" s="327">
        <v>0.2</v>
      </c>
      <c r="O22" s="314">
        <f>+I22*P22</f>
        <v>24345010.300000001</v>
      </c>
      <c r="P22" s="327">
        <v>0.1</v>
      </c>
      <c r="Q22" s="314">
        <f>+R22*I22</f>
        <v>146070061.79999998</v>
      </c>
      <c r="R22" s="327">
        <v>0.6</v>
      </c>
      <c r="S22" s="315">
        <f t="shared" si="5"/>
        <v>86608853</v>
      </c>
      <c r="T22" s="305">
        <f t="shared" si="14"/>
        <v>55.220710750520027</v>
      </c>
      <c r="U22" s="343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</row>
    <row r="23" spans="1:59" x14ac:dyDescent="0.25">
      <c r="A23" s="75" t="s">
        <v>40</v>
      </c>
      <c r="B23" s="227"/>
      <c r="C23" s="66" t="s">
        <v>41</v>
      </c>
      <c r="D23" s="316">
        <f>+D24</f>
        <v>122671281</v>
      </c>
      <c r="E23" s="316">
        <f t="shared" ref="E23:Q23" si="44">+E24</f>
        <v>27276470</v>
      </c>
      <c r="F23" s="311">
        <f t="shared" si="7"/>
        <v>0.22235416291120333</v>
      </c>
      <c r="G23" s="316">
        <f t="shared" si="44"/>
        <v>36368626.666666672</v>
      </c>
      <c r="H23" s="312">
        <f t="shared" si="8"/>
        <v>0.29647221721493777</v>
      </c>
      <c r="I23" s="317">
        <f t="shared" si="44"/>
        <v>130000000</v>
      </c>
      <c r="J23" s="325">
        <f t="shared" si="10"/>
        <v>2.5745094581520256</v>
      </c>
      <c r="K23" s="329">
        <f t="shared" si="44"/>
        <v>13000000</v>
      </c>
      <c r="L23" s="327"/>
      <c r="M23" s="329">
        <f t="shared" si="44"/>
        <v>26000000</v>
      </c>
      <c r="N23" s="327"/>
      <c r="O23" s="329">
        <f t="shared" si="44"/>
        <v>13000000</v>
      </c>
      <c r="P23" s="327"/>
      <c r="Q23" s="329">
        <f t="shared" si="44"/>
        <v>78000000</v>
      </c>
      <c r="R23" s="327"/>
      <c r="S23" s="317">
        <f t="shared" si="5"/>
        <v>7328719</v>
      </c>
      <c r="T23" s="304">
        <f t="shared" si="14"/>
        <v>5.9742744514096984</v>
      </c>
      <c r="U23" s="343"/>
    </row>
    <row r="24" spans="1:59" s="64" customFormat="1" x14ac:dyDescent="0.25">
      <c r="A24" s="74" t="s">
        <v>42</v>
      </c>
      <c r="B24" s="222">
        <v>43</v>
      </c>
      <c r="C24" s="63" t="s">
        <v>43</v>
      </c>
      <c r="D24" s="314">
        <f>+D25+D26</f>
        <v>122671281</v>
      </c>
      <c r="E24" s="314">
        <f t="shared" ref="E24:G24" si="45">+E25+E26</f>
        <v>27276470</v>
      </c>
      <c r="F24" s="311">
        <f t="shared" si="7"/>
        <v>0.22235416291120333</v>
      </c>
      <c r="G24" s="314">
        <f t="shared" si="45"/>
        <v>36368626.666666672</v>
      </c>
      <c r="H24" s="312">
        <f t="shared" si="8"/>
        <v>0.29647221721493777</v>
      </c>
      <c r="I24" s="315">
        <f t="shared" ref="I24:K24" si="46">+I25+I26</f>
        <v>130000000</v>
      </c>
      <c r="J24" s="325">
        <f t="shared" si="10"/>
        <v>2.5745094581520256</v>
      </c>
      <c r="K24" s="328">
        <f t="shared" si="46"/>
        <v>13000000</v>
      </c>
      <c r="L24" s="327"/>
      <c r="M24" s="328">
        <f t="shared" ref="M24" si="47">+M25+M26</f>
        <v>26000000</v>
      </c>
      <c r="N24" s="327"/>
      <c r="O24" s="328">
        <f t="shared" ref="O24" si="48">+O25+O26</f>
        <v>13000000</v>
      </c>
      <c r="P24" s="327"/>
      <c r="Q24" s="328">
        <f t="shared" ref="Q24" si="49">+Q25+Q26</f>
        <v>78000000</v>
      </c>
      <c r="R24" s="327"/>
      <c r="S24" s="315">
        <f t="shared" si="5"/>
        <v>7328719</v>
      </c>
      <c r="T24" s="305">
        <f t="shared" si="14"/>
        <v>5.9742744514096984</v>
      </c>
      <c r="U24" s="343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</row>
    <row r="25" spans="1:59" x14ac:dyDescent="0.25">
      <c r="A25" s="75" t="s">
        <v>44</v>
      </c>
      <c r="B25" s="227"/>
      <c r="C25" s="66" t="s">
        <v>30</v>
      </c>
      <c r="D25" s="316">
        <v>122671281</v>
      </c>
      <c r="E25" s="316">
        <v>27276470</v>
      </c>
      <c r="F25" s="311">
        <f t="shared" si="7"/>
        <v>0.22235416291120333</v>
      </c>
      <c r="G25" s="316">
        <f>+(E25/9)*12</f>
        <v>36368626.666666672</v>
      </c>
      <c r="H25" s="312">
        <f t="shared" si="8"/>
        <v>0.29647221721493777</v>
      </c>
      <c r="I25" s="317">
        <v>120000000</v>
      </c>
      <c r="J25" s="325">
        <f t="shared" si="10"/>
        <v>2.2995471921403317</v>
      </c>
      <c r="K25" s="330">
        <f>+I25*L25</f>
        <v>12000000</v>
      </c>
      <c r="L25" s="327">
        <v>0.1</v>
      </c>
      <c r="M25" s="330">
        <f>+I25*N25</f>
        <v>24000000</v>
      </c>
      <c r="N25" s="327">
        <v>0.2</v>
      </c>
      <c r="O25" s="330">
        <f>+P25*I25</f>
        <v>12000000</v>
      </c>
      <c r="P25" s="327">
        <v>0.1</v>
      </c>
      <c r="Q25" s="330">
        <f>+R25*I25</f>
        <v>72000000</v>
      </c>
      <c r="R25" s="327">
        <v>0.6</v>
      </c>
      <c r="S25" s="317">
        <f t="shared" si="5"/>
        <v>-2671281</v>
      </c>
      <c r="T25" s="304">
        <f t="shared" si="14"/>
        <v>-2.1775928140833543</v>
      </c>
      <c r="U25" s="343"/>
    </row>
    <row r="26" spans="1:59" s="64" customFormat="1" x14ac:dyDescent="0.25">
      <c r="A26" s="74" t="s">
        <v>45</v>
      </c>
      <c r="B26" s="222"/>
      <c r="C26" s="63" t="s">
        <v>32</v>
      </c>
      <c r="D26" s="314">
        <v>0</v>
      </c>
      <c r="E26" s="314">
        <v>0</v>
      </c>
      <c r="F26" s="311">
        <v>0</v>
      </c>
      <c r="G26" s="314">
        <f>+E26</f>
        <v>0</v>
      </c>
      <c r="H26" s="312">
        <v>0</v>
      </c>
      <c r="I26" s="315">
        <v>10000000</v>
      </c>
      <c r="J26" s="325">
        <v>0</v>
      </c>
      <c r="K26" s="314">
        <f>+I26*L26</f>
        <v>1000000</v>
      </c>
      <c r="L26" s="327">
        <v>0.1</v>
      </c>
      <c r="M26" s="314">
        <f>+N26*I26</f>
        <v>2000000</v>
      </c>
      <c r="N26" s="327">
        <v>0.2</v>
      </c>
      <c r="O26" s="314">
        <f>+P26*I26</f>
        <v>1000000</v>
      </c>
      <c r="P26" s="327">
        <v>0.1</v>
      </c>
      <c r="Q26" s="314">
        <f>+R26*I26</f>
        <v>6000000</v>
      </c>
      <c r="R26" s="327">
        <v>0.6</v>
      </c>
      <c r="S26" s="315">
        <f t="shared" si="5"/>
        <v>10000000</v>
      </c>
      <c r="T26" s="305">
        <v>0</v>
      </c>
      <c r="U26" s="343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</row>
    <row r="27" spans="1:59" x14ac:dyDescent="0.25">
      <c r="A27" s="75" t="s">
        <v>46</v>
      </c>
      <c r="B27" s="227"/>
      <c r="C27" s="66" t="s">
        <v>47</v>
      </c>
      <c r="D27" s="316">
        <f>+D28+D30+D33+D36+D39+D42</f>
        <v>16867132558</v>
      </c>
      <c r="E27" s="316">
        <f t="shared" ref="E27:G27" si="50">+E28+E30+E33+E36+E39+E42</f>
        <v>15515622634.6</v>
      </c>
      <c r="F27" s="311">
        <f t="shared" si="7"/>
        <v>0.91987316642276673</v>
      </c>
      <c r="G27" s="316">
        <f t="shared" si="50"/>
        <v>18374263721.685997</v>
      </c>
      <c r="H27" s="312">
        <f t="shared" si="8"/>
        <v>1.0893531344763856</v>
      </c>
      <c r="I27" s="317">
        <f>+I28+I30+I33+I36+I39+I42</f>
        <v>21836413817.5588</v>
      </c>
      <c r="J27" s="325">
        <f t="shared" si="10"/>
        <v>0.18842388181174535</v>
      </c>
      <c r="K27" s="329">
        <f t="shared" ref="K27" si="51">+K28+K30+K33+K36+K39+K42</f>
        <v>9477065690.5489197</v>
      </c>
      <c r="L27" s="327"/>
      <c r="M27" s="329">
        <f t="shared" ref="M27" si="52">+M28+M30+M33+M36+M39+M42</f>
        <v>2183641381.7558799</v>
      </c>
      <c r="N27" s="327"/>
      <c r="O27" s="329">
        <f t="shared" ref="O27" si="53">+O28+O30+O33+O36+O39+O42</f>
        <v>1130634082.806</v>
      </c>
      <c r="P27" s="327"/>
      <c r="Q27" s="329">
        <f t="shared" ref="Q27" si="54">+Q28+Q30+Q33+Q36+Q39+Q42</f>
        <v>9045072662.448</v>
      </c>
      <c r="R27" s="327"/>
      <c r="S27" s="317">
        <f t="shared" si="5"/>
        <v>4969281259.5587997</v>
      </c>
      <c r="T27" s="304">
        <f t="shared" si="14"/>
        <v>29.461328073821846</v>
      </c>
      <c r="U27" s="343"/>
    </row>
    <row r="28" spans="1:59" s="64" customFormat="1" x14ac:dyDescent="0.25">
      <c r="A28" s="74" t="s">
        <v>49</v>
      </c>
      <c r="B28" s="222">
        <v>21</v>
      </c>
      <c r="C28" s="63" t="s">
        <v>50</v>
      </c>
      <c r="D28" s="314">
        <f>+D29</f>
        <v>78564081</v>
      </c>
      <c r="E28" s="314">
        <f t="shared" ref="E28:Q28" si="55">+E29</f>
        <v>133609071.59</v>
      </c>
      <c r="F28" s="311">
        <f t="shared" si="7"/>
        <v>1.7006381273650997</v>
      </c>
      <c r="G28" s="314">
        <f t="shared" si="55"/>
        <v>160330885.90799999</v>
      </c>
      <c r="H28" s="312">
        <f t="shared" si="8"/>
        <v>2.0407657528381193</v>
      </c>
      <c r="I28" s="315">
        <f t="shared" si="55"/>
        <v>176363974.49880001</v>
      </c>
      <c r="J28" s="325">
        <f t="shared" si="10"/>
        <v>0.10000000000000012</v>
      </c>
      <c r="K28" s="328">
        <f t="shared" si="55"/>
        <v>158727577.04892001</v>
      </c>
      <c r="L28" s="327"/>
      <c r="M28" s="328">
        <f t="shared" si="55"/>
        <v>17636397.44988</v>
      </c>
      <c r="N28" s="327"/>
      <c r="O28" s="328">
        <f t="shared" si="55"/>
        <v>0</v>
      </c>
      <c r="P28" s="327"/>
      <c r="Q28" s="328">
        <f t="shared" si="55"/>
        <v>0</v>
      </c>
      <c r="R28" s="327"/>
      <c r="S28" s="315">
        <f t="shared" si="5"/>
        <v>97799893.498800009</v>
      </c>
      <c r="T28" s="305">
        <f t="shared" si="14"/>
        <v>124.48423281219317</v>
      </c>
      <c r="U28" s="343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</row>
    <row r="29" spans="1:59" x14ac:dyDescent="0.25">
      <c r="A29" s="75" t="s">
        <v>51</v>
      </c>
      <c r="B29" s="227"/>
      <c r="C29" s="66" t="s">
        <v>30</v>
      </c>
      <c r="D29" s="316">
        <v>78564081</v>
      </c>
      <c r="E29" s="316">
        <v>133609071.59</v>
      </c>
      <c r="F29" s="311">
        <f t="shared" si="7"/>
        <v>1.7006381273650997</v>
      </c>
      <c r="G29" s="316">
        <f>+(E29/10)*12</f>
        <v>160330885.90799999</v>
      </c>
      <c r="H29" s="312">
        <f t="shared" si="8"/>
        <v>2.0407657528381193</v>
      </c>
      <c r="I29" s="317">
        <f>+G29*1.1</f>
        <v>176363974.49880001</v>
      </c>
      <c r="J29" s="325">
        <f t="shared" si="10"/>
        <v>0.10000000000000012</v>
      </c>
      <c r="K29" s="330">
        <f>+I29*L29</f>
        <v>158727577.04892001</v>
      </c>
      <c r="L29" s="327">
        <v>0.9</v>
      </c>
      <c r="M29" s="330">
        <f>+N29*I29</f>
        <v>17636397.44988</v>
      </c>
      <c r="N29" s="327">
        <v>0.1</v>
      </c>
      <c r="O29" s="330"/>
      <c r="P29" s="327"/>
      <c r="Q29" s="330"/>
      <c r="R29" s="327"/>
      <c r="S29" s="317">
        <f t="shared" si="5"/>
        <v>97799893.498800009</v>
      </c>
      <c r="T29" s="304">
        <f t="shared" si="14"/>
        <v>124.48423281219317</v>
      </c>
      <c r="U29" s="343"/>
    </row>
    <row r="30" spans="1:59" s="64" customFormat="1" x14ac:dyDescent="0.25">
      <c r="A30" s="74" t="s">
        <v>52</v>
      </c>
      <c r="B30" s="222">
        <v>22</v>
      </c>
      <c r="C30" s="63" t="s">
        <v>53</v>
      </c>
      <c r="D30" s="314">
        <f>+D31+D32</f>
        <v>2793096170</v>
      </c>
      <c r="E30" s="314">
        <f t="shared" ref="E30:G30" si="56">+E31+E32</f>
        <v>5934379560.9899998</v>
      </c>
      <c r="F30" s="311">
        <f t="shared" si="7"/>
        <v>2.1246599471689511</v>
      </c>
      <c r="G30" s="314">
        <f t="shared" si="56"/>
        <v>6973643119.789999</v>
      </c>
      <c r="H30" s="312">
        <f t="shared" si="8"/>
        <v>2.4967429316227228</v>
      </c>
      <c r="I30" s="315">
        <f t="shared" ref="I30:Q30" si="57">+I31+I32</f>
        <v>2247453257</v>
      </c>
      <c r="J30" s="325">
        <f t="shared" si="10"/>
        <v>-0.67772178495597024</v>
      </c>
      <c r="K30" s="328">
        <f t="shared" si="57"/>
        <v>2022707931.3000002</v>
      </c>
      <c r="L30" s="327"/>
      <c r="M30" s="328">
        <f t="shared" si="57"/>
        <v>224745325.70000002</v>
      </c>
      <c r="N30" s="327"/>
      <c r="O30" s="328">
        <f t="shared" si="57"/>
        <v>0</v>
      </c>
      <c r="P30" s="327"/>
      <c r="Q30" s="328">
        <f t="shared" si="57"/>
        <v>0</v>
      </c>
      <c r="R30" s="327"/>
      <c r="S30" s="315">
        <f t="shared" si="5"/>
        <v>-545642913</v>
      </c>
      <c r="T30" s="306">
        <f t="shared" si="14"/>
        <v>-19.535414457283082</v>
      </c>
      <c r="U30" s="344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</row>
    <row r="31" spans="1:59" x14ac:dyDescent="0.25">
      <c r="A31" s="73" t="s">
        <v>54</v>
      </c>
      <c r="B31" s="228"/>
      <c r="C31" s="66" t="s">
        <v>55</v>
      </c>
      <c r="D31" s="316">
        <v>2129269875</v>
      </c>
      <c r="E31" s="316">
        <v>5196317794</v>
      </c>
      <c r="F31" s="311">
        <f t="shared" si="7"/>
        <v>2.4404223508774341</v>
      </c>
      <c r="G31" s="316">
        <f>+(E31/10)*12</f>
        <v>6235581352.7999992</v>
      </c>
      <c r="H31" s="312">
        <f t="shared" si="8"/>
        <v>2.9285068210529204</v>
      </c>
      <c r="I31" s="317">
        <v>1926388506</v>
      </c>
      <c r="J31" s="325">
        <f t="shared" si="10"/>
        <v>-0.69106513137945313</v>
      </c>
      <c r="K31" s="330">
        <f>+I31*L31</f>
        <v>1733749655.4000001</v>
      </c>
      <c r="L31" s="327">
        <v>0.9</v>
      </c>
      <c r="M31" s="330">
        <f>+I31*N31</f>
        <v>192638850.60000002</v>
      </c>
      <c r="N31" s="327">
        <v>0.1</v>
      </c>
      <c r="O31" s="330"/>
      <c r="P31" s="327"/>
      <c r="Q31" s="330"/>
      <c r="R31" s="327"/>
      <c r="S31" s="317">
        <f t="shared" si="5"/>
        <v>-202881369</v>
      </c>
      <c r="T31" s="307">
        <f t="shared" si="14"/>
        <v>-9.5282129983640544</v>
      </c>
      <c r="U31" s="344"/>
    </row>
    <row r="32" spans="1:59" s="64" customFormat="1" x14ac:dyDescent="0.25">
      <c r="A32" s="74" t="s">
        <v>56</v>
      </c>
      <c r="B32" s="222"/>
      <c r="C32" s="63" t="s">
        <v>39</v>
      </c>
      <c r="D32" s="314">
        <v>663826295</v>
      </c>
      <c r="E32" s="314">
        <v>738061766.99000001</v>
      </c>
      <c r="F32" s="311">
        <f t="shared" si="7"/>
        <v>1.1118296647016672</v>
      </c>
      <c r="G32" s="314">
        <f>+E32</f>
        <v>738061766.99000001</v>
      </c>
      <c r="H32" s="312">
        <f t="shared" si="8"/>
        <v>1.1118296647016672</v>
      </c>
      <c r="I32" s="315">
        <v>321064751</v>
      </c>
      <c r="J32" s="325">
        <f t="shared" si="10"/>
        <v>-0.5649893201901216</v>
      </c>
      <c r="K32" s="314">
        <f>+I32*L32</f>
        <v>288958275.90000004</v>
      </c>
      <c r="L32" s="327">
        <v>0.9</v>
      </c>
      <c r="M32" s="314">
        <f>+I32*N32</f>
        <v>32106475.100000001</v>
      </c>
      <c r="N32" s="327">
        <v>0.1</v>
      </c>
      <c r="O32" s="314"/>
      <c r="P32" s="327"/>
      <c r="Q32" s="314"/>
      <c r="R32" s="327"/>
      <c r="S32" s="315">
        <f t="shared" si="5"/>
        <v>-342761544</v>
      </c>
      <c r="T32" s="306">
        <f t="shared" si="14"/>
        <v>-51.634222172533853</v>
      </c>
      <c r="U32" s="344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</row>
    <row r="33" spans="1:59" x14ac:dyDescent="0.25">
      <c r="A33" s="75" t="s">
        <v>57</v>
      </c>
      <c r="B33" s="227">
        <v>23</v>
      </c>
      <c r="C33" s="66" t="s">
        <v>58</v>
      </c>
      <c r="D33" s="316">
        <f>+D34+D35</f>
        <v>5213166714</v>
      </c>
      <c r="E33" s="316">
        <f t="shared" ref="E33:G33" si="58">+E34+E35</f>
        <v>1617828035.02</v>
      </c>
      <c r="F33" s="311">
        <f t="shared" si="7"/>
        <v>0.31033498903369233</v>
      </c>
      <c r="G33" s="316">
        <f t="shared" si="58"/>
        <v>1885381994.188</v>
      </c>
      <c r="H33" s="312">
        <f t="shared" si="8"/>
        <v>0.36165772123204726</v>
      </c>
      <c r="I33" s="317">
        <f t="shared" ref="I33:Q33" si="59">+I34+I35</f>
        <v>8106255758</v>
      </c>
      <c r="J33" s="325">
        <f t="shared" si="10"/>
        <v>3.2995296353677221</v>
      </c>
      <c r="K33" s="329">
        <f t="shared" si="59"/>
        <v>7295630182.1999998</v>
      </c>
      <c r="L33" s="327"/>
      <c r="M33" s="329">
        <f t="shared" si="59"/>
        <v>810625575.80000007</v>
      </c>
      <c r="N33" s="327"/>
      <c r="O33" s="329">
        <f t="shared" si="59"/>
        <v>0</v>
      </c>
      <c r="P33" s="327"/>
      <c r="Q33" s="329">
        <f t="shared" si="59"/>
        <v>0</v>
      </c>
      <c r="R33" s="327"/>
      <c r="S33" s="317">
        <f t="shared" si="5"/>
        <v>2893089044</v>
      </c>
      <c r="T33" s="307">
        <f t="shared" si="14"/>
        <v>55.495809029674547</v>
      </c>
      <c r="U33" s="344"/>
    </row>
    <row r="34" spans="1:59" s="64" customFormat="1" x14ac:dyDescent="0.25">
      <c r="A34" s="74" t="s">
        <v>59</v>
      </c>
      <c r="B34" s="222"/>
      <c r="C34" s="63" t="s">
        <v>55</v>
      </c>
      <c r="D34" s="314">
        <v>5067947331</v>
      </c>
      <c r="E34" s="314">
        <v>1337769795.8399999</v>
      </c>
      <c r="F34" s="311">
        <f t="shared" si="7"/>
        <v>0.26396679137863754</v>
      </c>
      <c r="G34" s="314">
        <f>+(E34/10)*12</f>
        <v>1605323755.0079999</v>
      </c>
      <c r="H34" s="312">
        <f t="shared" si="8"/>
        <v>0.31676014965436505</v>
      </c>
      <c r="I34" s="315">
        <v>7482697623</v>
      </c>
      <c r="J34" s="325">
        <f t="shared" si="10"/>
        <v>3.6611766627490736</v>
      </c>
      <c r="K34" s="314">
        <f>+I34*L34</f>
        <v>6734427860.6999998</v>
      </c>
      <c r="L34" s="327">
        <v>0.9</v>
      </c>
      <c r="M34" s="314">
        <f>+I34*N34</f>
        <v>748269762.30000007</v>
      </c>
      <c r="N34" s="327">
        <v>0.1</v>
      </c>
      <c r="O34" s="314"/>
      <c r="P34" s="327"/>
      <c r="Q34" s="314"/>
      <c r="R34" s="327"/>
      <c r="S34" s="315">
        <f t="shared" si="5"/>
        <v>2414750292</v>
      </c>
      <c r="T34" s="306">
        <f t="shared" si="14"/>
        <v>47.64750172578303</v>
      </c>
      <c r="U34" s="344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</row>
    <row r="35" spans="1:59" x14ac:dyDescent="0.25">
      <c r="A35" s="75" t="s">
        <v>60</v>
      </c>
      <c r="B35" s="227"/>
      <c r="C35" s="66" t="s">
        <v>39</v>
      </c>
      <c r="D35" s="316">
        <v>145219383</v>
      </c>
      <c r="E35" s="316">
        <v>280058239.18000001</v>
      </c>
      <c r="F35" s="311">
        <f t="shared" si="7"/>
        <v>1.9285183106720678</v>
      </c>
      <c r="G35" s="316">
        <f>+E35</f>
        <v>280058239.18000001</v>
      </c>
      <c r="H35" s="312">
        <f t="shared" si="8"/>
        <v>1.9285183106720678</v>
      </c>
      <c r="I35" s="317">
        <v>623558135</v>
      </c>
      <c r="J35" s="325">
        <f t="shared" si="10"/>
        <v>1.2265302275189431</v>
      </c>
      <c r="K35" s="330">
        <f>+I35*L35</f>
        <v>561202321.5</v>
      </c>
      <c r="L35" s="327">
        <v>0.9</v>
      </c>
      <c r="M35" s="330">
        <f>+I35*N35</f>
        <v>62355813.5</v>
      </c>
      <c r="N35" s="327">
        <v>0.1</v>
      </c>
      <c r="O35" s="330"/>
      <c r="P35" s="327"/>
      <c r="Q35" s="330"/>
      <c r="R35" s="327"/>
      <c r="S35" s="317">
        <f t="shared" si="5"/>
        <v>478338752</v>
      </c>
      <c r="T35" s="307">
        <f t="shared" si="14"/>
        <v>329.39043130351268</v>
      </c>
      <c r="U35" s="344"/>
    </row>
    <row r="36" spans="1:59" s="64" customFormat="1" x14ac:dyDescent="0.25">
      <c r="A36" s="74" t="s">
        <v>61</v>
      </c>
      <c r="B36" s="222">
        <v>51</v>
      </c>
      <c r="C36" s="63" t="s">
        <v>62</v>
      </c>
      <c r="D36" s="314">
        <f>+D37+D38</f>
        <v>1424686900</v>
      </c>
      <c r="E36" s="314">
        <f t="shared" ref="E36:G36" si="60">+E37+E38</f>
        <v>1594782766</v>
      </c>
      <c r="F36" s="311">
        <f t="shared" si="7"/>
        <v>1.1193917526721133</v>
      </c>
      <c r="G36" s="314">
        <f t="shared" si="60"/>
        <v>1903026398.1999998</v>
      </c>
      <c r="H36" s="312">
        <f t="shared" si="8"/>
        <v>1.3357506117309002</v>
      </c>
      <c r="I36" s="315">
        <f t="shared" ref="I36:Q36" si="61">+I37+I38</f>
        <v>2278275217.3399997</v>
      </c>
      <c r="J36" s="325">
        <f t="shared" si="10"/>
        <v>0.19718529364329021</v>
      </c>
      <c r="K36" s="328">
        <f t="shared" si="61"/>
        <v>0</v>
      </c>
      <c r="L36" s="327"/>
      <c r="M36" s="328">
        <f t="shared" si="61"/>
        <v>227827521.734</v>
      </c>
      <c r="N36" s="327"/>
      <c r="O36" s="328">
        <f t="shared" si="61"/>
        <v>227827521.734</v>
      </c>
      <c r="P36" s="327"/>
      <c r="Q36" s="328">
        <f t="shared" si="61"/>
        <v>1822620173.872</v>
      </c>
      <c r="R36" s="327"/>
      <c r="S36" s="315">
        <f t="shared" si="5"/>
        <v>853588317.33999968</v>
      </c>
      <c r="T36" s="305">
        <f t="shared" si="14"/>
        <v>59.914098833926232</v>
      </c>
      <c r="U36" s="343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</row>
    <row r="37" spans="1:59" x14ac:dyDescent="0.25">
      <c r="A37" s="75" t="s">
        <v>63</v>
      </c>
      <c r="B37" s="227"/>
      <c r="C37" s="66" t="s">
        <v>55</v>
      </c>
      <c r="D37" s="316">
        <v>1323171610</v>
      </c>
      <c r="E37" s="316">
        <v>1541218161</v>
      </c>
      <c r="F37" s="311">
        <f t="shared" si="7"/>
        <v>1.1647908323849239</v>
      </c>
      <c r="G37" s="316">
        <f>+(E37/10)*12</f>
        <v>1849461793.1999998</v>
      </c>
      <c r="H37" s="312">
        <f t="shared" si="8"/>
        <v>1.3977489988619087</v>
      </c>
      <c r="I37" s="317">
        <f>+G37*1.2</f>
        <v>2219354151.8399997</v>
      </c>
      <c r="J37" s="325">
        <f t="shared" si="10"/>
        <v>0.19999999999999996</v>
      </c>
      <c r="K37" s="330"/>
      <c r="L37" s="327"/>
      <c r="M37" s="330">
        <f>+I37*N37</f>
        <v>221935415.18399999</v>
      </c>
      <c r="N37" s="327">
        <v>0.1</v>
      </c>
      <c r="O37" s="330">
        <f>+I37*P37</f>
        <v>221935415.18399999</v>
      </c>
      <c r="P37" s="327">
        <v>0.1</v>
      </c>
      <c r="Q37" s="330">
        <f>+R37*I37</f>
        <v>1775483321.4719999</v>
      </c>
      <c r="R37" s="327">
        <v>0.8</v>
      </c>
      <c r="S37" s="317">
        <f t="shared" si="5"/>
        <v>896182541.83999968</v>
      </c>
      <c r="T37" s="304">
        <f t="shared" si="14"/>
        <v>67.729879863429034</v>
      </c>
      <c r="U37" s="343"/>
    </row>
    <row r="38" spans="1:59" s="64" customFormat="1" x14ac:dyDescent="0.25">
      <c r="A38" s="74" t="s">
        <v>64</v>
      </c>
      <c r="B38" s="222"/>
      <c r="C38" s="63" t="s">
        <v>39</v>
      </c>
      <c r="D38" s="314">
        <v>101515290</v>
      </c>
      <c r="E38" s="314">
        <v>53564605</v>
      </c>
      <c r="F38" s="311">
        <f t="shared" si="7"/>
        <v>0.52765061302588012</v>
      </c>
      <c r="G38" s="314">
        <f>+E38</f>
        <v>53564605</v>
      </c>
      <c r="H38" s="312">
        <f t="shared" si="8"/>
        <v>0.52765061302588012</v>
      </c>
      <c r="I38" s="315">
        <f>+G38*1.1</f>
        <v>58921065.500000007</v>
      </c>
      <c r="J38" s="325">
        <f t="shared" si="10"/>
        <v>0.10000000000000014</v>
      </c>
      <c r="K38" s="314"/>
      <c r="L38" s="327"/>
      <c r="M38" s="314">
        <f>+I38*N38</f>
        <v>5892106.5500000007</v>
      </c>
      <c r="N38" s="327">
        <v>0.1</v>
      </c>
      <c r="O38" s="314">
        <f>+P38*I38</f>
        <v>5892106.5500000007</v>
      </c>
      <c r="P38" s="327">
        <v>0.1</v>
      </c>
      <c r="Q38" s="314">
        <f>+R38*I38</f>
        <v>47136852.400000006</v>
      </c>
      <c r="R38" s="327">
        <v>0.8</v>
      </c>
      <c r="S38" s="315">
        <f t="shared" si="5"/>
        <v>-42594224.499999993</v>
      </c>
      <c r="T38" s="305">
        <f t="shared" si="14"/>
        <v>-41.958432567153181</v>
      </c>
      <c r="U38" s="343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</row>
    <row r="39" spans="1:59" x14ac:dyDescent="0.25">
      <c r="A39" s="75" t="s">
        <v>65</v>
      </c>
      <c r="B39" s="227">
        <v>52</v>
      </c>
      <c r="C39" s="66" t="s">
        <v>66</v>
      </c>
      <c r="D39" s="316">
        <f>+D40+D41</f>
        <v>7207618693</v>
      </c>
      <c r="E39" s="316">
        <f t="shared" ref="E39:G39" si="62">+E40+E41</f>
        <v>6192382318</v>
      </c>
      <c r="F39" s="311">
        <f t="shared" si="7"/>
        <v>0.85914399495273075</v>
      </c>
      <c r="G39" s="316">
        <f t="shared" si="62"/>
        <v>7404812945.5999994</v>
      </c>
      <c r="H39" s="312">
        <f t="shared" si="8"/>
        <v>1.0273591405149545</v>
      </c>
      <c r="I39" s="317">
        <f t="shared" ref="I39:Q39" si="63">+I40+I41</f>
        <v>8872752616.7199993</v>
      </c>
      <c r="J39" s="325">
        <f t="shared" si="10"/>
        <v>0.19824129007772731</v>
      </c>
      <c r="K39" s="329">
        <f t="shared" si="63"/>
        <v>0</v>
      </c>
      <c r="L39" s="327"/>
      <c r="M39" s="329">
        <f t="shared" si="63"/>
        <v>887275261.67199993</v>
      </c>
      <c r="N39" s="327"/>
      <c r="O39" s="329">
        <f t="shared" si="63"/>
        <v>887275261.67199993</v>
      </c>
      <c r="P39" s="327"/>
      <c r="Q39" s="329">
        <f t="shared" si="63"/>
        <v>7098202093.3759995</v>
      </c>
      <c r="R39" s="327"/>
      <c r="S39" s="317">
        <f t="shared" si="5"/>
        <v>1665133923.7199993</v>
      </c>
      <c r="T39" s="304">
        <f t="shared" si="14"/>
        <v>23.102414190378411</v>
      </c>
      <c r="U39" s="343"/>
    </row>
    <row r="40" spans="1:59" s="64" customFormat="1" x14ac:dyDescent="0.25">
      <c r="A40" s="74" t="s">
        <v>67</v>
      </c>
      <c r="B40" s="222"/>
      <c r="C40" s="63" t="s">
        <v>55</v>
      </c>
      <c r="D40" s="314">
        <v>7090320866</v>
      </c>
      <c r="E40" s="314">
        <v>6062153138</v>
      </c>
      <c r="F40" s="311">
        <f t="shared" si="7"/>
        <v>0.85498995779861786</v>
      </c>
      <c r="G40" s="314">
        <f>+(E40/10)*12</f>
        <v>7274583765.5999994</v>
      </c>
      <c r="H40" s="312">
        <f t="shared" si="8"/>
        <v>1.0259879493583415</v>
      </c>
      <c r="I40" s="315">
        <f>+G40*1.2</f>
        <v>8729500518.7199993</v>
      </c>
      <c r="J40" s="325">
        <f t="shared" si="10"/>
        <v>0.2</v>
      </c>
      <c r="K40" s="314"/>
      <c r="L40" s="327"/>
      <c r="M40" s="314">
        <f>+N40*I40</f>
        <v>872950051.87199998</v>
      </c>
      <c r="N40" s="327">
        <v>0.1</v>
      </c>
      <c r="O40" s="314">
        <f>+P40*I40</f>
        <v>872950051.87199998</v>
      </c>
      <c r="P40" s="327">
        <v>0.1</v>
      </c>
      <c r="Q40" s="314">
        <f>+R40*I40</f>
        <v>6983600414.9759998</v>
      </c>
      <c r="R40" s="327">
        <v>0.8</v>
      </c>
      <c r="S40" s="315">
        <f t="shared" si="5"/>
        <v>1639179652.7199993</v>
      </c>
      <c r="T40" s="305">
        <f t="shared" si="14"/>
        <v>23.118553923000974</v>
      </c>
      <c r="U40" s="343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</row>
    <row r="41" spans="1:59" x14ac:dyDescent="0.25">
      <c r="A41" s="73" t="s">
        <v>68</v>
      </c>
      <c r="B41" s="228"/>
      <c r="C41" s="66" t="s">
        <v>39</v>
      </c>
      <c r="D41" s="316">
        <v>117297827</v>
      </c>
      <c r="E41" s="316">
        <v>130229180</v>
      </c>
      <c r="F41" s="311">
        <f t="shared" si="7"/>
        <v>1.1102437558370113</v>
      </c>
      <c r="G41" s="316">
        <f>+E41</f>
        <v>130229180</v>
      </c>
      <c r="H41" s="312">
        <f t="shared" si="8"/>
        <v>1.1102437558370113</v>
      </c>
      <c r="I41" s="317">
        <f>+G41*1.1</f>
        <v>143252098</v>
      </c>
      <c r="J41" s="325">
        <f t="shared" si="10"/>
        <v>0.1</v>
      </c>
      <c r="K41" s="330"/>
      <c r="L41" s="327"/>
      <c r="M41" s="330">
        <f>+N41*I41</f>
        <v>14325209.800000001</v>
      </c>
      <c r="N41" s="327">
        <v>0.1</v>
      </c>
      <c r="O41" s="330">
        <f>+P41*I41</f>
        <v>14325209.800000001</v>
      </c>
      <c r="P41" s="327">
        <v>0.1</v>
      </c>
      <c r="Q41" s="330">
        <f>+R41*I41</f>
        <v>114601678.40000001</v>
      </c>
      <c r="R41" s="327">
        <v>0.8</v>
      </c>
      <c r="S41" s="317">
        <f t="shared" si="5"/>
        <v>25954271</v>
      </c>
      <c r="T41" s="304">
        <f t="shared" si="14"/>
        <v>22.126813142071256</v>
      </c>
      <c r="U41" s="343"/>
    </row>
    <row r="42" spans="1:59" s="64" customFormat="1" x14ac:dyDescent="0.25">
      <c r="A42" s="74" t="s">
        <v>69</v>
      </c>
      <c r="B42" s="222">
        <v>53</v>
      </c>
      <c r="C42" s="63" t="s">
        <v>70</v>
      </c>
      <c r="D42" s="314">
        <f>+D43+D44</f>
        <v>150000000</v>
      </c>
      <c r="E42" s="314">
        <f t="shared" ref="E42:G42" si="64">+E43+E44</f>
        <v>42640883</v>
      </c>
      <c r="F42" s="311">
        <f t="shared" si="7"/>
        <v>0.28427255333333334</v>
      </c>
      <c r="G42" s="314">
        <f t="shared" si="64"/>
        <v>47068378</v>
      </c>
      <c r="H42" s="312">
        <f t="shared" si="8"/>
        <v>0.31378918666666666</v>
      </c>
      <c r="I42" s="315">
        <f t="shared" ref="I42:Q42" si="65">+I43+I44</f>
        <v>155312994</v>
      </c>
      <c r="J42" s="325">
        <f t="shared" si="10"/>
        <v>2.299731169831261</v>
      </c>
      <c r="K42" s="328">
        <f t="shared" si="65"/>
        <v>0</v>
      </c>
      <c r="L42" s="327"/>
      <c r="M42" s="328">
        <f t="shared" si="65"/>
        <v>15531299.4</v>
      </c>
      <c r="N42" s="327"/>
      <c r="O42" s="328">
        <f t="shared" si="65"/>
        <v>15531299.4</v>
      </c>
      <c r="P42" s="327"/>
      <c r="Q42" s="328">
        <f t="shared" si="65"/>
        <v>124250395.2</v>
      </c>
      <c r="R42" s="327"/>
      <c r="S42" s="315">
        <f t="shared" si="5"/>
        <v>5312994</v>
      </c>
      <c r="T42" s="305">
        <f t="shared" si="14"/>
        <v>3.5419959999999975</v>
      </c>
      <c r="U42" s="343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</row>
    <row r="43" spans="1:59" x14ac:dyDescent="0.25">
      <c r="A43" s="75" t="s">
        <v>71</v>
      </c>
      <c r="B43" s="227"/>
      <c r="C43" s="66" t="s">
        <v>13</v>
      </c>
      <c r="D43" s="316">
        <v>150000000</v>
      </c>
      <c r="E43" s="316">
        <v>22137475</v>
      </c>
      <c r="F43" s="311">
        <f t="shared" si="7"/>
        <v>0.14758316666666665</v>
      </c>
      <c r="G43" s="316">
        <f>+E43*1.2</f>
        <v>26564970</v>
      </c>
      <c r="H43" s="312">
        <f t="shared" si="8"/>
        <v>0.1770998</v>
      </c>
      <c r="I43" s="317">
        <v>150000000</v>
      </c>
      <c r="J43" s="325">
        <f t="shared" si="10"/>
        <v>4.6465337623193248</v>
      </c>
      <c r="K43" s="330"/>
      <c r="L43" s="327"/>
      <c r="M43" s="330">
        <f>+I43*N43</f>
        <v>15000000</v>
      </c>
      <c r="N43" s="327">
        <v>0.1</v>
      </c>
      <c r="O43" s="330">
        <f>+I43*P43</f>
        <v>15000000</v>
      </c>
      <c r="P43" s="327">
        <v>0.1</v>
      </c>
      <c r="Q43" s="330">
        <f>+I43*R43</f>
        <v>120000000</v>
      </c>
      <c r="R43" s="327">
        <v>0.8</v>
      </c>
      <c r="S43" s="317">
        <f t="shared" si="5"/>
        <v>0</v>
      </c>
      <c r="T43" s="304">
        <f t="shared" si="14"/>
        <v>0</v>
      </c>
      <c r="U43" s="343"/>
    </row>
    <row r="44" spans="1:59" s="64" customFormat="1" x14ac:dyDescent="0.25">
      <c r="A44" s="74" t="s">
        <v>72</v>
      </c>
      <c r="B44" s="222"/>
      <c r="C44" s="63" t="s">
        <v>15</v>
      </c>
      <c r="D44" s="314">
        <v>0</v>
      </c>
      <c r="E44" s="314">
        <v>20503408</v>
      </c>
      <c r="F44" s="311">
        <v>0</v>
      </c>
      <c r="G44" s="314">
        <f>+E44</f>
        <v>20503408</v>
      </c>
      <c r="H44" s="312">
        <v>0</v>
      </c>
      <c r="I44" s="315">
        <f>+G43*0.2</f>
        <v>5312994</v>
      </c>
      <c r="J44" s="325">
        <f t="shared" si="10"/>
        <v>-0.74087263931927805</v>
      </c>
      <c r="K44" s="314"/>
      <c r="L44" s="327"/>
      <c r="M44" s="314">
        <f>+I44*N44</f>
        <v>531299.4</v>
      </c>
      <c r="N44" s="327">
        <v>0.1</v>
      </c>
      <c r="O44" s="314">
        <f>+I44*P44</f>
        <v>531299.4</v>
      </c>
      <c r="P44" s="327">
        <v>0.1</v>
      </c>
      <c r="Q44" s="314">
        <f>+I44*R44</f>
        <v>4250395.2</v>
      </c>
      <c r="R44" s="327">
        <v>0.8</v>
      </c>
      <c r="S44" s="315">
        <f t="shared" si="5"/>
        <v>5312994</v>
      </c>
      <c r="T44" s="305">
        <v>0</v>
      </c>
      <c r="U44" s="343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</row>
    <row r="45" spans="1:59" x14ac:dyDescent="0.25">
      <c r="A45" s="75" t="s">
        <v>73</v>
      </c>
      <c r="B45" s="227"/>
      <c r="C45" s="66" t="s">
        <v>74</v>
      </c>
      <c r="D45" s="316">
        <f>+D46</f>
        <v>26758239</v>
      </c>
      <c r="E45" s="316">
        <f t="shared" ref="E45:Q46" si="66">+E46</f>
        <v>446891666</v>
      </c>
      <c r="F45" s="311">
        <f t="shared" si="7"/>
        <v>16.701086570009334</v>
      </c>
      <c r="G45" s="316">
        <f t="shared" si="66"/>
        <v>459906641.60000002</v>
      </c>
      <c r="H45" s="312">
        <f t="shared" si="8"/>
        <v>17.187477905403266</v>
      </c>
      <c r="I45" s="317">
        <f t="shared" si="66"/>
        <v>355308833.88000011</v>
      </c>
      <c r="J45" s="325">
        <f t="shared" si="10"/>
        <v>-0.22743269667971655</v>
      </c>
      <c r="K45" s="329">
        <f t="shared" si="66"/>
        <v>319777950.4920001</v>
      </c>
      <c r="L45" s="327"/>
      <c r="M45" s="329">
        <f t="shared" si="66"/>
        <v>35530883.388000011</v>
      </c>
      <c r="N45" s="327"/>
      <c r="O45" s="329">
        <f t="shared" si="66"/>
        <v>0</v>
      </c>
      <c r="P45" s="327"/>
      <c r="Q45" s="329">
        <f t="shared" si="66"/>
        <v>0</v>
      </c>
      <c r="R45" s="327"/>
      <c r="S45" s="317">
        <f t="shared" si="5"/>
        <v>328550594.88000011</v>
      </c>
      <c r="T45" s="304">
        <f t="shared" si="14"/>
        <v>1227.8483456254357</v>
      </c>
      <c r="U45" s="343"/>
    </row>
    <row r="46" spans="1:59" s="64" customFormat="1" x14ac:dyDescent="0.25">
      <c r="A46" s="74" t="s">
        <v>75</v>
      </c>
      <c r="B46" s="222"/>
      <c r="C46" s="63" t="s">
        <v>76</v>
      </c>
      <c r="D46" s="314">
        <f>+D47</f>
        <v>26758239</v>
      </c>
      <c r="E46" s="314">
        <f t="shared" si="66"/>
        <v>446891666</v>
      </c>
      <c r="F46" s="311">
        <f t="shared" si="7"/>
        <v>16.701086570009334</v>
      </c>
      <c r="G46" s="314">
        <f t="shared" si="66"/>
        <v>459906641.60000002</v>
      </c>
      <c r="H46" s="312">
        <f t="shared" si="8"/>
        <v>17.187477905403266</v>
      </c>
      <c r="I46" s="315">
        <f t="shared" si="66"/>
        <v>355308833.88000011</v>
      </c>
      <c r="J46" s="325">
        <f t="shared" si="10"/>
        <v>-0.22743269667971655</v>
      </c>
      <c r="K46" s="328">
        <f t="shared" si="66"/>
        <v>319777950.4920001</v>
      </c>
      <c r="L46" s="327"/>
      <c r="M46" s="328">
        <f t="shared" si="66"/>
        <v>35530883.388000011</v>
      </c>
      <c r="N46" s="327"/>
      <c r="O46" s="328">
        <f t="shared" si="66"/>
        <v>0</v>
      </c>
      <c r="P46" s="327"/>
      <c r="Q46" s="328">
        <f t="shared" si="66"/>
        <v>0</v>
      </c>
      <c r="R46" s="327"/>
      <c r="S46" s="315">
        <f t="shared" si="5"/>
        <v>328550594.88000011</v>
      </c>
      <c r="T46" s="305">
        <f t="shared" si="14"/>
        <v>1227.8483456254357</v>
      </c>
      <c r="U46" s="343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62"/>
    </row>
    <row r="47" spans="1:59" x14ac:dyDescent="0.25">
      <c r="A47" s="75" t="s">
        <v>77</v>
      </c>
      <c r="B47" s="227">
        <v>24</v>
      </c>
      <c r="C47" s="66" t="s">
        <v>78</v>
      </c>
      <c r="D47" s="316">
        <f>+D48+D49</f>
        <v>26758239</v>
      </c>
      <c r="E47" s="316">
        <f t="shared" ref="E47:G47" si="67">+E48+E49</f>
        <v>446891666</v>
      </c>
      <c r="F47" s="311">
        <f t="shared" si="7"/>
        <v>16.701086570009334</v>
      </c>
      <c r="G47" s="316">
        <f t="shared" si="67"/>
        <v>459906641.60000002</v>
      </c>
      <c r="H47" s="312">
        <f t="shared" si="8"/>
        <v>17.187477905403266</v>
      </c>
      <c r="I47" s="317">
        <f t="shared" ref="I47:K47" si="68">+I48+I49</f>
        <v>355308833.88000011</v>
      </c>
      <c r="J47" s="325">
        <f t="shared" si="10"/>
        <v>-0.22743269667971655</v>
      </c>
      <c r="K47" s="329">
        <f t="shared" si="68"/>
        <v>319777950.4920001</v>
      </c>
      <c r="L47" s="327"/>
      <c r="M47" s="329">
        <f t="shared" ref="M47" si="69">+M48+M49</f>
        <v>35530883.388000011</v>
      </c>
      <c r="N47" s="327"/>
      <c r="O47" s="329">
        <f t="shared" ref="O47" si="70">+O48+O49</f>
        <v>0</v>
      </c>
      <c r="P47" s="327"/>
      <c r="Q47" s="329">
        <f t="shared" ref="Q47" si="71">+Q48+Q49</f>
        <v>0</v>
      </c>
      <c r="R47" s="327"/>
      <c r="S47" s="317">
        <f t="shared" si="5"/>
        <v>328550594.88000011</v>
      </c>
      <c r="T47" s="304">
        <f t="shared" si="14"/>
        <v>1227.8483456254357</v>
      </c>
      <c r="U47" s="343"/>
    </row>
    <row r="48" spans="1:59" s="64" customFormat="1" x14ac:dyDescent="0.25">
      <c r="A48" s="74" t="s">
        <v>79</v>
      </c>
      <c r="B48" s="222"/>
      <c r="C48" s="63" t="s">
        <v>30</v>
      </c>
      <c r="D48" s="314">
        <v>22641587</v>
      </c>
      <c r="E48" s="314">
        <v>260299512</v>
      </c>
      <c r="F48" s="311">
        <f t="shared" si="7"/>
        <v>11.496522394830363</v>
      </c>
      <c r="G48" s="314">
        <f>+E48*1.05</f>
        <v>273314487.60000002</v>
      </c>
      <c r="H48" s="312">
        <f t="shared" si="8"/>
        <v>12.071348514571882</v>
      </c>
      <c r="I48" s="315">
        <f>+G48*1.1</f>
        <v>300645936.36000007</v>
      </c>
      <c r="J48" s="325">
        <f t="shared" si="10"/>
        <v>0.10000000000000017</v>
      </c>
      <c r="K48" s="314">
        <f>+I48*L48</f>
        <v>270581342.7240001</v>
      </c>
      <c r="L48" s="327">
        <v>0.9</v>
      </c>
      <c r="M48" s="314">
        <f>+I48*N48</f>
        <v>30064593.636000007</v>
      </c>
      <c r="N48" s="327">
        <v>0.1</v>
      </c>
      <c r="O48" s="314"/>
      <c r="P48" s="327"/>
      <c r="Q48" s="314"/>
      <c r="R48" s="327"/>
      <c r="S48" s="315">
        <f t="shared" si="5"/>
        <v>278004349.36000007</v>
      </c>
      <c r="T48" s="305">
        <f t="shared" si="14"/>
        <v>1227.8483366029072</v>
      </c>
      <c r="U48" s="343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62"/>
    </row>
    <row r="49" spans="1:59" ht="11.25" customHeight="1" x14ac:dyDescent="0.25">
      <c r="A49" s="75" t="s">
        <v>80</v>
      </c>
      <c r="B49" s="227"/>
      <c r="C49" s="66" t="s">
        <v>32</v>
      </c>
      <c r="D49" s="316">
        <v>4116652</v>
      </c>
      <c r="E49" s="316">
        <v>186592154</v>
      </c>
      <c r="F49" s="311">
        <f t="shared" si="7"/>
        <v>45.326190797764788</v>
      </c>
      <c r="G49" s="316">
        <f>+E49</f>
        <v>186592154</v>
      </c>
      <c r="H49" s="312">
        <f t="shared" si="8"/>
        <v>45.326190797764788</v>
      </c>
      <c r="I49" s="317">
        <f>+G48*0.2</f>
        <v>54662897.520000011</v>
      </c>
      <c r="J49" s="325">
        <f t="shared" si="10"/>
        <v>-0.70704610913061217</v>
      </c>
      <c r="K49" s="330">
        <f>+I49*L49</f>
        <v>49196607.768000014</v>
      </c>
      <c r="L49" s="327">
        <v>0.9</v>
      </c>
      <c r="M49" s="330">
        <f>+I49*N49</f>
        <v>5466289.7520000013</v>
      </c>
      <c r="N49" s="327">
        <v>0.1</v>
      </c>
      <c r="O49" s="330"/>
      <c r="P49" s="327"/>
      <c r="Q49" s="330"/>
      <c r="R49" s="327"/>
      <c r="S49" s="317">
        <f t="shared" si="5"/>
        <v>50546245.520000011</v>
      </c>
      <c r="T49" s="304">
        <f t="shared" si="14"/>
        <v>1227.8483952493436</v>
      </c>
      <c r="U49" s="343"/>
    </row>
    <row r="50" spans="1:59" s="64" customFormat="1" ht="13.5" customHeight="1" x14ac:dyDescent="0.25">
      <c r="A50" s="74"/>
      <c r="B50" s="222"/>
      <c r="C50" s="63" t="s">
        <v>81</v>
      </c>
      <c r="D50" s="314">
        <f>+D51+D56</f>
        <v>83980000000</v>
      </c>
      <c r="E50" s="314">
        <f t="shared" ref="E50:G50" si="72">+E51+E56</f>
        <v>71913926701</v>
      </c>
      <c r="F50" s="311">
        <f t="shared" si="7"/>
        <v>0.85632206121695642</v>
      </c>
      <c r="G50" s="314">
        <f t="shared" si="72"/>
        <v>71998926701</v>
      </c>
      <c r="H50" s="312">
        <f t="shared" si="8"/>
        <v>0.85733420696594431</v>
      </c>
      <c r="I50" s="315">
        <f t="shared" ref="I50:K50" si="73">+I51+I56</f>
        <v>85165000000</v>
      </c>
      <c r="J50" s="325">
        <f t="shared" si="10"/>
        <v>0.18286485510647391</v>
      </c>
      <c r="K50" s="328">
        <f t="shared" si="73"/>
        <v>0</v>
      </c>
      <c r="L50" s="327"/>
      <c r="M50" s="328">
        <f t="shared" ref="M50" si="74">+M51+M56</f>
        <v>0</v>
      </c>
      <c r="N50" s="327"/>
      <c r="O50" s="328">
        <f t="shared" ref="O50" si="75">+O51+O56</f>
        <v>8512000000</v>
      </c>
      <c r="P50" s="327"/>
      <c r="Q50" s="328">
        <f t="shared" ref="Q50" si="76">+Q51+Q56</f>
        <v>76653000000</v>
      </c>
      <c r="R50" s="327"/>
      <c r="S50" s="315">
        <f t="shared" si="5"/>
        <v>1185000000</v>
      </c>
      <c r="T50" s="305">
        <f t="shared" si="14"/>
        <v>1.4110502500595459</v>
      </c>
      <c r="U50" s="343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62"/>
      <c r="BG50" s="62"/>
    </row>
    <row r="51" spans="1:59" ht="13.5" customHeight="1" x14ac:dyDescent="0.25">
      <c r="A51" s="75"/>
      <c r="B51" s="227"/>
      <c r="C51" s="66" t="s">
        <v>120</v>
      </c>
      <c r="D51" s="316">
        <f>+D52</f>
        <v>83817000000</v>
      </c>
      <c r="E51" s="316">
        <f t="shared" ref="E51:Q52" si="77">+E52</f>
        <v>71835926701</v>
      </c>
      <c r="F51" s="311">
        <f t="shared" si="7"/>
        <v>0.85705676295978139</v>
      </c>
      <c r="G51" s="316">
        <f t="shared" si="77"/>
        <v>71835926701</v>
      </c>
      <c r="H51" s="312">
        <f t="shared" si="8"/>
        <v>0.85705676295978139</v>
      </c>
      <c r="I51" s="317">
        <f t="shared" si="77"/>
        <v>85120000000</v>
      </c>
      <c r="J51" s="325">
        <f t="shared" si="10"/>
        <v>0.1849224184758109</v>
      </c>
      <c r="K51" s="329">
        <f t="shared" si="77"/>
        <v>0</v>
      </c>
      <c r="L51" s="327"/>
      <c r="M51" s="329">
        <f t="shared" si="77"/>
        <v>0</v>
      </c>
      <c r="N51" s="327"/>
      <c r="O51" s="329">
        <f t="shared" si="77"/>
        <v>8512000000</v>
      </c>
      <c r="P51" s="327"/>
      <c r="Q51" s="329">
        <f t="shared" si="77"/>
        <v>76608000000</v>
      </c>
      <c r="R51" s="327"/>
      <c r="S51" s="317">
        <f t="shared" si="5"/>
        <v>1303000000</v>
      </c>
      <c r="T51" s="304">
        <f t="shared" si="14"/>
        <v>1.5545772337354009</v>
      </c>
      <c r="U51" s="343"/>
    </row>
    <row r="52" spans="1:59" s="64" customFormat="1" ht="13.5" customHeight="1" x14ac:dyDescent="0.25">
      <c r="A52" s="74"/>
      <c r="B52" s="222"/>
      <c r="C52" s="63" t="s">
        <v>83</v>
      </c>
      <c r="D52" s="314">
        <f>+D53</f>
        <v>83817000000</v>
      </c>
      <c r="E52" s="314">
        <f t="shared" si="77"/>
        <v>71835926701</v>
      </c>
      <c r="F52" s="311">
        <f t="shared" si="7"/>
        <v>0.85705676295978139</v>
      </c>
      <c r="G52" s="314">
        <f t="shared" si="77"/>
        <v>71835926701</v>
      </c>
      <c r="H52" s="312">
        <f t="shared" si="8"/>
        <v>0.85705676295978139</v>
      </c>
      <c r="I52" s="315">
        <f t="shared" si="77"/>
        <v>85120000000</v>
      </c>
      <c r="J52" s="325">
        <f t="shared" si="10"/>
        <v>0.1849224184758109</v>
      </c>
      <c r="K52" s="328">
        <f t="shared" si="77"/>
        <v>0</v>
      </c>
      <c r="L52" s="327"/>
      <c r="M52" s="328">
        <f t="shared" si="77"/>
        <v>0</v>
      </c>
      <c r="N52" s="327"/>
      <c r="O52" s="328">
        <f t="shared" si="77"/>
        <v>8512000000</v>
      </c>
      <c r="P52" s="327"/>
      <c r="Q52" s="328">
        <f t="shared" si="77"/>
        <v>76608000000</v>
      </c>
      <c r="R52" s="327"/>
      <c r="S52" s="315">
        <f t="shared" si="5"/>
        <v>1303000000</v>
      </c>
      <c r="T52" s="305">
        <f t="shared" si="14"/>
        <v>1.5545772337354009</v>
      </c>
      <c r="U52" s="343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</row>
    <row r="53" spans="1:59" ht="13.5" customHeight="1" x14ac:dyDescent="0.25">
      <c r="A53" s="75"/>
      <c r="B53" s="227">
        <v>61</v>
      </c>
      <c r="C53" s="66" t="s">
        <v>84</v>
      </c>
      <c r="D53" s="316">
        <f>+D54+D55</f>
        <v>83817000000</v>
      </c>
      <c r="E53" s="316">
        <f t="shared" ref="E53:G53" si="78">+E54+E55</f>
        <v>71835926701</v>
      </c>
      <c r="F53" s="311">
        <f t="shared" si="7"/>
        <v>0.85705676295978139</v>
      </c>
      <c r="G53" s="316">
        <f t="shared" si="78"/>
        <v>71835926701</v>
      </c>
      <c r="H53" s="312">
        <f t="shared" si="8"/>
        <v>0.85705676295978139</v>
      </c>
      <c r="I53" s="318">
        <f>+I54+I55</f>
        <v>85120000000</v>
      </c>
      <c r="J53" s="325">
        <f t="shared" si="10"/>
        <v>0.1849224184758109</v>
      </c>
      <c r="K53" s="331">
        <f>+K54+K55</f>
        <v>0</v>
      </c>
      <c r="L53" s="327"/>
      <c r="M53" s="331">
        <f>+M54+M55</f>
        <v>0</v>
      </c>
      <c r="N53" s="327"/>
      <c r="O53" s="331">
        <f>+O54+O55</f>
        <v>8512000000</v>
      </c>
      <c r="P53" s="327"/>
      <c r="Q53" s="331">
        <f>+Q54+Q55</f>
        <v>76608000000</v>
      </c>
      <c r="R53" s="327"/>
      <c r="S53" s="318">
        <f t="shared" si="5"/>
        <v>1303000000</v>
      </c>
      <c r="T53" s="304">
        <f t="shared" si="14"/>
        <v>1.5545772337354009</v>
      </c>
      <c r="U53" s="343"/>
    </row>
    <row r="54" spans="1:59" s="64" customFormat="1" ht="13.5" customHeight="1" x14ac:dyDescent="0.25">
      <c r="A54" s="74"/>
      <c r="B54" s="222"/>
      <c r="C54" s="63" t="s">
        <v>30</v>
      </c>
      <c r="D54" s="314">
        <v>75617000000</v>
      </c>
      <c r="E54" s="314">
        <v>65287736422</v>
      </c>
      <c r="F54" s="311">
        <f t="shared" si="7"/>
        <v>0.86340024626737377</v>
      </c>
      <c r="G54" s="314">
        <f>+E54</f>
        <v>65287736422</v>
      </c>
      <c r="H54" s="312">
        <f t="shared" si="8"/>
        <v>0.86340024626737377</v>
      </c>
      <c r="I54" s="315">
        <v>78120000000</v>
      </c>
      <c r="J54" s="325">
        <f t="shared" si="10"/>
        <v>0.19654937176954895</v>
      </c>
      <c r="K54" s="314"/>
      <c r="L54" s="327"/>
      <c r="M54" s="314"/>
      <c r="N54" s="327"/>
      <c r="O54" s="314">
        <f>+I54*P54</f>
        <v>7812000000</v>
      </c>
      <c r="P54" s="327">
        <v>0.1</v>
      </c>
      <c r="Q54" s="314">
        <f>+I54*R54</f>
        <v>70308000000</v>
      </c>
      <c r="R54" s="327">
        <v>0.9</v>
      </c>
      <c r="S54" s="315">
        <f t="shared" si="5"/>
        <v>2503000000</v>
      </c>
      <c r="T54" s="305">
        <f t="shared" si="14"/>
        <v>3.3101022256899881</v>
      </c>
      <c r="U54" s="343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</row>
    <row r="55" spans="1:59" ht="13.5" customHeight="1" x14ac:dyDescent="0.25">
      <c r="A55" s="75"/>
      <c r="B55" s="227"/>
      <c r="C55" s="66" t="s">
        <v>32</v>
      </c>
      <c r="D55" s="316">
        <v>8200000000</v>
      </c>
      <c r="E55" s="316">
        <v>6548190279</v>
      </c>
      <c r="F55" s="311">
        <f t="shared" si="7"/>
        <v>0.79855979012195122</v>
      </c>
      <c r="G55" s="316">
        <f>+E55</f>
        <v>6548190279</v>
      </c>
      <c r="H55" s="312">
        <f t="shared" si="8"/>
        <v>0.79855979012195122</v>
      </c>
      <c r="I55" s="318">
        <v>7000000000</v>
      </c>
      <c r="J55" s="325">
        <f t="shared" si="10"/>
        <v>6.8997646945133925E-2</v>
      </c>
      <c r="K55" s="330"/>
      <c r="L55" s="327"/>
      <c r="M55" s="330"/>
      <c r="N55" s="327"/>
      <c r="O55" s="330">
        <f>+I55*P55</f>
        <v>700000000</v>
      </c>
      <c r="P55" s="327">
        <v>0.1</v>
      </c>
      <c r="Q55" s="330">
        <f>+I55*R55</f>
        <v>6300000000</v>
      </c>
      <c r="R55" s="327">
        <v>0.9</v>
      </c>
      <c r="S55" s="318">
        <f t="shared" si="5"/>
        <v>-1200000000</v>
      </c>
      <c r="T55" s="304">
        <f t="shared" si="14"/>
        <v>-14.634146341463421</v>
      </c>
      <c r="U55" s="343"/>
    </row>
    <row r="56" spans="1:59" s="64" customFormat="1" ht="13.5" customHeight="1" x14ac:dyDescent="0.25">
      <c r="A56" s="74"/>
      <c r="B56" s="222"/>
      <c r="C56" s="63" t="s">
        <v>121</v>
      </c>
      <c r="D56" s="314">
        <f>+D57</f>
        <v>163000000</v>
      </c>
      <c r="E56" s="314">
        <f t="shared" ref="E56:Q56" si="79">+E57</f>
        <v>78000000</v>
      </c>
      <c r="F56" s="311">
        <f t="shared" si="7"/>
        <v>0.4785276073619632</v>
      </c>
      <c r="G56" s="314">
        <f t="shared" si="79"/>
        <v>163000000</v>
      </c>
      <c r="H56" s="312">
        <f t="shared" si="8"/>
        <v>1</v>
      </c>
      <c r="I56" s="315">
        <f t="shared" si="79"/>
        <v>45000000</v>
      </c>
      <c r="J56" s="325">
        <f t="shared" si="10"/>
        <v>-0.7239263803680982</v>
      </c>
      <c r="K56" s="328">
        <f t="shared" si="79"/>
        <v>0</v>
      </c>
      <c r="L56" s="327"/>
      <c r="M56" s="328">
        <f t="shared" si="79"/>
        <v>0</v>
      </c>
      <c r="N56" s="327"/>
      <c r="O56" s="328">
        <f t="shared" si="79"/>
        <v>0</v>
      </c>
      <c r="P56" s="327"/>
      <c r="Q56" s="328">
        <f t="shared" si="79"/>
        <v>45000000</v>
      </c>
      <c r="R56" s="327"/>
      <c r="S56" s="315">
        <f t="shared" si="5"/>
        <v>-118000000</v>
      </c>
      <c r="T56" s="305">
        <f t="shared" si="14"/>
        <v>-72.392638036809814</v>
      </c>
      <c r="U56" s="343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2"/>
      <c r="BE56" s="62"/>
      <c r="BF56" s="62"/>
      <c r="BG56" s="62"/>
    </row>
    <row r="57" spans="1:59" ht="13.5" customHeight="1" x14ac:dyDescent="0.25">
      <c r="A57" s="75"/>
      <c r="B57" s="227">
        <v>62</v>
      </c>
      <c r="C57" s="66" t="s">
        <v>121</v>
      </c>
      <c r="D57" s="316">
        <v>163000000</v>
      </c>
      <c r="E57" s="316">
        <v>78000000</v>
      </c>
      <c r="F57" s="311">
        <f t="shared" si="7"/>
        <v>0.4785276073619632</v>
      </c>
      <c r="G57" s="316">
        <v>163000000</v>
      </c>
      <c r="H57" s="312">
        <f t="shared" si="8"/>
        <v>1</v>
      </c>
      <c r="I57" s="318">
        <v>45000000</v>
      </c>
      <c r="J57" s="325">
        <f t="shared" si="10"/>
        <v>-0.7239263803680982</v>
      </c>
      <c r="K57" s="330"/>
      <c r="L57" s="327"/>
      <c r="M57" s="330"/>
      <c r="N57" s="327"/>
      <c r="O57" s="330"/>
      <c r="P57" s="327"/>
      <c r="Q57" s="330">
        <f>+R57*I57</f>
        <v>45000000</v>
      </c>
      <c r="R57" s="327">
        <v>1</v>
      </c>
      <c r="S57" s="318">
        <f t="shared" si="5"/>
        <v>-118000000</v>
      </c>
      <c r="T57" s="304">
        <f t="shared" si="14"/>
        <v>-72.392638036809814</v>
      </c>
      <c r="U57" s="343"/>
    </row>
    <row r="58" spans="1:59" s="64" customFormat="1" x14ac:dyDescent="0.25">
      <c r="A58" s="74" t="s">
        <v>85</v>
      </c>
      <c r="B58" s="222"/>
      <c r="C58" s="63" t="s">
        <v>86</v>
      </c>
      <c r="D58" s="314">
        <f>+D59+D61+D62</f>
        <v>17718920085</v>
      </c>
      <c r="E58" s="314">
        <f>+E59+E61</f>
        <v>21006549026.880001</v>
      </c>
      <c r="F58" s="311">
        <f t="shared" si="7"/>
        <v>1.1855434149546817</v>
      </c>
      <c r="G58" s="314">
        <f t="shared" ref="G58" si="80">+G59+G61+G62</f>
        <v>22886621651.456001</v>
      </c>
      <c r="H58" s="312">
        <f t="shared" si="8"/>
        <v>1.2916487879433878</v>
      </c>
      <c r="I58" s="315">
        <f>+I59+I61+I62</f>
        <v>504375319.82880008</v>
      </c>
      <c r="J58" s="325">
        <f t="shared" si="10"/>
        <v>-0.97796200210279993</v>
      </c>
      <c r="K58" s="328">
        <f>+K59+K61+K62</f>
        <v>0</v>
      </c>
      <c r="L58" s="327"/>
      <c r="M58" s="328">
        <f>+M59+M61+M62</f>
        <v>0</v>
      </c>
      <c r="N58" s="327"/>
      <c r="O58" s="328">
        <f>+O59+O61+O62</f>
        <v>50437531.982880011</v>
      </c>
      <c r="P58" s="327"/>
      <c r="Q58" s="328">
        <f>+Q59+Q61+Q62</f>
        <v>453937787.84592009</v>
      </c>
      <c r="R58" s="327"/>
      <c r="S58" s="315">
        <f t="shared" si="5"/>
        <v>-17214544765.1712</v>
      </c>
      <c r="T58" s="305">
        <f t="shared" si="14"/>
        <v>-97.153464672738266</v>
      </c>
      <c r="U58" s="343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62"/>
      <c r="BB58" s="62"/>
      <c r="BC58" s="62"/>
      <c r="BD58" s="62"/>
      <c r="BE58" s="62"/>
      <c r="BF58" s="62"/>
      <c r="BG58" s="62"/>
    </row>
    <row r="59" spans="1:59" x14ac:dyDescent="0.25">
      <c r="A59" s="75" t="s">
        <v>87</v>
      </c>
      <c r="B59" s="227"/>
      <c r="C59" s="66" t="s">
        <v>88</v>
      </c>
      <c r="D59" s="316">
        <f>+D60</f>
        <v>245599803</v>
      </c>
      <c r="E59" s="316">
        <f t="shared" ref="E59:G59" si="81">+E60</f>
        <v>400297872.88</v>
      </c>
      <c r="F59" s="311">
        <f t="shared" si="7"/>
        <v>1.629878639927085</v>
      </c>
      <c r="G59" s="316">
        <f t="shared" si="81"/>
        <v>480357447.45600003</v>
      </c>
      <c r="H59" s="312">
        <f t="shared" si="8"/>
        <v>1.955854367912502</v>
      </c>
      <c r="I59" s="318">
        <f>+I60</f>
        <v>504375319.82880008</v>
      </c>
      <c r="J59" s="325">
        <f t="shared" si="10"/>
        <v>5.0000000000000107E-2</v>
      </c>
      <c r="K59" s="331">
        <f>+K60</f>
        <v>0</v>
      </c>
      <c r="L59" s="327"/>
      <c r="M59" s="331">
        <f>+M60</f>
        <v>0</v>
      </c>
      <c r="N59" s="327"/>
      <c r="O59" s="331">
        <f>+O60</f>
        <v>50437531.982880011</v>
      </c>
      <c r="P59" s="327"/>
      <c r="Q59" s="331">
        <f>+Q60</f>
        <v>453937787.84592009</v>
      </c>
      <c r="R59" s="327"/>
      <c r="S59" s="318">
        <f t="shared" si="5"/>
        <v>258775516.82880008</v>
      </c>
      <c r="T59" s="304">
        <f t="shared" si="14"/>
        <v>105.36470863081274</v>
      </c>
      <c r="U59" s="343"/>
    </row>
    <row r="60" spans="1:59" s="64" customFormat="1" x14ac:dyDescent="0.25">
      <c r="A60" s="63" t="s">
        <v>89</v>
      </c>
      <c r="B60" s="224">
        <v>71</v>
      </c>
      <c r="C60" s="63" t="s">
        <v>90</v>
      </c>
      <c r="D60" s="314">
        <v>245599803</v>
      </c>
      <c r="E60" s="314">
        <v>400297872.88</v>
      </c>
      <c r="F60" s="311">
        <f t="shared" si="7"/>
        <v>1.629878639927085</v>
      </c>
      <c r="G60" s="314">
        <f>+(E60/10)*12</f>
        <v>480357447.45600003</v>
      </c>
      <c r="H60" s="312">
        <f t="shared" si="8"/>
        <v>1.955854367912502</v>
      </c>
      <c r="I60" s="315">
        <f>+G60*1.05</f>
        <v>504375319.82880008</v>
      </c>
      <c r="J60" s="325">
        <f t="shared" si="10"/>
        <v>5.0000000000000107E-2</v>
      </c>
      <c r="K60" s="314"/>
      <c r="L60" s="327"/>
      <c r="M60" s="314"/>
      <c r="N60" s="327"/>
      <c r="O60" s="314">
        <f>+I60*P60</f>
        <v>50437531.982880011</v>
      </c>
      <c r="P60" s="327">
        <v>0.1</v>
      </c>
      <c r="Q60" s="314">
        <f>+I60*R60</f>
        <v>453937787.84592009</v>
      </c>
      <c r="R60" s="327">
        <v>0.9</v>
      </c>
      <c r="S60" s="315">
        <f t="shared" si="5"/>
        <v>258775516.82880008</v>
      </c>
      <c r="T60" s="305">
        <f t="shared" si="14"/>
        <v>105.36470863081274</v>
      </c>
      <c r="U60" s="343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</row>
    <row r="61" spans="1:59" x14ac:dyDescent="0.25">
      <c r="A61" s="75" t="s">
        <v>91</v>
      </c>
      <c r="B61" s="227"/>
      <c r="C61" s="66" t="s">
        <v>92</v>
      </c>
      <c r="D61" s="316">
        <f>+D63</f>
        <v>17473320282</v>
      </c>
      <c r="E61" s="316">
        <f t="shared" ref="E61:G61" si="82">+E63</f>
        <v>20606251154</v>
      </c>
      <c r="F61" s="311">
        <f t="shared" si="7"/>
        <v>1.1792979709315672</v>
      </c>
      <c r="G61" s="316">
        <f t="shared" si="82"/>
        <v>22406264204</v>
      </c>
      <c r="H61" s="312">
        <f t="shared" si="8"/>
        <v>1.2823129114780567</v>
      </c>
      <c r="I61" s="317">
        <f>+I63</f>
        <v>0</v>
      </c>
      <c r="J61" s="325">
        <f t="shared" si="10"/>
        <v>-1</v>
      </c>
      <c r="K61" s="329">
        <f>+K63</f>
        <v>0</v>
      </c>
      <c r="L61" s="327"/>
      <c r="M61" s="329">
        <f>+M63</f>
        <v>0</v>
      </c>
      <c r="N61" s="327"/>
      <c r="O61" s="329">
        <f>+O63</f>
        <v>0</v>
      </c>
      <c r="P61" s="327"/>
      <c r="Q61" s="329">
        <f>+Q63</f>
        <v>0</v>
      </c>
      <c r="R61" s="327"/>
      <c r="S61" s="317">
        <f t="shared" si="5"/>
        <v>-17473320282</v>
      </c>
      <c r="T61" s="304">
        <f t="shared" si="14"/>
        <v>-100</v>
      </c>
      <c r="U61" s="343"/>
    </row>
    <row r="62" spans="1:59" hidden="1" x14ac:dyDescent="0.25">
      <c r="A62" s="75" t="s">
        <v>93</v>
      </c>
      <c r="B62" s="227">
        <v>72</v>
      </c>
      <c r="C62" s="66" t="s">
        <v>94</v>
      </c>
      <c r="D62" s="316">
        <v>0</v>
      </c>
      <c r="E62" s="316"/>
      <c r="F62" s="311">
        <v>0</v>
      </c>
      <c r="G62" s="316"/>
      <c r="H62" s="312">
        <v>0</v>
      </c>
      <c r="I62" s="318"/>
      <c r="J62" s="325">
        <v>0</v>
      </c>
      <c r="K62" s="330"/>
      <c r="L62" s="327"/>
      <c r="M62" s="330"/>
      <c r="N62" s="327"/>
      <c r="O62" s="330"/>
      <c r="P62" s="327"/>
      <c r="Q62" s="330"/>
      <c r="R62" s="327"/>
      <c r="S62" s="318">
        <f t="shared" si="5"/>
        <v>0</v>
      </c>
      <c r="T62" s="304">
        <v>0</v>
      </c>
      <c r="U62" s="343"/>
    </row>
    <row r="63" spans="1:59" s="64" customFormat="1" x14ac:dyDescent="0.25">
      <c r="A63" s="63" t="s">
        <v>95</v>
      </c>
      <c r="B63" s="224"/>
      <c r="C63" s="63" t="s">
        <v>96</v>
      </c>
      <c r="D63" s="314">
        <f>+D64</f>
        <v>17473320282</v>
      </c>
      <c r="E63" s="314">
        <f t="shared" ref="E63:Q63" si="83">+E64</f>
        <v>20606251154</v>
      </c>
      <c r="F63" s="311">
        <f t="shared" si="7"/>
        <v>1.1792979709315672</v>
      </c>
      <c r="G63" s="314">
        <f t="shared" si="83"/>
        <v>22406264204</v>
      </c>
      <c r="H63" s="312">
        <f t="shared" si="8"/>
        <v>1.2823129114780567</v>
      </c>
      <c r="I63" s="315">
        <f t="shared" si="83"/>
        <v>0</v>
      </c>
      <c r="J63" s="325">
        <f t="shared" si="10"/>
        <v>-1</v>
      </c>
      <c r="K63" s="328">
        <f t="shared" si="83"/>
        <v>0</v>
      </c>
      <c r="L63" s="327"/>
      <c r="M63" s="328">
        <f t="shared" si="83"/>
        <v>0</v>
      </c>
      <c r="N63" s="327"/>
      <c r="O63" s="328">
        <f t="shared" si="83"/>
        <v>0</v>
      </c>
      <c r="P63" s="327"/>
      <c r="Q63" s="328">
        <f t="shared" si="83"/>
        <v>0</v>
      </c>
      <c r="R63" s="327"/>
      <c r="S63" s="315">
        <f t="shared" si="5"/>
        <v>-17473320282</v>
      </c>
      <c r="T63" s="305">
        <f t="shared" si="14"/>
        <v>-100</v>
      </c>
      <c r="U63" s="343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62"/>
      <c r="BD63" s="62"/>
      <c r="BE63" s="62"/>
      <c r="BF63" s="62"/>
      <c r="BG63" s="62"/>
    </row>
    <row r="64" spans="1:59" x14ac:dyDescent="0.25">
      <c r="A64" s="75" t="s">
        <v>97</v>
      </c>
      <c r="B64" s="227">
        <v>81</v>
      </c>
      <c r="C64" s="66" t="s">
        <v>98</v>
      </c>
      <c r="D64" s="316">
        <f>+D65</f>
        <v>17473320282</v>
      </c>
      <c r="E64" s="316">
        <f>+E65+E66</f>
        <v>20606251154</v>
      </c>
      <c r="F64" s="311">
        <f t="shared" si="7"/>
        <v>1.1792979709315672</v>
      </c>
      <c r="G64" s="316">
        <f>+G65+G66</f>
        <v>22406264204</v>
      </c>
      <c r="H64" s="312">
        <f t="shared" si="8"/>
        <v>1.2823129114780567</v>
      </c>
      <c r="I64" s="317">
        <f>+I65+I66</f>
        <v>0</v>
      </c>
      <c r="J64" s="325">
        <f t="shared" si="10"/>
        <v>-1</v>
      </c>
      <c r="K64" s="329">
        <f>+K65+K66</f>
        <v>0</v>
      </c>
      <c r="L64" s="327"/>
      <c r="M64" s="329">
        <f>+M65+M66</f>
        <v>0</v>
      </c>
      <c r="N64" s="327"/>
      <c r="O64" s="329">
        <f>+O65+O66</f>
        <v>0</v>
      </c>
      <c r="P64" s="327"/>
      <c r="Q64" s="329">
        <f>+Q65+Q66</f>
        <v>0</v>
      </c>
      <c r="R64" s="327"/>
      <c r="S64" s="317">
        <f t="shared" si="5"/>
        <v>-17473320282</v>
      </c>
      <c r="T64" s="304">
        <f t="shared" si="14"/>
        <v>-100</v>
      </c>
      <c r="U64" s="343"/>
    </row>
    <row r="65" spans="1:59" s="64" customFormat="1" x14ac:dyDescent="0.25">
      <c r="A65" s="74"/>
      <c r="B65" s="222"/>
      <c r="C65" s="63" t="s">
        <v>30</v>
      </c>
      <c r="D65" s="314">
        <v>17473320282</v>
      </c>
      <c r="E65" s="314">
        <v>15673307232</v>
      </c>
      <c r="F65" s="311">
        <f t="shared" si="7"/>
        <v>0.89698505945351048</v>
      </c>
      <c r="G65" s="314">
        <f>+D65</f>
        <v>17473320282</v>
      </c>
      <c r="H65" s="312">
        <f t="shared" si="8"/>
        <v>1</v>
      </c>
      <c r="I65" s="315">
        <v>0</v>
      </c>
      <c r="J65" s="325">
        <f t="shared" si="10"/>
        <v>-1</v>
      </c>
      <c r="K65" s="314"/>
      <c r="L65" s="327"/>
      <c r="M65" s="314"/>
      <c r="N65" s="327"/>
      <c r="O65" s="314"/>
      <c r="P65" s="327"/>
      <c r="Q65" s="314">
        <f>+I65*R65</f>
        <v>0</v>
      </c>
      <c r="R65" s="327">
        <v>1</v>
      </c>
      <c r="S65" s="315">
        <f t="shared" si="5"/>
        <v>-17473320282</v>
      </c>
      <c r="T65" s="305">
        <f t="shared" si="14"/>
        <v>-100</v>
      </c>
      <c r="U65" s="343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62"/>
      <c r="BD65" s="62"/>
      <c r="BE65" s="62"/>
      <c r="BF65" s="62"/>
      <c r="BG65" s="62"/>
    </row>
    <row r="66" spans="1:59" s="83" customFormat="1" hidden="1" x14ac:dyDescent="0.25">
      <c r="A66" s="82" t="s">
        <v>99</v>
      </c>
      <c r="B66" s="229"/>
      <c r="C66" s="71" t="s">
        <v>39</v>
      </c>
      <c r="D66" s="319">
        <v>0</v>
      </c>
      <c r="E66" s="319">
        <v>4932943922</v>
      </c>
      <c r="F66" s="311">
        <v>0</v>
      </c>
      <c r="G66" s="319">
        <f>+E66</f>
        <v>4932943922</v>
      </c>
      <c r="H66" s="312">
        <v>0</v>
      </c>
      <c r="I66" s="320">
        <v>0</v>
      </c>
      <c r="J66" s="325">
        <f t="shared" si="10"/>
        <v>-1</v>
      </c>
      <c r="K66" s="319"/>
      <c r="L66" s="327"/>
      <c r="M66" s="319"/>
      <c r="N66" s="327"/>
      <c r="O66" s="319"/>
      <c r="P66" s="327"/>
      <c r="Q66" s="319"/>
      <c r="R66" s="327"/>
      <c r="S66" s="320">
        <f t="shared" si="5"/>
        <v>0</v>
      </c>
      <c r="T66" s="308">
        <v>0</v>
      </c>
      <c r="U66" s="343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  <c r="BG66" s="62"/>
    </row>
    <row r="67" spans="1:59" s="64" customFormat="1" x14ac:dyDescent="0.25">
      <c r="A67" s="74" t="s">
        <v>100</v>
      </c>
      <c r="B67" s="222"/>
      <c r="C67" s="63" t="s">
        <v>101</v>
      </c>
      <c r="D67" s="314">
        <f>+D68+D69</f>
        <v>2210571200</v>
      </c>
      <c r="E67" s="314">
        <f t="shared" ref="E67:Q67" si="84">+E68+E69</f>
        <v>2199800000</v>
      </c>
      <c r="F67" s="311">
        <f t="shared" si="7"/>
        <v>0.9951274132224287</v>
      </c>
      <c r="G67" s="314">
        <f t="shared" si="84"/>
        <v>2694800000</v>
      </c>
      <c r="H67" s="312">
        <f t="shared" si="8"/>
        <v>1.2190514379269937</v>
      </c>
      <c r="I67" s="315">
        <f t="shared" si="84"/>
        <v>2311989800</v>
      </c>
      <c r="J67" s="325">
        <f t="shared" si="10"/>
        <v>-0.14205514323883034</v>
      </c>
      <c r="K67" s="328">
        <f t="shared" si="84"/>
        <v>2311989800</v>
      </c>
      <c r="L67" s="327"/>
      <c r="M67" s="328">
        <f t="shared" si="84"/>
        <v>0</v>
      </c>
      <c r="N67" s="327"/>
      <c r="O67" s="328">
        <f t="shared" si="84"/>
        <v>0</v>
      </c>
      <c r="P67" s="327"/>
      <c r="Q67" s="328">
        <f t="shared" si="84"/>
        <v>0</v>
      </c>
      <c r="R67" s="327"/>
      <c r="S67" s="315">
        <f t="shared" si="5"/>
        <v>101418600</v>
      </c>
      <c r="T67" s="305">
        <f t="shared" si="14"/>
        <v>4.58789112967726</v>
      </c>
      <c r="U67" s="343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  <c r="BB67" s="62"/>
      <c r="BC67" s="62"/>
      <c r="BD67" s="62"/>
      <c r="BE67" s="62"/>
      <c r="BF67" s="62"/>
      <c r="BG67" s="62"/>
    </row>
    <row r="68" spans="1:59" s="83" customFormat="1" x14ac:dyDescent="0.25">
      <c r="A68" s="82" t="s">
        <v>102</v>
      </c>
      <c r="B68" s="229">
        <v>11</v>
      </c>
      <c r="C68" s="71" t="s">
        <v>103</v>
      </c>
      <c r="D68" s="319">
        <v>2210571200</v>
      </c>
      <c r="E68" s="319">
        <v>2199800000</v>
      </c>
      <c r="F68" s="311">
        <f t="shared" si="7"/>
        <v>0.9951274132224287</v>
      </c>
      <c r="G68" s="319">
        <f>+E68+495000000</f>
        <v>2694800000</v>
      </c>
      <c r="H68" s="312">
        <f t="shared" si="8"/>
        <v>1.2190514379269937</v>
      </c>
      <c r="I68" s="320">
        <v>2311989800</v>
      </c>
      <c r="J68" s="325">
        <f t="shared" si="10"/>
        <v>-0.14205514323883034</v>
      </c>
      <c r="K68" s="319">
        <f>+I68*L68</f>
        <v>2311989800</v>
      </c>
      <c r="L68" s="327">
        <v>1</v>
      </c>
      <c r="M68" s="319"/>
      <c r="N68" s="327"/>
      <c r="O68" s="319"/>
      <c r="P68" s="327"/>
      <c r="Q68" s="319"/>
      <c r="R68" s="327"/>
      <c r="S68" s="320">
        <f t="shared" si="5"/>
        <v>101418600</v>
      </c>
      <c r="T68" s="308">
        <f t="shared" si="14"/>
        <v>4.58789112967726</v>
      </c>
      <c r="U68" s="343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2"/>
      <c r="BB68" s="62"/>
      <c r="BC68" s="62"/>
      <c r="BD68" s="62"/>
      <c r="BE68" s="62"/>
      <c r="BF68" s="62"/>
      <c r="BG68" s="62"/>
    </row>
    <row r="69" spans="1:59" s="64" customFormat="1" hidden="1" x14ac:dyDescent="0.25">
      <c r="A69" s="74" t="s">
        <v>104</v>
      </c>
      <c r="B69" s="222">
        <v>12</v>
      </c>
      <c r="C69" s="63" t="s">
        <v>105</v>
      </c>
      <c r="D69" s="314">
        <v>0</v>
      </c>
      <c r="E69" s="314">
        <v>0</v>
      </c>
      <c r="F69" s="311">
        <v>0</v>
      </c>
      <c r="G69" s="314">
        <f>+D69</f>
        <v>0</v>
      </c>
      <c r="H69" s="312">
        <v>0</v>
      </c>
      <c r="I69" s="315"/>
      <c r="J69" s="325">
        <v>0</v>
      </c>
      <c r="K69" s="314"/>
      <c r="L69" s="327"/>
      <c r="M69" s="314"/>
      <c r="N69" s="327"/>
      <c r="O69" s="314"/>
      <c r="P69" s="327"/>
      <c r="Q69" s="314"/>
      <c r="R69" s="327"/>
      <c r="S69" s="315">
        <f t="shared" si="5"/>
        <v>0</v>
      </c>
      <c r="T69" s="305">
        <v>0</v>
      </c>
      <c r="U69" s="343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62"/>
      <c r="AS69" s="62"/>
      <c r="AT69" s="62"/>
      <c r="AU69" s="62"/>
      <c r="AV69" s="62"/>
      <c r="AW69" s="62"/>
      <c r="AX69" s="62"/>
      <c r="AY69" s="62"/>
      <c r="AZ69" s="62"/>
      <c r="BA69" s="62"/>
      <c r="BB69" s="62"/>
      <c r="BC69" s="62"/>
      <c r="BD69" s="62"/>
      <c r="BE69" s="62"/>
      <c r="BF69" s="62"/>
      <c r="BG69" s="62"/>
    </row>
    <row r="70" spans="1:59" s="78" customFormat="1" x14ac:dyDescent="0.25">
      <c r="A70" s="76"/>
      <c r="B70" s="76"/>
      <c r="C70" s="77" t="s">
        <v>106</v>
      </c>
      <c r="D70" s="321">
        <f>+D5+D67</f>
        <v>151139860542</v>
      </c>
      <c r="E70" s="321">
        <f>+E5+E67</f>
        <v>136373284797.73001</v>
      </c>
      <c r="F70" s="322">
        <f t="shared" si="7"/>
        <v>0.90229860149853369</v>
      </c>
      <c r="G70" s="321">
        <f>+G5+G67</f>
        <v>145271398773.89966</v>
      </c>
      <c r="H70" s="323">
        <f t="shared" ref="H70" si="85">+G70/D70</f>
        <v>0.96117197841088675</v>
      </c>
      <c r="I70" s="324">
        <f t="shared" ref="I70:Q70" si="86">+I5+I67</f>
        <v>143572002805.34863</v>
      </c>
      <c r="J70" s="332">
        <f t="shared" ref="J70" si="87">+(I70-G70)/G70</f>
        <v>-1.1698076723250697E-2</v>
      </c>
      <c r="K70" s="333">
        <f t="shared" si="86"/>
        <v>13806496068.421753</v>
      </c>
      <c r="L70" s="327"/>
      <c r="M70" s="333">
        <f t="shared" si="86"/>
        <v>5614497519.9055462</v>
      </c>
      <c r="N70" s="327"/>
      <c r="O70" s="333">
        <f t="shared" si="86"/>
        <v>12363481377.636566</v>
      </c>
      <c r="P70" s="327"/>
      <c r="Q70" s="333">
        <f t="shared" si="86"/>
        <v>111787527839.38477</v>
      </c>
      <c r="R70" s="327"/>
      <c r="S70" s="324">
        <f t="shared" ref="S70" si="88">+I70-D70</f>
        <v>-7567857736.6513672</v>
      </c>
      <c r="T70" s="309">
        <f t="shared" ref="T70" si="89">+I70/D70*100-100</f>
        <v>-5.0071885136802479</v>
      </c>
      <c r="U70" s="343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  <c r="AM70" s="62"/>
      <c r="AN70" s="62"/>
      <c r="AO70" s="62"/>
      <c r="AP70" s="62"/>
      <c r="AQ70" s="62"/>
      <c r="AR70" s="62"/>
      <c r="AS70" s="62"/>
      <c r="AT70" s="62"/>
      <c r="AU70" s="62"/>
      <c r="AV70" s="62"/>
      <c r="AW70" s="62"/>
      <c r="AX70" s="62"/>
      <c r="AY70" s="62"/>
      <c r="AZ70" s="62"/>
      <c r="BA70" s="62"/>
      <c r="BB70" s="62"/>
      <c r="BC70" s="62"/>
      <c r="BD70" s="62"/>
      <c r="BE70" s="62"/>
      <c r="BF70" s="62"/>
      <c r="BG70" s="62"/>
    </row>
    <row r="71" spans="1:59" x14ac:dyDescent="0.25">
      <c r="S71" s="302"/>
    </row>
    <row r="72" spans="1:59" x14ac:dyDescent="0.25">
      <c r="I72" s="91"/>
    </row>
    <row r="73" spans="1:59" x14ac:dyDescent="0.25">
      <c r="K73" s="91"/>
      <c r="Q73" s="91">
        <f>+K70+M70+O70+Q70</f>
        <v>143572002805.34863</v>
      </c>
    </row>
    <row r="74" spans="1:59" x14ac:dyDescent="0.25">
      <c r="Q74" s="91"/>
    </row>
    <row r="76" spans="1:59" x14ac:dyDescent="0.25">
      <c r="M76" s="62" t="s">
        <v>545</v>
      </c>
      <c r="O76" s="198">
        <f>+'GASTOS DE FTO 2024 - 2027 '!U3</f>
        <v>14162543582</v>
      </c>
    </row>
    <row r="78" spans="1:59" x14ac:dyDescent="0.25">
      <c r="M78" s="62" t="s">
        <v>128</v>
      </c>
      <c r="O78" s="198">
        <f>+O76*0.4</f>
        <v>5665017432.8000002</v>
      </c>
    </row>
    <row r="80" spans="1:59" x14ac:dyDescent="0.25">
      <c r="M80" s="62" t="s">
        <v>126</v>
      </c>
      <c r="O80" s="230">
        <f>+O76-O78</f>
        <v>8497526149.1999998</v>
      </c>
    </row>
    <row r="82" spans="13:15" x14ac:dyDescent="0.25">
      <c r="M82" s="62" t="s">
        <v>546</v>
      </c>
      <c r="O82" s="230">
        <f>+O70-O78</f>
        <v>6698463944.836566</v>
      </c>
    </row>
    <row r="85" spans="13:15" x14ac:dyDescent="0.25">
      <c r="O85" s="91">
        <f>+K70+O70</f>
        <v>26169977446.058319</v>
      </c>
    </row>
    <row r="86" spans="13:15" x14ac:dyDescent="0.25">
      <c r="O86" s="91">
        <f>+'GASTOS DE FTO 2024 - 2027 '!U57</f>
        <v>23378784812</v>
      </c>
    </row>
    <row r="87" spans="13:15" x14ac:dyDescent="0.25">
      <c r="O87" s="91">
        <f>+O85-O86</f>
        <v>2791192634.0583191</v>
      </c>
    </row>
  </sheetData>
  <mergeCells count="22">
    <mergeCell ref="F1:F3"/>
    <mergeCell ref="A1:A3"/>
    <mergeCell ref="B1:B3"/>
    <mergeCell ref="C1:C3"/>
    <mergeCell ref="D1:D3"/>
    <mergeCell ref="E1:E3"/>
    <mergeCell ref="G1:G3"/>
    <mergeCell ref="H1:H3"/>
    <mergeCell ref="I1:I3"/>
    <mergeCell ref="J1:J3"/>
    <mergeCell ref="K1:R1"/>
    <mergeCell ref="K2:L2"/>
    <mergeCell ref="M2:N2"/>
    <mergeCell ref="O2:R2"/>
    <mergeCell ref="K3:K4"/>
    <mergeCell ref="L3:L4"/>
    <mergeCell ref="T1:T3"/>
    <mergeCell ref="M3:M4"/>
    <mergeCell ref="N3:N4"/>
    <mergeCell ref="O3:P3"/>
    <mergeCell ref="Q3:R3"/>
    <mergeCell ref="S1:S3"/>
  </mergeCells>
  <printOptions horizontalCentered="1"/>
  <pageMargins left="0.70866141732283472" right="0.70866141732283472" top="0.74803149606299213" bottom="0.74803149606299213" header="0.31496062992125984" footer="0.31496062992125984"/>
  <pageSetup paperSize="12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52592-A6E3-46C8-8C02-78E8F469F2A5}">
  <dimension ref="A1:M76"/>
  <sheetViews>
    <sheetView topLeftCell="A49" workbookViewId="0">
      <selection activeCell="B72" sqref="B72"/>
    </sheetView>
  </sheetViews>
  <sheetFormatPr baseColWidth="10" defaultRowHeight="14.4" x14ac:dyDescent="0.3"/>
  <cols>
    <col min="1" max="1" width="50.33203125" style="79" customWidth="1"/>
    <col min="2" max="2" width="19.6640625" bestFit="1" customWidth="1"/>
    <col min="3" max="3" width="19" customWidth="1"/>
    <col min="4" max="4" width="17.6640625" customWidth="1"/>
    <col min="5" max="5" width="17.5546875" customWidth="1"/>
    <col min="6" max="6" width="19.6640625" bestFit="1" customWidth="1"/>
    <col min="7" max="7" width="22.44140625" customWidth="1"/>
    <col min="8" max="8" width="24.33203125" customWidth="1"/>
    <col min="9" max="9" width="18.6640625" bestFit="1" customWidth="1"/>
    <col min="10" max="11" width="12.6640625" bestFit="1" customWidth="1"/>
  </cols>
  <sheetData>
    <row r="1" spans="1:9" x14ac:dyDescent="0.3">
      <c r="A1" s="535" t="s">
        <v>1</v>
      </c>
      <c r="B1" s="542" t="s">
        <v>600</v>
      </c>
      <c r="C1" s="542"/>
      <c r="D1" s="542"/>
      <c r="E1" s="542"/>
      <c r="F1" s="543" t="s">
        <v>174</v>
      </c>
    </row>
    <row r="2" spans="1:9" x14ac:dyDescent="0.3">
      <c r="A2" s="535"/>
      <c r="B2" s="372">
        <v>2024</v>
      </c>
      <c r="C2" s="372" t="s">
        <v>596</v>
      </c>
      <c r="D2" s="372" t="s">
        <v>597</v>
      </c>
      <c r="E2" s="372" t="s">
        <v>598</v>
      </c>
      <c r="F2" s="543"/>
    </row>
    <row r="3" spans="1:9" x14ac:dyDescent="0.3">
      <c r="A3" s="61" t="s">
        <v>614</v>
      </c>
      <c r="B3" s="347">
        <f>+B4+B59</f>
        <v>149442976415.96631</v>
      </c>
      <c r="C3" s="347">
        <f t="shared" ref="C3:E3" si="0">+C4+C59</f>
        <v>153521606218.76141</v>
      </c>
      <c r="D3" s="347">
        <f t="shared" si="0"/>
        <v>166855422326.91776</v>
      </c>
      <c r="E3" s="347">
        <f t="shared" si="0"/>
        <v>181422291556.42645</v>
      </c>
      <c r="F3" s="347">
        <f t="shared" ref="F3" si="1">+F4+F59</f>
        <v>651242296518.0719</v>
      </c>
    </row>
    <row r="4" spans="1:9" x14ac:dyDescent="0.3">
      <c r="A4" s="63" t="s">
        <v>5</v>
      </c>
      <c r="B4" s="373">
        <f>+B5+B10</f>
        <v>148938601096.13751</v>
      </c>
      <c r="C4" s="373">
        <f t="shared" ref="C4:E4" si="2">+C5+C10</f>
        <v>152992012132.94116</v>
      </c>
      <c r="D4" s="373">
        <f t="shared" si="2"/>
        <v>166299348536.80649</v>
      </c>
      <c r="E4" s="373">
        <f t="shared" si="2"/>
        <v>180838414076.80963</v>
      </c>
      <c r="F4" s="373">
        <f t="shared" ref="F4" si="3">+F5+F10</f>
        <v>649068375842.69482</v>
      </c>
    </row>
    <row r="5" spans="1:9" x14ac:dyDescent="0.3">
      <c r="A5" s="66" t="s">
        <v>7</v>
      </c>
      <c r="B5" s="347">
        <f>+B6</f>
        <v>21494000000.037502</v>
      </c>
      <c r="C5" s="347">
        <f t="shared" ref="C5:F6" si="4">+C6</f>
        <v>23643400000.041252</v>
      </c>
      <c r="D5" s="347">
        <f t="shared" si="4"/>
        <v>26007740000.04538</v>
      </c>
      <c r="E5" s="347">
        <f t="shared" si="4"/>
        <v>28608514000.049919</v>
      </c>
      <c r="F5" s="347">
        <f t="shared" si="4"/>
        <v>99753654000.174042</v>
      </c>
    </row>
    <row r="6" spans="1:9" x14ac:dyDescent="0.3">
      <c r="A6" s="63" t="s">
        <v>9</v>
      </c>
      <c r="B6" s="373">
        <f>+B7</f>
        <v>21494000000.037502</v>
      </c>
      <c r="C6" s="373">
        <f t="shared" si="4"/>
        <v>23643400000.041252</v>
      </c>
      <c r="D6" s="373">
        <f t="shared" si="4"/>
        <v>26007740000.04538</v>
      </c>
      <c r="E6" s="373">
        <f t="shared" si="4"/>
        <v>28608514000.049919</v>
      </c>
      <c r="F6" s="373">
        <f t="shared" si="4"/>
        <v>99753654000.174042</v>
      </c>
      <c r="G6" s="376"/>
      <c r="H6" s="376"/>
      <c r="I6" s="376"/>
    </row>
    <row r="7" spans="1:9" x14ac:dyDescent="0.3">
      <c r="A7" s="66" t="s">
        <v>11</v>
      </c>
      <c r="B7" s="347">
        <f>+B8+B9</f>
        <v>21494000000.037502</v>
      </c>
      <c r="C7" s="347">
        <f t="shared" ref="C7:E7" si="5">+C8+C9</f>
        <v>23643400000.041252</v>
      </c>
      <c r="D7" s="347">
        <f t="shared" si="5"/>
        <v>26007740000.04538</v>
      </c>
      <c r="E7" s="347">
        <f t="shared" si="5"/>
        <v>28608514000.049919</v>
      </c>
      <c r="F7" s="347">
        <f t="shared" ref="F7" si="6">+F8+F9</f>
        <v>99753654000.174042</v>
      </c>
    </row>
    <row r="8" spans="1:9" x14ac:dyDescent="0.3">
      <c r="A8" s="63" t="s">
        <v>13</v>
      </c>
      <c r="B8" s="373">
        <f>+'REAJUSTE DE INGRESOS 2024 (2)'!T10</f>
        <v>17242301572</v>
      </c>
      <c r="C8" s="373">
        <f>+B8*1.1</f>
        <v>18966531729.200001</v>
      </c>
      <c r="D8" s="373">
        <f t="shared" ref="D8:E8" si="7">+C8*1.1</f>
        <v>20863184902.120003</v>
      </c>
      <c r="E8" s="373">
        <f t="shared" si="7"/>
        <v>22949503392.332005</v>
      </c>
      <c r="F8" s="373">
        <f t="shared" ref="F8:F9" si="8">SUM(B8:E8)</f>
        <v>80021521595.652008</v>
      </c>
    </row>
    <row r="9" spans="1:9" x14ac:dyDescent="0.3">
      <c r="A9" s="71" t="s">
        <v>15</v>
      </c>
      <c r="B9" s="347">
        <f>+'REAJUSTE DE INGRESOS 2024 (2)'!T11</f>
        <v>4251698428.0375009</v>
      </c>
      <c r="C9" s="347">
        <f>+B9*1.1</f>
        <v>4676868270.8412514</v>
      </c>
      <c r="D9" s="347">
        <f t="shared" ref="D9:E9" si="9">+C9*1.1</f>
        <v>5144555097.9253769</v>
      </c>
      <c r="E9" s="347">
        <f t="shared" si="9"/>
        <v>5659010607.7179146</v>
      </c>
      <c r="F9" s="347">
        <f t="shared" si="8"/>
        <v>19732132404.522041</v>
      </c>
    </row>
    <row r="10" spans="1:9" x14ac:dyDescent="0.3">
      <c r="A10" s="63" t="s">
        <v>17</v>
      </c>
      <c r="B10" s="373">
        <f>+B11+B25+B46+B51</f>
        <v>127444601096.10001</v>
      </c>
      <c r="C10" s="373">
        <f t="shared" ref="C10:E10" si="10">+C11+C25+C46+C51</f>
        <v>129348612132.8999</v>
      </c>
      <c r="D10" s="373">
        <f t="shared" si="10"/>
        <v>140291608536.76111</v>
      </c>
      <c r="E10" s="373">
        <f t="shared" si="10"/>
        <v>152229900076.7597</v>
      </c>
      <c r="F10" s="373">
        <f t="shared" ref="F10" si="11">+F11+F25+F46+F51</f>
        <v>549314721842.52075</v>
      </c>
    </row>
    <row r="11" spans="1:9" x14ac:dyDescent="0.3">
      <c r="A11" s="66" t="s">
        <v>19</v>
      </c>
      <c r="B11" s="347">
        <f>+B12</f>
        <v>17976333808</v>
      </c>
      <c r="C11" s="347">
        <f t="shared" ref="C11:F12" si="12">+C12</f>
        <v>17622336632.640907</v>
      </c>
      <c r="D11" s="347">
        <f t="shared" si="12"/>
        <v>18510603464.272957</v>
      </c>
      <c r="E11" s="347">
        <f t="shared" si="12"/>
        <v>19443998637.486607</v>
      </c>
      <c r="F11" s="347">
        <f t="shared" si="12"/>
        <v>73553272542.400467</v>
      </c>
    </row>
    <row r="12" spans="1:9" x14ac:dyDescent="0.3">
      <c r="A12" s="63" t="s">
        <v>21</v>
      </c>
      <c r="B12" s="373">
        <f>+B13</f>
        <v>17976333808</v>
      </c>
      <c r="C12" s="373">
        <f t="shared" si="12"/>
        <v>17622336632.640907</v>
      </c>
      <c r="D12" s="373">
        <f t="shared" si="12"/>
        <v>18510603464.272957</v>
      </c>
      <c r="E12" s="373">
        <f t="shared" si="12"/>
        <v>19443998637.486607</v>
      </c>
      <c r="F12" s="373">
        <f t="shared" si="12"/>
        <v>73553272542.400467</v>
      </c>
    </row>
    <row r="13" spans="1:9" x14ac:dyDescent="0.3">
      <c r="A13" s="66" t="s">
        <v>23</v>
      </c>
      <c r="B13" s="347">
        <f>+B14+B21</f>
        <v>17976333808</v>
      </c>
      <c r="C13" s="347">
        <f t="shared" ref="C13:E13" si="13">+C14+C21</f>
        <v>17622336632.640907</v>
      </c>
      <c r="D13" s="347">
        <f t="shared" si="13"/>
        <v>18510603464.272957</v>
      </c>
      <c r="E13" s="347">
        <f t="shared" si="13"/>
        <v>19443998637.486607</v>
      </c>
      <c r="F13" s="347">
        <f t="shared" ref="F13" si="14">+F14+F21</f>
        <v>73553272542.400467</v>
      </c>
    </row>
    <row r="14" spans="1:9" x14ac:dyDescent="0.3">
      <c r="A14" s="63" t="s">
        <v>25</v>
      </c>
      <c r="B14" s="373">
        <f>+B15+B18</f>
        <v>17846333808</v>
      </c>
      <c r="C14" s="373">
        <f t="shared" ref="C14:E14" si="15">+C15+C18</f>
        <v>17479336632.640907</v>
      </c>
      <c r="D14" s="373">
        <f t="shared" si="15"/>
        <v>18353303464.272957</v>
      </c>
      <c r="E14" s="373">
        <f t="shared" si="15"/>
        <v>19270968637.486607</v>
      </c>
      <c r="F14" s="373">
        <f t="shared" ref="F14" si="16">+F15+F18</f>
        <v>72949942542.400467</v>
      </c>
    </row>
    <row r="15" spans="1:9" x14ac:dyDescent="0.3">
      <c r="A15" s="66" t="s">
        <v>27</v>
      </c>
      <c r="B15" s="347">
        <f>+B16+B17</f>
        <v>13673438495</v>
      </c>
      <c r="C15" s="347">
        <f t="shared" ref="C15:E15" si="17">+C16+C17</f>
        <v>14357110419.75</v>
      </c>
      <c r="D15" s="347">
        <f t="shared" si="17"/>
        <v>15074965940.737501</v>
      </c>
      <c r="E15" s="347">
        <f t="shared" si="17"/>
        <v>15828714237.774378</v>
      </c>
      <c r="F15" s="347">
        <f t="shared" ref="F15" si="18">+F16+F17</f>
        <v>58934229093.261871</v>
      </c>
    </row>
    <row r="16" spans="1:9" x14ac:dyDescent="0.3">
      <c r="A16" s="63" t="s">
        <v>30</v>
      </c>
      <c r="B16" s="373">
        <f>+'REAJUSTE DE INGRESOS 2024 (2)'!T18</f>
        <v>12083619655</v>
      </c>
      <c r="C16" s="373">
        <f>+B16*1.05</f>
        <v>12687800637.75</v>
      </c>
      <c r="D16" s="373">
        <f t="shared" ref="D16:E16" si="19">+C16*1.05</f>
        <v>13322190669.637501</v>
      </c>
      <c r="E16" s="373">
        <f t="shared" si="19"/>
        <v>13988300203.119377</v>
      </c>
      <c r="F16" s="373">
        <f t="shared" ref="F16:F17" si="20">SUM(B16:E16)</f>
        <v>52081911165.506874</v>
      </c>
    </row>
    <row r="17" spans="1:6" x14ac:dyDescent="0.3">
      <c r="A17" s="66" t="s">
        <v>32</v>
      </c>
      <c r="B17" s="347">
        <f>+'REAJUSTE DE INGRESOS 2024 (2)'!T19</f>
        <v>1589818840</v>
      </c>
      <c r="C17" s="347">
        <f>+B17*1.05</f>
        <v>1669309782</v>
      </c>
      <c r="D17" s="347">
        <f t="shared" ref="D17:E17" si="21">+C17*1.05</f>
        <v>1752775271.1000001</v>
      </c>
      <c r="E17" s="347">
        <f t="shared" si="21"/>
        <v>1840414034.6550002</v>
      </c>
      <c r="F17" s="347">
        <f t="shared" si="20"/>
        <v>6852317927.7550011</v>
      </c>
    </row>
    <row r="18" spans="1:6" x14ac:dyDescent="0.3">
      <c r="A18" s="63" t="s">
        <v>35</v>
      </c>
      <c r="B18" s="373">
        <f>+B19+B20</f>
        <v>4172895313</v>
      </c>
      <c r="C18" s="373">
        <f t="shared" ref="C18:F18" si="22">+C19+C20</f>
        <v>3122226212.8909092</v>
      </c>
      <c r="D18" s="373">
        <f t="shared" si="22"/>
        <v>3278337523.5354548</v>
      </c>
      <c r="E18" s="373">
        <f t="shared" si="22"/>
        <v>3442254399.7122278</v>
      </c>
      <c r="F18" s="373">
        <f t="shared" si="22"/>
        <v>14015713449.138592</v>
      </c>
    </row>
    <row r="19" spans="1:6" x14ac:dyDescent="0.3">
      <c r="A19" s="66" t="s">
        <v>37</v>
      </c>
      <c r="B19" s="347">
        <f>+'REAJUSTE DE INGRESOS 2024 (2)'!T21</f>
        <v>2725753043</v>
      </c>
      <c r="C19" s="347">
        <f>+B19*1.05</f>
        <v>2862040695.1500001</v>
      </c>
      <c r="D19" s="347">
        <f t="shared" ref="D19:E19" si="23">+C19*1.05</f>
        <v>3005142729.9075003</v>
      </c>
      <c r="E19" s="347">
        <f t="shared" si="23"/>
        <v>3155399866.4028754</v>
      </c>
      <c r="F19" s="347">
        <f t="shared" ref="F19:F20" si="24">SUM(B19:E19)</f>
        <v>11748336334.460375</v>
      </c>
    </row>
    <row r="20" spans="1:6" x14ac:dyDescent="0.3">
      <c r="A20" s="63" t="s">
        <v>39</v>
      </c>
      <c r="B20" s="373">
        <f>+'REAJUSTE DE INGRESOS 2024 (2)'!T22</f>
        <v>1447142270</v>
      </c>
      <c r="C20" s="373">
        <f>+C19/11</f>
        <v>260185517.7409091</v>
      </c>
      <c r="D20" s="373">
        <f t="shared" ref="D20:E20" si="25">+D19/11</f>
        <v>273194793.62795454</v>
      </c>
      <c r="E20" s="373">
        <f t="shared" si="25"/>
        <v>286854533.30935234</v>
      </c>
      <c r="F20" s="373">
        <f t="shared" si="24"/>
        <v>2267377114.678216</v>
      </c>
    </row>
    <row r="21" spans="1:6" x14ac:dyDescent="0.3">
      <c r="A21" s="66" t="s">
        <v>41</v>
      </c>
      <c r="B21" s="347">
        <f>+B22</f>
        <v>130000000</v>
      </c>
      <c r="C21" s="347">
        <f t="shared" ref="C21:F21" si="26">+C22</f>
        <v>143000000</v>
      </c>
      <c r="D21" s="347">
        <f t="shared" si="26"/>
        <v>157300000.00000003</v>
      </c>
      <c r="E21" s="347">
        <f t="shared" si="26"/>
        <v>173030000.00000006</v>
      </c>
      <c r="F21" s="347">
        <f t="shared" si="26"/>
        <v>603330000</v>
      </c>
    </row>
    <row r="22" spans="1:6" x14ac:dyDescent="0.3">
      <c r="A22" s="63" t="s">
        <v>43</v>
      </c>
      <c r="B22" s="373">
        <f>+B23+B24</f>
        <v>130000000</v>
      </c>
      <c r="C22" s="373">
        <f t="shared" ref="C22:E22" si="27">+C23+C24</f>
        <v>143000000</v>
      </c>
      <c r="D22" s="373">
        <f t="shared" si="27"/>
        <v>157300000.00000003</v>
      </c>
      <c r="E22" s="373">
        <f t="shared" si="27"/>
        <v>173030000.00000006</v>
      </c>
      <c r="F22" s="373">
        <f t="shared" ref="F22" si="28">+F23+F24</f>
        <v>603330000</v>
      </c>
    </row>
    <row r="23" spans="1:6" x14ac:dyDescent="0.3">
      <c r="A23" s="66" t="s">
        <v>30</v>
      </c>
      <c r="B23" s="347">
        <f>+'REAJUSTE DE INGRESOS 2024 (2)'!T25</f>
        <v>120000000</v>
      </c>
      <c r="C23" s="347">
        <f>+B23*1.1</f>
        <v>132000000.00000001</v>
      </c>
      <c r="D23" s="347">
        <f t="shared" ref="D23:E23" si="29">+C23*1.1</f>
        <v>145200000.00000003</v>
      </c>
      <c r="E23" s="347">
        <f t="shared" si="29"/>
        <v>159720000.00000006</v>
      </c>
      <c r="F23" s="347">
        <f t="shared" ref="F23:F24" si="30">SUM(B23:E23)</f>
        <v>556920000</v>
      </c>
    </row>
    <row r="24" spans="1:6" x14ac:dyDescent="0.3">
      <c r="A24" s="63" t="s">
        <v>32</v>
      </c>
      <c r="B24" s="373">
        <f>+'REAJUSTE DE INGRESOS 2024 (2)'!T26</f>
        <v>10000000</v>
      </c>
      <c r="C24" s="373">
        <f>+B24*1.1</f>
        <v>11000000</v>
      </c>
      <c r="D24" s="373">
        <f t="shared" ref="D24:E24" si="31">+C24*1.1</f>
        <v>12100000.000000002</v>
      </c>
      <c r="E24" s="373">
        <f t="shared" si="31"/>
        <v>13310000.000000004</v>
      </c>
      <c r="F24" s="373">
        <f t="shared" si="30"/>
        <v>46410000</v>
      </c>
    </row>
    <row r="25" spans="1:6" x14ac:dyDescent="0.3">
      <c r="A25" s="66" t="s">
        <v>47</v>
      </c>
      <c r="B25" s="347">
        <f>+B26+B28+B31+B34+B37+B40+B43</f>
        <v>21947958454.220001</v>
      </c>
      <c r="C25" s="347">
        <f t="shared" ref="C25:E25" si="32">+C26+C28+C31+C34+C37+C40+C43</f>
        <v>21770201224.685001</v>
      </c>
      <c r="D25" s="347">
        <f t="shared" si="32"/>
        <v>22851877083.135452</v>
      </c>
      <c r="E25" s="347">
        <f t="shared" si="32"/>
        <v>23987542050.452751</v>
      </c>
      <c r="F25" s="347">
        <f>+F26+F28+F31+F34+F37+F40+F43</f>
        <v>90557578812.493195</v>
      </c>
    </row>
    <row r="26" spans="1:6" x14ac:dyDescent="0.3">
      <c r="A26" s="63" t="s">
        <v>50</v>
      </c>
      <c r="B26" s="373">
        <f>+B27</f>
        <v>240496823</v>
      </c>
      <c r="C26" s="373">
        <f t="shared" ref="C26:F26" si="33">+C27</f>
        <v>245306759.46000001</v>
      </c>
      <c r="D26" s="373">
        <f t="shared" si="33"/>
        <v>250212894.64920002</v>
      </c>
      <c r="E26" s="373">
        <f t="shared" si="33"/>
        <v>255217152.54218403</v>
      </c>
      <c r="F26" s="373">
        <f t="shared" si="33"/>
        <v>991233629.651384</v>
      </c>
    </row>
    <row r="27" spans="1:6" x14ac:dyDescent="0.3">
      <c r="A27" s="66" t="s">
        <v>30</v>
      </c>
      <c r="B27" s="347">
        <f>+'REAJUSTE DE INGRESOS 2024 (2)'!T29</f>
        <v>240496823</v>
      </c>
      <c r="C27" s="347">
        <f>+B27*1.02</f>
        <v>245306759.46000001</v>
      </c>
      <c r="D27" s="347">
        <f t="shared" ref="D27:E27" si="34">+C27*1.02</f>
        <v>250212894.64920002</v>
      </c>
      <c r="E27" s="347">
        <f t="shared" si="34"/>
        <v>255217152.54218403</v>
      </c>
      <c r="F27" s="347">
        <f>SUM(B27:E27)</f>
        <v>991233629.651384</v>
      </c>
    </row>
    <row r="28" spans="1:6" x14ac:dyDescent="0.3">
      <c r="A28" s="63" t="s">
        <v>53</v>
      </c>
      <c r="B28" s="373">
        <f>+B29+B30</f>
        <v>2247453257</v>
      </c>
      <c r="C28" s="373">
        <f t="shared" ref="C28:F28" si="35">+C29+C30</f>
        <v>2359825919.8500004</v>
      </c>
      <c r="D28" s="373">
        <f t="shared" si="35"/>
        <v>2477817215.8425002</v>
      </c>
      <c r="E28" s="373">
        <f t="shared" si="35"/>
        <v>2601708076.6346254</v>
      </c>
      <c r="F28" s="373">
        <f t="shared" si="35"/>
        <v>9686804469.3271255</v>
      </c>
    </row>
    <row r="29" spans="1:6" x14ac:dyDescent="0.3">
      <c r="A29" s="66" t="s">
        <v>55</v>
      </c>
      <c r="B29" s="347">
        <f>+'REAJUSTE DE INGRESOS 2024 (2)'!T31</f>
        <v>1926388506</v>
      </c>
      <c r="C29" s="347">
        <f>+B29*1.05</f>
        <v>2022707931.3000002</v>
      </c>
      <c r="D29" s="347">
        <f t="shared" ref="D29:E30" si="36">+C29*1.05</f>
        <v>2123843327.8650002</v>
      </c>
      <c r="E29" s="347">
        <f t="shared" si="36"/>
        <v>2230035494.2582502</v>
      </c>
      <c r="F29" s="347">
        <f t="shared" ref="F29:F30" si="37">SUM(B29:E29)</f>
        <v>8302975259.4232512</v>
      </c>
    </row>
    <row r="30" spans="1:6" x14ac:dyDescent="0.3">
      <c r="A30" s="63" t="s">
        <v>39</v>
      </c>
      <c r="B30" s="373">
        <f>+'REAJUSTE DE INGRESOS 2024 (2)'!T32</f>
        <v>321064751</v>
      </c>
      <c r="C30" s="373">
        <f>+B30*1.05</f>
        <v>337117988.55000001</v>
      </c>
      <c r="D30" s="373">
        <f t="shared" si="36"/>
        <v>353973887.97750002</v>
      </c>
      <c r="E30" s="373">
        <f t="shared" si="36"/>
        <v>371672582.37637502</v>
      </c>
      <c r="F30" s="373">
        <f t="shared" si="37"/>
        <v>1383829209.9038749</v>
      </c>
    </row>
    <row r="31" spans="1:6" x14ac:dyDescent="0.3">
      <c r="A31" s="66" t="s">
        <v>58</v>
      </c>
      <c r="B31" s="347">
        <f>+B32+B33</f>
        <v>8106255758</v>
      </c>
      <c r="C31" s="347">
        <f t="shared" ref="C31:F31" si="38">+C32+C33</f>
        <v>8511568545.9000006</v>
      </c>
      <c r="D31" s="347">
        <f t="shared" si="38"/>
        <v>8937146973.1950016</v>
      </c>
      <c r="E31" s="347">
        <f t="shared" si="38"/>
        <v>9384004321.8547516</v>
      </c>
      <c r="F31" s="347">
        <f t="shared" si="38"/>
        <v>34938975598.949753</v>
      </c>
    </row>
    <row r="32" spans="1:6" x14ac:dyDescent="0.3">
      <c r="A32" s="63" t="s">
        <v>55</v>
      </c>
      <c r="B32" s="373">
        <f>+'REAJUSTE DE INGRESOS 2024 (2)'!T34</f>
        <v>7482697623</v>
      </c>
      <c r="C32" s="373">
        <f>+B32*1.05</f>
        <v>7856832504.1500006</v>
      </c>
      <c r="D32" s="373">
        <f t="shared" ref="D32:E33" si="39">+C32*1.05</f>
        <v>8249674129.357501</v>
      </c>
      <c r="E32" s="373">
        <f t="shared" si="39"/>
        <v>8662157835.8253765</v>
      </c>
      <c r="F32" s="373">
        <f t="shared" ref="F32:F33" si="40">SUM(B32:E32)</f>
        <v>32251362092.332878</v>
      </c>
    </row>
    <row r="33" spans="1:13" x14ac:dyDescent="0.3">
      <c r="A33" s="66" t="s">
        <v>39</v>
      </c>
      <c r="B33" s="347">
        <f>+'REAJUSTE DE INGRESOS 2024 (2)'!T35</f>
        <v>623558135</v>
      </c>
      <c r="C33" s="347">
        <f>+B33*1.05</f>
        <v>654736041.75</v>
      </c>
      <c r="D33" s="347">
        <f t="shared" si="39"/>
        <v>687472843.83749998</v>
      </c>
      <c r="E33" s="347">
        <f t="shared" si="39"/>
        <v>721846486.02937496</v>
      </c>
      <c r="F33" s="347">
        <f t="shared" si="40"/>
        <v>2687613506.6168752</v>
      </c>
    </row>
    <row r="34" spans="1:13" x14ac:dyDescent="0.3">
      <c r="A34" s="63" t="s">
        <v>62</v>
      </c>
      <c r="B34" s="373">
        <f>+B35+B36</f>
        <v>2299999999.5</v>
      </c>
      <c r="C34" s="373">
        <f t="shared" ref="C34:F34" si="41">+C35+C36</f>
        <v>2414999999.4750004</v>
      </c>
      <c r="D34" s="373">
        <f t="shared" si="41"/>
        <v>2535749999.4487505</v>
      </c>
      <c r="E34" s="373">
        <f t="shared" si="41"/>
        <v>2662537499.4211884</v>
      </c>
      <c r="F34" s="373">
        <f t="shared" si="41"/>
        <v>9913287497.8449383</v>
      </c>
    </row>
    <row r="35" spans="1:13" x14ac:dyDescent="0.3">
      <c r="A35" s="66" t="s">
        <v>55</v>
      </c>
      <c r="B35" s="347">
        <f>+'REAJUSTE DE INGRESOS 2024 (2)'!T37</f>
        <v>2241078934</v>
      </c>
      <c r="C35" s="347">
        <f>+B35*1.05</f>
        <v>2353132880.7000003</v>
      </c>
      <c r="D35" s="347">
        <f t="shared" ref="D35:E35" si="42">+C35*1.05</f>
        <v>2470789524.7350006</v>
      </c>
      <c r="E35" s="347">
        <f t="shared" si="42"/>
        <v>2594329000.9717507</v>
      </c>
      <c r="F35" s="347">
        <f t="shared" ref="F35:F36" si="43">SUM(B35:E35)</f>
        <v>9659330340.4067516</v>
      </c>
    </row>
    <row r="36" spans="1:13" x14ac:dyDescent="0.3">
      <c r="A36" s="63" t="s">
        <v>39</v>
      </c>
      <c r="B36" s="373">
        <f>+'REAJUSTE DE INGRESOS 2024 (2)'!T38</f>
        <v>58921065.500000007</v>
      </c>
      <c r="C36" s="373">
        <f>+B36*1.05</f>
        <v>61867118.775000013</v>
      </c>
      <c r="D36" s="373">
        <f t="shared" ref="D36:E36" si="44">+C36*1.05</f>
        <v>64960474.71375002</v>
      </c>
      <c r="E36" s="373">
        <f t="shared" si="44"/>
        <v>68208498.449437529</v>
      </c>
      <c r="F36" s="373">
        <f t="shared" si="43"/>
        <v>253957157.43818757</v>
      </c>
    </row>
    <row r="37" spans="1:13" x14ac:dyDescent="0.3">
      <c r="A37" s="66" t="s">
        <v>66</v>
      </c>
      <c r="B37" s="347">
        <f>+B38+B39</f>
        <v>8872752616.7199993</v>
      </c>
      <c r="C37" s="347">
        <f t="shared" ref="C37:F37" si="45">+C38+C39</f>
        <v>8039000000</v>
      </c>
      <c r="D37" s="347">
        <f t="shared" si="45"/>
        <v>8440950000</v>
      </c>
      <c r="E37" s="347">
        <f t="shared" si="45"/>
        <v>8862997500</v>
      </c>
      <c r="F37" s="347">
        <f t="shared" si="45"/>
        <v>34215700116.720001</v>
      </c>
    </row>
    <row r="38" spans="1:13" x14ac:dyDescent="0.3">
      <c r="A38" s="63" t="s">
        <v>55</v>
      </c>
      <c r="B38" s="373">
        <f>+'REAJUSTE DE INGRESOS 2024 (2)'!T40</f>
        <v>8729500518.7199993</v>
      </c>
      <c r="C38" s="373">
        <f>8039000000*0.9</f>
        <v>7235100000</v>
      </c>
      <c r="D38" s="373">
        <f>+C38*1.05</f>
        <v>7596855000</v>
      </c>
      <c r="E38" s="373">
        <f>+D38*1.05</f>
        <v>7976697750</v>
      </c>
      <c r="F38" s="373">
        <f t="shared" ref="F38:F39" si="46">SUM(B38:E38)</f>
        <v>31538153268.720001</v>
      </c>
    </row>
    <row r="39" spans="1:13" x14ac:dyDescent="0.3">
      <c r="A39" s="66" t="s">
        <v>39</v>
      </c>
      <c r="B39" s="347">
        <f>+'REAJUSTE DE INGRESOS 2024 (2)'!T41</f>
        <v>143252098</v>
      </c>
      <c r="C39" s="347">
        <f>8039000000*0.1</f>
        <v>803900000</v>
      </c>
      <c r="D39" s="347">
        <f>+C39*1.05</f>
        <v>844095000</v>
      </c>
      <c r="E39" s="347">
        <f>+D39*1.05</f>
        <v>886299750</v>
      </c>
      <c r="F39" s="347">
        <f t="shared" si="46"/>
        <v>2677546848</v>
      </c>
    </row>
    <row r="40" spans="1:13" x14ac:dyDescent="0.3">
      <c r="A40" s="63" t="s">
        <v>70</v>
      </c>
      <c r="B40" s="373">
        <f>+B41+B42</f>
        <v>180000000</v>
      </c>
      <c r="C40" s="373">
        <f t="shared" ref="C40:F40" si="47">+C41+C42</f>
        <v>189000000</v>
      </c>
      <c r="D40" s="373">
        <f t="shared" si="47"/>
        <v>198450000</v>
      </c>
      <c r="E40" s="373">
        <f t="shared" si="47"/>
        <v>208372500.00000003</v>
      </c>
      <c r="F40" s="373">
        <f t="shared" si="47"/>
        <v>775822500</v>
      </c>
    </row>
    <row r="41" spans="1:13" x14ac:dyDescent="0.3">
      <c r="A41" s="66" t="s">
        <v>13</v>
      </c>
      <c r="B41" s="347">
        <f>+'REAJUSTE DE INGRESOS 2024 (2)'!T43</f>
        <v>174687006</v>
      </c>
      <c r="C41" s="347">
        <f>+B41*1.05</f>
        <v>183421356.30000001</v>
      </c>
      <c r="D41" s="347">
        <f t="shared" ref="D41:E41" si="48">+C41*1.05</f>
        <v>192592424.11500001</v>
      </c>
      <c r="E41" s="347">
        <f t="shared" si="48"/>
        <v>202222045.32075003</v>
      </c>
      <c r="F41" s="347">
        <f t="shared" ref="F41:F42" si="49">SUM(B41:E41)</f>
        <v>752922831.73574996</v>
      </c>
    </row>
    <row r="42" spans="1:13" x14ac:dyDescent="0.3">
      <c r="A42" s="63" t="s">
        <v>15</v>
      </c>
      <c r="B42" s="373">
        <f>+'REAJUSTE DE INGRESOS 2024 (2)'!T44</f>
        <v>5312994</v>
      </c>
      <c r="C42" s="373">
        <f>+B42*1.05</f>
        <v>5578643.7000000002</v>
      </c>
      <c r="D42" s="373">
        <f t="shared" ref="D42:E42" si="50">+C42*1.05</f>
        <v>5857575.8850000007</v>
      </c>
      <c r="E42" s="373">
        <f t="shared" si="50"/>
        <v>6150454.679250001</v>
      </c>
      <c r="F42" s="373">
        <f t="shared" si="49"/>
        <v>22899668.264250003</v>
      </c>
    </row>
    <row r="43" spans="1:13" x14ac:dyDescent="0.3">
      <c r="A43" s="158" t="s">
        <v>593</v>
      </c>
      <c r="B43" s="347">
        <f>+B44+B45</f>
        <v>1000000</v>
      </c>
      <c r="C43" s="347">
        <f t="shared" ref="C43:F43" si="51">+C44+C45</f>
        <v>10500000</v>
      </c>
      <c r="D43" s="347">
        <f t="shared" si="51"/>
        <v>11550000</v>
      </c>
      <c r="E43" s="347">
        <f t="shared" si="51"/>
        <v>12705000.000000002</v>
      </c>
      <c r="F43" s="347">
        <f t="shared" si="51"/>
        <v>35755000</v>
      </c>
      <c r="H43" s="544" t="s">
        <v>602</v>
      </c>
      <c r="I43" s="544"/>
      <c r="J43" s="544"/>
      <c r="K43" s="544"/>
      <c r="L43" s="366"/>
      <c r="M43" s="366"/>
    </row>
    <row r="44" spans="1:13" x14ac:dyDescent="0.3">
      <c r="A44" s="63" t="s">
        <v>13</v>
      </c>
      <c r="B44" s="373">
        <f>+'REAJUSTE DE INGRESOS 2024 (2)'!T46</f>
        <v>1000000</v>
      </c>
      <c r="C44" s="373">
        <v>10000000</v>
      </c>
      <c r="D44" s="373">
        <f>+C44*1.1</f>
        <v>11000000</v>
      </c>
      <c r="E44" s="373">
        <f>+D44*1.1</f>
        <v>12100000.000000002</v>
      </c>
      <c r="F44" s="373">
        <f t="shared" ref="F44:F45" si="52">SUM(B44:E44)</f>
        <v>34100000</v>
      </c>
      <c r="H44" s="366"/>
      <c r="I44" s="366"/>
      <c r="J44" s="366"/>
      <c r="K44" s="366"/>
      <c r="L44" s="366"/>
      <c r="M44" s="366"/>
    </row>
    <row r="45" spans="1:13" x14ac:dyDescent="0.3">
      <c r="A45" s="158" t="s">
        <v>15</v>
      </c>
      <c r="B45" s="347">
        <v>0</v>
      </c>
      <c r="C45" s="347">
        <v>500000</v>
      </c>
      <c r="D45" s="347">
        <f>+C45*1.1</f>
        <v>550000</v>
      </c>
      <c r="E45" s="347">
        <f>+D45*1.1</f>
        <v>605000</v>
      </c>
      <c r="F45" s="347">
        <f t="shared" si="52"/>
        <v>1655000</v>
      </c>
      <c r="H45" s="367">
        <v>650000</v>
      </c>
      <c r="I45" s="367">
        <v>715000</v>
      </c>
      <c r="J45" s="367">
        <v>786500</v>
      </c>
      <c r="K45" s="367">
        <v>865150</v>
      </c>
      <c r="L45" s="366"/>
      <c r="M45" s="366"/>
    </row>
    <row r="46" spans="1:13" x14ac:dyDescent="0.3">
      <c r="A46" s="63" t="s">
        <v>74</v>
      </c>
      <c r="B46" s="373">
        <f>+B47</f>
        <v>355308833.88000011</v>
      </c>
      <c r="C46" s="373">
        <f t="shared" ref="C46:F47" si="53">+C47</f>
        <v>373074275.57400012</v>
      </c>
      <c r="D46" s="373">
        <f t="shared" si="53"/>
        <v>391727989.35270011</v>
      </c>
      <c r="E46" s="373">
        <f t="shared" si="53"/>
        <v>411314388.82033515</v>
      </c>
      <c r="F46" s="373">
        <f t="shared" si="53"/>
        <v>1531425487.6270354</v>
      </c>
      <c r="H46" s="367"/>
      <c r="I46" s="367"/>
      <c r="J46" s="367"/>
      <c r="K46" s="367"/>
      <c r="L46" s="366"/>
      <c r="M46" s="366"/>
    </row>
    <row r="47" spans="1:13" x14ac:dyDescent="0.3">
      <c r="A47" s="71" t="s">
        <v>76</v>
      </c>
      <c r="B47" s="347">
        <f>+B48</f>
        <v>355308833.88000011</v>
      </c>
      <c r="C47" s="347">
        <f t="shared" si="53"/>
        <v>373074275.57400012</v>
      </c>
      <c r="D47" s="347">
        <f t="shared" si="53"/>
        <v>391727989.35270011</v>
      </c>
      <c r="E47" s="347">
        <f t="shared" si="53"/>
        <v>411314388.82033515</v>
      </c>
      <c r="F47" s="347">
        <f t="shared" si="53"/>
        <v>1531425487.6270354</v>
      </c>
      <c r="H47" s="367">
        <f>+H45*15%</f>
        <v>97500</v>
      </c>
      <c r="I47" s="367">
        <f>+I45*15%</f>
        <v>107250</v>
      </c>
      <c r="J47" s="367">
        <f>+J45*15%</f>
        <v>117975</v>
      </c>
      <c r="K47" s="367">
        <f>+K45*15%</f>
        <v>129772.5</v>
      </c>
      <c r="L47" s="366"/>
      <c r="M47" s="366"/>
    </row>
    <row r="48" spans="1:13" x14ac:dyDescent="0.3">
      <c r="A48" s="63" t="s">
        <v>78</v>
      </c>
      <c r="B48" s="373">
        <f>+B49+B50</f>
        <v>355308833.88000011</v>
      </c>
      <c r="C48" s="373">
        <f t="shared" ref="C48:E48" si="54">+C49+C50</f>
        <v>373074275.57400012</v>
      </c>
      <c r="D48" s="373">
        <f t="shared" si="54"/>
        <v>391727989.35270011</v>
      </c>
      <c r="E48" s="373">
        <f t="shared" si="54"/>
        <v>411314388.82033515</v>
      </c>
      <c r="F48" s="373">
        <f t="shared" ref="F48" si="55">+F49+F50</f>
        <v>1531425487.6270354</v>
      </c>
      <c r="H48" s="368"/>
      <c r="I48" s="368"/>
      <c r="J48" s="368"/>
      <c r="K48" s="368"/>
      <c r="L48" s="366"/>
      <c r="M48" s="366"/>
    </row>
    <row r="49" spans="1:13" x14ac:dyDescent="0.3">
      <c r="A49" s="71" t="s">
        <v>30</v>
      </c>
      <c r="B49" s="347">
        <f>+'REAJUSTE DE INGRESOS 2024 (2)'!T50</f>
        <v>300645936.36000007</v>
      </c>
      <c r="C49" s="347">
        <f>+B49*1.05</f>
        <v>315678233.17800009</v>
      </c>
      <c r="D49" s="347">
        <f t="shared" ref="D49:E50" si="56">+C49*1.05</f>
        <v>331462144.83690012</v>
      </c>
      <c r="E49" s="347">
        <f t="shared" si="56"/>
        <v>348035252.07874513</v>
      </c>
      <c r="F49" s="347">
        <f t="shared" ref="F49:F50" si="57">SUM(B49:E49)</f>
        <v>1295821566.4536452</v>
      </c>
      <c r="H49" s="368"/>
      <c r="I49" s="370">
        <v>10329623578</v>
      </c>
      <c r="J49" s="370" t="s">
        <v>603</v>
      </c>
      <c r="K49" s="368" t="s">
        <v>604</v>
      </c>
      <c r="L49" s="366"/>
      <c r="M49" s="366"/>
    </row>
    <row r="50" spans="1:13" x14ac:dyDescent="0.3">
      <c r="A50" s="63" t="s">
        <v>32</v>
      </c>
      <c r="B50" s="373">
        <f>+'REAJUSTE DE INGRESOS 2024 (2)'!T51</f>
        <v>54662897.520000011</v>
      </c>
      <c r="C50" s="373">
        <f>+B50*1.05</f>
        <v>57396042.396000013</v>
      </c>
      <c r="D50" s="373">
        <f t="shared" si="56"/>
        <v>60265844.515800014</v>
      </c>
      <c r="E50" s="373">
        <f t="shared" si="56"/>
        <v>63279136.741590016</v>
      </c>
      <c r="F50" s="373">
        <f t="shared" si="57"/>
        <v>235603921.17339006</v>
      </c>
      <c r="H50" s="369"/>
      <c r="I50" s="369"/>
      <c r="J50" s="369"/>
      <c r="K50" s="366"/>
      <c r="L50" s="366"/>
      <c r="M50" s="366"/>
    </row>
    <row r="51" spans="1:13" x14ac:dyDescent="0.3">
      <c r="A51" s="71" t="s">
        <v>81</v>
      </c>
      <c r="B51" s="347">
        <f>+B52+B57</f>
        <v>87165000000</v>
      </c>
      <c r="C51" s="347">
        <f t="shared" ref="C51:E51" si="58">+C52+C57</f>
        <v>89583000000</v>
      </c>
      <c r="D51" s="347">
        <f t="shared" si="58"/>
        <v>98537400000</v>
      </c>
      <c r="E51" s="347">
        <f t="shared" si="58"/>
        <v>108387045000</v>
      </c>
      <c r="F51" s="347">
        <f t="shared" ref="F51" si="59">+F52+F57</f>
        <v>383672445000</v>
      </c>
      <c r="H51" s="369"/>
      <c r="I51" s="369"/>
      <c r="J51" s="369"/>
      <c r="K51" s="366"/>
      <c r="L51" s="366"/>
      <c r="M51" s="366"/>
    </row>
    <row r="52" spans="1:13" x14ac:dyDescent="0.3">
      <c r="A52" s="63" t="s">
        <v>120</v>
      </c>
      <c r="B52" s="373">
        <f>+B53</f>
        <v>87120000000</v>
      </c>
      <c r="C52" s="373">
        <f t="shared" ref="C52:F53" si="60">+C53</f>
        <v>89505000000</v>
      </c>
      <c r="D52" s="373">
        <f t="shared" si="60"/>
        <v>98455500000</v>
      </c>
      <c r="E52" s="373">
        <f t="shared" si="60"/>
        <v>108301050000</v>
      </c>
      <c r="F52" s="373">
        <f t="shared" si="60"/>
        <v>383381550000</v>
      </c>
      <c r="H52" s="365"/>
      <c r="I52" s="365"/>
      <c r="J52" s="365"/>
    </row>
    <row r="53" spans="1:13" x14ac:dyDescent="0.3">
      <c r="A53" s="71" t="s">
        <v>83</v>
      </c>
      <c r="B53" s="347">
        <f>+B54</f>
        <v>87120000000</v>
      </c>
      <c r="C53" s="347">
        <f t="shared" si="60"/>
        <v>89505000000</v>
      </c>
      <c r="D53" s="347">
        <f t="shared" si="60"/>
        <v>98455500000</v>
      </c>
      <c r="E53" s="347">
        <f t="shared" si="60"/>
        <v>108301050000</v>
      </c>
      <c r="F53" s="347">
        <f t="shared" si="60"/>
        <v>383381550000</v>
      </c>
    </row>
    <row r="54" spans="1:13" x14ac:dyDescent="0.3">
      <c r="A54" s="63" t="s">
        <v>84</v>
      </c>
      <c r="B54" s="373">
        <f>+B55+B56</f>
        <v>87120000000</v>
      </c>
      <c r="C54" s="373">
        <f t="shared" ref="C54:E54" si="61">+C55+C56</f>
        <v>89505000000</v>
      </c>
      <c r="D54" s="373">
        <f t="shared" si="61"/>
        <v>98455500000</v>
      </c>
      <c r="E54" s="373">
        <f t="shared" si="61"/>
        <v>108301050000</v>
      </c>
      <c r="F54" s="373">
        <f t="shared" ref="F54" si="62">+F55+F56</f>
        <v>383381550000</v>
      </c>
    </row>
    <row r="55" spans="1:13" x14ac:dyDescent="0.3">
      <c r="A55" s="71" t="s">
        <v>30</v>
      </c>
      <c r="B55" s="347">
        <f>+'REAJUSTE DE INGRESOS 2024 (2)'!T56+2000000000</f>
        <v>81001789284</v>
      </c>
      <c r="C55" s="347">
        <f>+(((715000000000*0.15)*0.85))*0.8</f>
        <v>72930000000</v>
      </c>
      <c r="D55" s="347">
        <f>+(((786500000000*0.15)*0.85))*0.8</f>
        <v>80223000000</v>
      </c>
      <c r="E55" s="347">
        <f>+(((865150000000*0.15)*0.85))*0.8</f>
        <v>88245300000</v>
      </c>
      <c r="F55" s="347">
        <f t="shared" ref="F55:F56" si="63">SUM(B55:E55)</f>
        <v>322400089284</v>
      </c>
      <c r="G55" s="246"/>
    </row>
    <row r="56" spans="1:13" x14ac:dyDescent="0.3">
      <c r="A56" s="63" t="s">
        <v>32</v>
      </c>
      <c r="B56" s="373">
        <f>+'REAJUSTE DE INGRESOS 2024 (2)'!T57</f>
        <v>6118210716</v>
      </c>
      <c r="C56" s="373">
        <f>((650000000000*0.15)*0.85)*0.2</f>
        <v>16575000000</v>
      </c>
      <c r="D56" s="373">
        <f>+((715000000000*0.15)*0.85)*0.2</f>
        <v>18232500000</v>
      </c>
      <c r="E56" s="373">
        <f>+(((786500000000*0.15))*0.85)*0.2</f>
        <v>20055750000</v>
      </c>
      <c r="F56" s="373">
        <f t="shared" si="63"/>
        <v>60981460716</v>
      </c>
      <c r="G56" s="247"/>
    </row>
    <row r="57" spans="1:13" x14ac:dyDescent="0.3">
      <c r="A57" s="71" t="s">
        <v>121</v>
      </c>
      <c r="B57" s="347">
        <f>+B58</f>
        <v>45000000</v>
      </c>
      <c r="C57" s="347">
        <f t="shared" ref="C57:F57" si="64">+C58</f>
        <v>78000000</v>
      </c>
      <c r="D57" s="347">
        <f t="shared" si="64"/>
        <v>81900000</v>
      </c>
      <c r="E57" s="347">
        <f t="shared" si="64"/>
        <v>85995000</v>
      </c>
      <c r="F57" s="347">
        <f t="shared" si="64"/>
        <v>290895000</v>
      </c>
    </row>
    <row r="58" spans="1:13" x14ac:dyDescent="0.3">
      <c r="A58" s="63" t="s">
        <v>599</v>
      </c>
      <c r="B58" s="373">
        <f>+'REAJUSTE DE INGRESOS 2024 (2)'!T59</f>
        <v>45000000</v>
      </c>
      <c r="C58" s="373">
        <v>78000000</v>
      </c>
      <c r="D58" s="373">
        <f>+C58*1.05</f>
        <v>81900000</v>
      </c>
      <c r="E58" s="373">
        <f>+D58*1.05</f>
        <v>85995000</v>
      </c>
      <c r="F58" s="373">
        <f>SUM(B58:E58)</f>
        <v>290895000</v>
      </c>
    </row>
    <row r="59" spans="1:13" x14ac:dyDescent="0.3">
      <c r="A59" s="71" t="s">
        <v>86</v>
      </c>
      <c r="B59" s="347">
        <f>+B60+B64+B62</f>
        <v>504375319.82880008</v>
      </c>
      <c r="C59" s="347">
        <f t="shared" ref="C59:E59" si="65">+C60+C64+C62</f>
        <v>529594085.82024008</v>
      </c>
      <c r="D59" s="347">
        <f t="shared" si="65"/>
        <v>556073790.11125207</v>
      </c>
      <c r="E59" s="347">
        <f t="shared" si="65"/>
        <v>583877479.61681473</v>
      </c>
      <c r="F59" s="347">
        <f t="shared" ref="F59" si="66">+F60+F64+F62</f>
        <v>2173920675.3771071</v>
      </c>
    </row>
    <row r="60" spans="1:13" x14ac:dyDescent="0.3">
      <c r="A60" s="63" t="s">
        <v>88</v>
      </c>
      <c r="B60" s="373">
        <f>+B61</f>
        <v>504375319.82880008</v>
      </c>
      <c r="C60" s="373">
        <f t="shared" ref="C60:F60" si="67">+C61</f>
        <v>529594085.82024008</v>
      </c>
      <c r="D60" s="373">
        <f t="shared" si="67"/>
        <v>556073790.11125207</v>
      </c>
      <c r="E60" s="373">
        <f t="shared" si="67"/>
        <v>583877479.61681473</v>
      </c>
      <c r="F60" s="373">
        <f t="shared" si="67"/>
        <v>2173920675.3771071</v>
      </c>
    </row>
    <row r="61" spans="1:13" x14ac:dyDescent="0.3">
      <c r="A61" s="71" t="s">
        <v>90</v>
      </c>
      <c r="B61" s="347">
        <f>+'REAJUSTE DE INGRESOS 2024 (2)'!T62</f>
        <v>504375319.82880008</v>
      </c>
      <c r="C61" s="347">
        <f>+B61*1.05</f>
        <v>529594085.82024008</v>
      </c>
      <c r="D61" s="347">
        <f t="shared" ref="D61:E61" si="68">+C61*1.05</f>
        <v>556073790.11125207</v>
      </c>
      <c r="E61" s="347">
        <f t="shared" si="68"/>
        <v>583877479.61681473</v>
      </c>
      <c r="F61" s="347">
        <f>SUM(B61:E61)</f>
        <v>2173920675.3771071</v>
      </c>
    </row>
    <row r="62" spans="1:13" hidden="1" x14ac:dyDescent="0.3">
      <c r="A62" s="63" t="s">
        <v>594</v>
      </c>
      <c r="B62" s="373">
        <f>+B63</f>
        <v>0</v>
      </c>
      <c r="C62" s="373">
        <f t="shared" ref="C62:F62" si="69">+C63</f>
        <v>0</v>
      </c>
      <c r="D62" s="373">
        <f t="shared" si="69"/>
        <v>0</v>
      </c>
      <c r="E62" s="373">
        <f t="shared" si="69"/>
        <v>0</v>
      </c>
      <c r="F62" s="373">
        <f t="shared" si="69"/>
        <v>0</v>
      </c>
    </row>
    <row r="63" spans="1:13" hidden="1" x14ac:dyDescent="0.3">
      <c r="A63" s="71" t="s">
        <v>595</v>
      </c>
      <c r="B63" s="347">
        <v>0</v>
      </c>
      <c r="C63" s="347"/>
      <c r="D63" s="347"/>
      <c r="E63" s="347"/>
      <c r="F63" s="347">
        <f>SUM(B63:E63)</f>
        <v>0</v>
      </c>
    </row>
    <row r="64" spans="1:13" hidden="1" x14ac:dyDescent="0.3">
      <c r="A64" s="63" t="s">
        <v>92</v>
      </c>
      <c r="B64" s="373">
        <f>+B65</f>
        <v>0</v>
      </c>
      <c r="C64" s="373">
        <f t="shared" ref="C64:F65" si="70">+C65</f>
        <v>0</v>
      </c>
      <c r="D64" s="373">
        <f t="shared" si="70"/>
        <v>0</v>
      </c>
      <c r="E64" s="373">
        <f t="shared" si="70"/>
        <v>0</v>
      </c>
      <c r="F64" s="373">
        <f t="shared" si="70"/>
        <v>0</v>
      </c>
    </row>
    <row r="65" spans="1:6" hidden="1" x14ac:dyDescent="0.3">
      <c r="A65" s="71" t="s">
        <v>96</v>
      </c>
      <c r="B65" s="347">
        <f>+B66</f>
        <v>0</v>
      </c>
      <c r="C65" s="347">
        <f t="shared" si="70"/>
        <v>0</v>
      </c>
      <c r="D65" s="347">
        <f t="shared" si="70"/>
        <v>0</v>
      </c>
      <c r="E65" s="347">
        <f t="shared" si="70"/>
        <v>0</v>
      </c>
      <c r="F65" s="347">
        <f t="shared" si="70"/>
        <v>0</v>
      </c>
    </row>
    <row r="66" spans="1:6" hidden="1" x14ac:dyDescent="0.3">
      <c r="A66" s="63" t="s">
        <v>98</v>
      </c>
      <c r="B66" s="373">
        <f>+B67+B68</f>
        <v>0</v>
      </c>
      <c r="C66" s="373">
        <f t="shared" ref="C66:E66" si="71">+C67+C68</f>
        <v>0</v>
      </c>
      <c r="D66" s="373">
        <f t="shared" si="71"/>
        <v>0</v>
      </c>
      <c r="E66" s="373">
        <f t="shared" si="71"/>
        <v>0</v>
      </c>
      <c r="F66" s="373">
        <f t="shared" ref="F66" si="72">+F67+F68</f>
        <v>0</v>
      </c>
    </row>
    <row r="67" spans="1:6" hidden="1" x14ac:dyDescent="0.3">
      <c r="A67" s="71" t="s">
        <v>30</v>
      </c>
      <c r="B67" s="347">
        <f>+'REAJUSTE DE INGRESOS 2024 (2)'!T67</f>
        <v>0</v>
      </c>
      <c r="C67" s="347"/>
      <c r="D67" s="347"/>
      <c r="E67" s="347"/>
      <c r="F67" s="347">
        <f t="shared" ref="F67:F68" si="73">SUM(B67:E67)</f>
        <v>0</v>
      </c>
    </row>
    <row r="68" spans="1:6" hidden="1" x14ac:dyDescent="0.3">
      <c r="A68" s="63" t="s">
        <v>39</v>
      </c>
      <c r="B68" s="373">
        <f>+'REAJUSTE DE INGRESOS 2024 (2)'!T68</f>
        <v>0</v>
      </c>
      <c r="C68" s="373"/>
      <c r="D68" s="373"/>
      <c r="E68" s="373"/>
      <c r="F68" s="373">
        <f t="shared" si="73"/>
        <v>0</v>
      </c>
    </row>
    <row r="69" spans="1:6" x14ac:dyDescent="0.3">
      <c r="A69" s="71" t="s">
        <v>101</v>
      </c>
      <c r="B69" s="347">
        <f>+B70+B71</f>
        <v>2311989800</v>
      </c>
      <c r="C69" s="347">
        <f t="shared" ref="C69:F69" si="74">+C70+C71</f>
        <v>2427589290</v>
      </c>
      <c r="D69" s="347">
        <f t="shared" si="74"/>
        <v>2548968754.5</v>
      </c>
      <c r="E69" s="347">
        <f t="shared" si="74"/>
        <v>2676417192.2249999</v>
      </c>
      <c r="F69" s="347">
        <f t="shared" si="74"/>
        <v>9964965036.7250004</v>
      </c>
    </row>
    <row r="70" spans="1:6" x14ac:dyDescent="0.3">
      <c r="A70" s="63" t="s">
        <v>103</v>
      </c>
      <c r="B70" s="373">
        <f>+'REAJUSTE DE INGRESOS 2024 (2)'!T70</f>
        <v>2311989800</v>
      </c>
      <c r="C70" s="373">
        <f>+B70*1.05</f>
        <v>2427589290</v>
      </c>
      <c r="D70" s="373">
        <f>+C70*1.05</f>
        <v>2548968754.5</v>
      </c>
      <c r="E70" s="373">
        <f>+D70*1.05</f>
        <v>2676417192.2249999</v>
      </c>
      <c r="F70" s="373">
        <f t="shared" ref="F70:F71" si="75">SUM(B70:E70)</f>
        <v>9964965036.7250004</v>
      </c>
    </row>
    <row r="71" spans="1:6" x14ac:dyDescent="0.3">
      <c r="A71" s="71" t="s">
        <v>105</v>
      </c>
      <c r="B71" s="347"/>
      <c r="C71" s="347"/>
      <c r="D71" s="347"/>
      <c r="E71" s="347"/>
      <c r="F71" s="347">
        <f t="shared" si="75"/>
        <v>0</v>
      </c>
    </row>
    <row r="72" spans="1:6" x14ac:dyDescent="0.3">
      <c r="A72" s="77" t="s">
        <v>106</v>
      </c>
      <c r="B72" s="375">
        <f>+B69+B3</f>
        <v>151754966215.96631</v>
      </c>
      <c r="C72" s="375">
        <f t="shared" ref="C72:E72" si="76">+C69+C3</f>
        <v>155949195508.76141</v>
      </c>
      <c r="D72" s="375">
        <f t="shared" si="76"/>
        <v>169404391081.41776</v>
      </c>
      <c r="E72" s="375">
        <f t="shared" si="76"/>
        <v>184098708748.65146</v>
      </c>
      <c r="F72" s="375">
        <f>+F69+F3</f>
        <v>661207261554.79688</v>
      </c>
    </row>
    <row r="74" spans="1:6" x14ac:dyDescent="0.3">
      <c r="F74" s="206"/>
    </row>
    <row r="75" spans="1:6" x14ac:dyDescent="0.3">
      <c r="B75" s="376"/>
    </row>
    <row r="76" spans="1:6" x14ac:dyDescent="0.3">
      <c r="F76" s="206"/>
    </row>
  </sheetData>
  <mergeCells count="4">
    <mergeCell ref="A1:A2"/>
    <mergeCell ref="B1:E1"/>
    <mergeCell ref="F1:F2"/>
    <mergeCell ref="H43:K4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BEB35-C3A9-4750-81A7-C890D606E930}">
  <dimension ref="A1:Q109"/>
  <sheetViews>
    <sheetView showGridLines="0" topLeftCell="A34" workbookViewId="0">
      <selection activeCell="I27" sqref="I27"/>
    </sheetView>
  </sheetViews>
  <sheetFormatPr baseColWidth="10" defaultColWidth="25.6640625" defaultRowHeight="10.199999999999999" x14ac:dyDescent="0.2"/>
  <cols>
    <col min="1" max="1" width="38.6640625" style="100" customWidth="1"/>
    <col min="2" max="2" width="15" style="109" bestFit="1" customWidth="1"/>
    <col min="3" max="5" width="15" style="109" customWidth="1"/>
    <col min="6" max="6" width="4.5546875" style="122" customWidth="1"/>
    <col min="7" max="7" width="17" style="100" customWidth="1"/>
    <col min="8" max="8" width="16" style="100" hidden="1" customWidth="1"/>
    <col min="9" max="9" width="14.109375" style="100" bestFit="1" customWidth="1"/>
    <col min="10" max="10" width="13.109375" style="100" hidden="1" customWidth="1"/>
    <col min="11" max="11" width="14.5546875" style="100" customWidth="1"/>
    <col min="12" max="12" width="17.6640625" style="100" hidden="1" customWidth="1"/>
    <col min="13" max="13" width="11.6640625" style="100" hidden="1" customWidth="1"/>
    <col min="14" max="14" width="14.109375" style="121" customWidth="1"/>
    <col min="15" max="15" width="14.6640625" style="121" customWidth="1"/>
    <col min="16" max="16" width="14.109375" style="121" customWidth="1"/>
    <col min="17" max="17" width="17.33203125" style="100" customWidth="1"/>
    <col min="18" max="259" width="25.6640625" style="100"/>
    <col min="260" max="260" width="14.109375" style="100" customWidth="1"/>
    <col min="261" max="261" width="10.88671875" style="100" customWidth="1"/>
    <col min="262" max="263" width="9.33203125" style="100" customWidth="1"/>
    <col min="264" max="264" width="10.44140625" style="100" customWidth="1"/>
    <col min="265" max="265" width="10.6640625" style="100" customWidth="1"/>
    <col min="266" max="266" width="9.6640625" style="100" customWidth="1"/>
    <col min="267" max="267" width="10.5546875" style="100" customWidth="1"/>
    <col min="268" max="268" width="10.6640625" style="100" customWidth="1"/>
    <col min="269" max="269" width="11.33203125" style="100" customWidth="1"/>
    <col min="270" max="270" width="10.6640625" style="100" customWidth="1"/>
    <col min="271" max="271" width="10.44140625" style="100" customWidth="1"/>
    <col min="272" max="272" width="5.109375" style="100" customWidth="1"/>
    <col min="273" max="515" width="25.6640625" style="100"/>
    <col min="516" max="516" width="14.109375" style="100" customWidth="1"/>
    <col min="517" max="517" width="10.88671875" style="100" customWidth="1"/>
    <col min="518" max="519" width="9.33203125" style="100" customWidth="1"/>
    <col min="520" max="520" width="10.44140625" style="100" customWidth="1"/>
    <col min="521" max="521" width="10.6640625" style="100" customWidth="1"/>
    <col min="522" max="522" width="9.6640625" style="100" customWidth="1"/>
    <col min="523" max="523" width="10.5546875" style="100" customWidth="1"/>
    <col min="524" max="524" width="10.6640625" style="100" customWidth="1"/>
    <col min="525" max="525" width="11.33203125" style="100" customWidth="1"/>
    <col min="526" max="526" width="10.6640625" style="100" customWidth="1"/>
    <col min="527" max="527" width="10.44140625" style="100" customWidth="1"/>
    <col min="528" max="528" width="5.109375" style="100" customWidth="1"/>
    <col min="529" max="771" width="25.6640625" style="100"/>
    <col min="772" max="772" width="14.109375" style="100" customWidth="1"/>
    <col min="773" max="773" width="10.88671875" style="100" customWidth="1"/>
    <col min="774" max="775" width="9.33203125" style="100" customWidth="1"/>
    <col min="776" max="776" width="10.44140625" style="100" customWidth="1"/>
    <col min="777" max="777" width="10.6640625" style="100" customWidth="1"/>
    <col min="778" max="778" width="9.6640625" style="100" customWidth="1"/>
    <col min="779" max="779" width="10.5546875" style="100" customWidth="1"/>
    <col min="780" max="780" width="10.6640625" style="100" customWidth="1"/>
    <col min="781" max="781" width="11.33203125" style="100" customWidth="1"/>
    <col min="782" max="782" width="10.6640625" style="100" customWidth="1"/>
    <col min="783" max="783" width="10.44140625" style="100" customWidth="1"/>
    <col min="784" max="784" width="5.109375" style="100" customWidth="1"/>
    <col min="785" max="1027" width="25.6640625" style="100"/>
    <col min="1028" max="1028" width="14.109375" style="100" customWidth="1"/>
    <col min="1029" max="1029" width="10.88671875" style="100" customWidth="1"/>
    <col min="1030" max="1031" width="9.33203125" style="100" customWidth="1"/>
    <col min="1032" max="1032" width="10.44140625" style="100" customWidth="1"/>
    <col min="1033" max="1033" width="10.6640625" style="100" customWidth="1"/>
    <col min="1034" max="1034" width="9.6640625" style="100" customWidth="1"/>
    <col min="1035" max="1035" width="10.5546875" style="100" customWidth="1"/>
    <col min="1036" max="1036" width="10.6640625" style="100" customWidth="1"/>
    <col min="1037" max="1037" width="11.33203125" style="100" customWidth="1"/>
    <col min="1038" max="1038" width="10.6640625" style="100" customWidth="1"/>
    <col min="1039" max="1039" width="10.44140625" style="100" customWidth="1"/>
    <col min="1040" max="1040" width="5.109375" style="100" customWidth="1"/>
    <col min="1041" max="1283" width="25.6640625" style="100"/>
    <col min="1284" max="1284" width="14.109375" style="100" customWidth="1"/>
    <col min="1285" max="1285" width="10.88671875" style="100" customWidth="1"/>
    <col min="1286" max="1287" width="9.33203125" style="100" customWidth="1"/>
    <col min="1288" max="1288" width="10.44140625" style="100" customWidth="1"/>
    <col min="1289" max="1289" width="10.6640625" style="100" customWidth="1"/>
    <col min="1290" max="1290" width="9.6640625" style="100" customWidth="1"/>
    <col min="1291" max="1291" width="10.5546875" style="100" customWidth="1"/>
    <col min="1292" max="1292" width="10.6640625" style="100" customWidth="1"/>
    <col min="1293" max="1293" width="11.33203125" style="100" customWidth="1"/>
    <col min="1294" max="1294" width="10.6640625" style="100" customWidth="1"/>
    <col min="1295" max="1295" width="10.44140625" style="100" customWidth="1"/>
    <col min="1296" max="1296" width="5.109375" style="100" customWidth="1"/>
    <col min="1297" max="1539" width="25.6640625" style="100"/>
    <col min="1540" max="1540" width="14.109375" style="100" customWidth="1"/>
    <col min="1541" max="1541" width="10.88671875" style="100" customWidth="1"/>
    <col min="1542" max="1543" width="9.33203125" style="100" customWidth="1"/>
    <col min="1544" max="1544" width="10.44140625" style="100" customWidth="1"/>
    <col min="1545" max="1545" width="10.6640625" style="100" customWidth="1"/>
    <col min="1546" max="1546" width="9.6640625" style="100" customWidth="1"/>
    <col min="1547" max="1547" width="10.5546875" style="100" customWidth="1"/>
    <col min="1548" max="1548" width="10.6640625" style="100" customWidth="1"/>
    <col min="1549" max="1549" width="11.33203125" style="100" customWidth="1"/>
    <col min="1550" max="1550" width="10.6640625" style="100" customWidth="1"/>
    <col min="1551" max="1551" width="10.44140625" style="100" customWidth="1"/>
    <col min="1552" max="1552" width="5.109375" style="100" customWidth="1"/>
    <col min="1553" max="1795" width="25.6640625" style="100"/>
    <col min="1796" max="1796" width="14.109375" style="100" customWidth="1"/>
    <col min="1797" max="1797" width="10.88671875" style="100" customWidth="1"/>
    <col min="1798" max="1799" width="9.33203125" style="100" customWidth="1"/>
    <col min="1800" max="1800" width="10.44140625" style="100" customWidth="1"/>
    <col min="1801" max="1801" width="10.6640625" style="100" customWidth="1"/>
    <col min="1802" max="1802" width="9.6640625" style="100" customWidth="1"/>
    <col min="1803" max="1803" width="10.5546875" style="100" customWidth="1"/>
    <col min="1804" max="1804" width="10.6640625" style="100" customWidth="1"/>
    <col min="1805" max="1805" width="11.33203125" style="100" customWidth="1"/>
    <col min="1806" max="1806" width="10.6640625" style="100" customWidth="1"/>
    <col min="1807" max="1807" width="10.44140625" style="100" customWidth="1"/>
    <col min="1808" max="1808" width="5.109375" style="100" customWidth="1"/>
    <col min="1809" max="2051" width="25.6640625" style="100"/>
    <col min="2052" max="2052" width="14.109375" style="100" customWidth="1"/>
    <col min="2053" max="2053" width="10.88671875" style="100" customWidth="1"/>
    <col min="2054" max="2055" width="9.33203125" style="100" customWidth="1"/>
    <col min="2056" max="2056" width="10.44140625" style="100" customWidth="1"/>
    <col min="2057" max="2057" width="10.6640625" style="100" customWidth="1"/>
    <col min="2058" max="2058" width="9.6640625" style="100" customWidth="1"/>
    <col min="2059" max="2059" width="10.5546875" style="100" customWidth="1"/>
    <col min="2060" max="2060" width="10.6640625" style="100" customWidth="1"/>
    <col min="2061" max="2061" width="11.33203125" style="100" customWidth="1"/>
    <col min="2062" max="2062" width="10.6640625" style="100" customWidth="1"/>
    <col min="2063" max="2063" width="10.44140625" style="100" customWidth="1"/>
    <col min="2064" max="2064" width="5.109375" style="100" customWidth="1"/>
    <col min="2065" max="2307" width="25.6640625" style="100"/>
    <col min="2308" max="2308" width="14.109375" style="100" customWidth="1"/>
    <col min="2309" max="2309" width="10.88671875" style="100" customWidth="1"/>
    <col min="2310" max="2311" width="9.33203125" style="100" customWidth="1"/>
    <col min="2312" max="2312" width="10.44140625" style="100" customWidth="1"/>
    <col min="2313" max="2313" width="10.6640625" style="100" customWidth="1"/>
    <col min="2314" max="2314" width="9.6640625" style="100" customWidth="1"/>
    <col min="2315" max="2315" width="10.5546875" style="100" customWidth="1"/>
    <col min="2316" max="2316" width="10.6640625" style="100" customWidth="1"/>
    <col min="2317" max="2317" width="11.33203125" style="100" customWidth="1"/>
    <col min="2318" max="2318" width="10.6640625" style="100" customWidth="1"/>
    <col min="2319" max="2319" width="10.44140625" style="100" customWidth="1"/>
    <col min="2320" max="2320" width="5.109375" style="100" customWidth="1"/>
    <col min="2321" max="2563" width="25.6640625" style="100"/>
    <col min="2564" max="2564" width="14.109375" style="100" customWidth="1"/>
    <col min="2565" max="2565" width="10.88671875" style="100" customWidth="1"/>
    <col min="2566" max="2567" width="9.33203125" style="100" customWidth="1"/>
    <col min="2568" max="2568" width="10.44140625" style="100" customWidth="1"/>
    <col min="2569" max="2569" width="10.6640625" style="100" customWidth="1"/>
    <col min="2570" max="2570" width="9.6640625" style="100" customWidth="1"/>
    <col min="2571" max="2571" width="10.5546875" style="100" customWidth="1"/>
    <col min="2572" max="2572" width="10.6640625" style="100" customWidth="1"/>
    <col min="2573" max="2573" width="11.33203125" style="100" customWidth="1"/>
    <col min="2574" max="2574" width="10.6640625" style="100" customWidth="1"/>
    <col min="2575" max="2575" width="10.44140625" style="100" customWidth="1"/>
    <col min="2576" max="2576" width="5.109375" style="100" customWidth="1"/>
    <col min="2577" max="2819" width="25.6640625" style="100"/>
    <col min="2820" max="2820" width="14.109375" style="100" customWidth="1"/>
    <col min="2821" max="2821" width="10.88671875" style="100" customWidth="1"/>
    <col min="2822" max="2823" width="9.33203125" style="100" customWidth="1"/>
    <col min="2824" max="2824" width="10.44140625" style="100" customWidth="1"/>
    <col min="2825" max="2825" width="10.6640625" style="100" customWidth="1"/>
    <col min="2826" max="2826" width="9.6640625" style="100" customWidth="1"/>
    <col min="2827" max="2827" width="10.5546875" style="100" customWidth="1"/>
    <col min="2828" max="2828" width="10.6640625" style="100" customWidth="1"/>
    <col min="2829" max="2829" width="11.33203125" style="100" customWidth="1"/>
    <col min="2830" max="2830" width="10.6640625" style="100" customWidth="1"/>
    <col min="2831" max="2831" width="10.44140625" style="100" customWidth="1"/>
    <col min="2832" max="2832" width="5.109375" style="100" customWidth="1"/>
    <col min="2833" max="3075" width="25.6640625" style="100"/>
    <col min="3076" max="3076" width="14.109375" style="100" customWidth="1"/>
    <col min="3077" max="3077" width="10.88671875" style="100" customWidth="1"/>
    <col min="3078" max="3079" width="9.33203125" style="100" customWidth="1"/>
    <col min="3080" max="3080" width="10.44140625" style="100" customWidth="1"/>
    <col min="3081" max="3081" width="10.6640625" style="100" customWidth="1"/>
    <col min="3082" max="3082" width="9.6640625" style="100" customWidth="1"/>
    <col min="3083" max="3083" width="10.5546875" style="100" customWidth="1"/>
    <col min="3084" max="3084" width="10.6640625" style="100" customWidth="1"/>
    <col min="3085" max="3085" width="11.33203125" style="100" customWidth="1"/>
    <col min="3086" max="3086" width="10.6640625" style="100" customWidth="1"/>
    <col min="3087" max="3087" width="10.44140625" style="100" customWidth="1"/>
    <col min="3088" max="3088" width="5.109375" style="100" customWidth="1"/>
    <col min="3089" max="3331" width="25.6640625" style="100"/>
    <col min="3332" max="3332" width="14.109375" style="100" customWidth="1"/>
    <col min="3333" max="3333" width="10.88671875" style="100" customWidth="1"/>
    <col min="3334" max="3335" width="9.33203125" style="100" customWidth="1"/>
    <col min="3336" max="3336" width="10.44140625" style="100" customWidth="1"/>
    <col min="3337" max="3337" width="10.6640625" style="100" customWidth="1"/>
    <col min="3338" max="3338" width="9.6640625" style="100" customWidth="1"/>
    <col min="3339" max="3339" width="10.5546875" style="100" customWidth="1"/>
    <col min="3340" max="3340" width="10.6640625" style="100" customWidth="1"/>
    <col min="3341" max="3341" width="11.33203125" style="100" customWidth="1"/>
    <col min="3342" max="3342" width="10.6640625" style="100" customWidth="1"/>
    <col min="3343" max="3343" width="10.44140625" style="100" customWidth="1"/>
    <col min="3344" max="3344" width="5.109375" style="100" customWidth="1"/>
    <col min="3345" max="3587" width="25.6640625" style="100"/>
    <col min="3588" max="3588" width="14.109375" style="100" customWidth="1"/>
    <col min="3589" max="3589" width="10.88671875" style="100" customWidth="1"/>
    <col min="3590" max="3591" width="9.33203125" style="100" customWidth="1"/>
    <col min="3592" max="3592" width="10.44140625" style="100" customWidth="1"/>
    <col min="3593" max="3593" width="10.6640625" style="100" customWidth="1"/>
    <col min="3594" max="3594" width="9.6640625" style="100" customWidth="1"/>
    <col min="3595" max="3595" width="10.5546875" style="100" customWidth="1"/>
    <col min="3596" max="3596" width="10.6640625" style="100" customWidth="1"/>
    <col min="3597" max="3597" width="11.33203125" style="100" customWidth="1"/>
    <col min="3598" max="3598" width="10.6640625" style="100" customWidth="1"/>
    <col min="3599" max="3599" width="10.44140625" style="100" customWidth="1"/>
    <col min="3600" max="3600" width="5.109375" style="100" customWidth="1"/>
    <col min="3601" max="3843" width="25.6640625" style="100"/>
    <col min="3844" max="3844" width="14.109375" style="100" customWidth="1"/>
    <col min="3845" max="3845" width="10.88671875" style="100" customWidth="1"/>
    <col min="3846" max="3847" width="9.33203125" style="100" customWidth="1"/>
    <col min="3848" max="3848" width="10.44140625" style="100" customWidth="1"/>
    <col min="3849" max="3849" width="10.6640625" style="100" customWidth="1"/>
    <col min="3850" max="3850" width="9.6640625" style="100" customWidth="1"/>
    <col min="3851" max="3851" width="10.5546875" style="100" customWidth="1"/>
    <col min="3852" max="3852" width="10.6640625" style="100" customWidth="1"/>
    <col min="3853" max="3853" width="11.33203125" style="100" customWidth="1"/>
    <col min="3854" max="3854" width="10.6640625" style="100" customWidth="1"/>
    <col min="3855" max="3855" width="10.44140625" style="100" customWidth="1"/>
    <col min="3856" max="3856" width="5.109375" style="100" customWidth="1"/>
    <col min="3857" max="4099" width="25.6640625" style="100"/>
    <col min="4100" max="4100" width="14.109375" style="100" customWidth="1"/>
    <col min="4101" max="4101" width="10.88671875" style="100" customWidth="1"/>
    <col min="4102" max="4103" width="9.33203125" style="100" customWidth="1"/>
    <col min="4104" max="4104" width="10.44140625" style="100" customWidth="1"/>
    <col min="4105" max="4105" width="10.6640625" style="100" customWidth="1"/>
    <col min="4106" max="4106" width="9.6640625" style="100" customWidth="1"/>
    <col min="4107" max="4107" width="10.5546875" style="100" customWidth="1"/>
    <col min="4108" max="4108" width="10.6640625" style="100" customWidth="1"/>
    <col min="4109" max="4109" width="11.33203125" style="100" customWidth="1"/>
    <col min="4110" max="4110" width="10.6640625" style="100" customWidth="1"/>
    <col min="4111" max="4111" width="10.44140625" style="100" customWidth="1"/>
    <col min="4112" max="4112" width="5.109375" style="100" customWidth="1"/>
    <col min="4113" max="4355" width="25.6640625" style="100"/>
    <col min="4356" max="4356" width="14.109375" style="100" customWidth="1"/>
    <col min="4357" max="4357" width="10.88671875" style="100" customWidth="1"/>
    <col min="4358" max="4359" width="9.33203125" style="100" customWidth="1"/>
    <col min="4360" max="4360" width="10.44140625" style="100" customWidth="1"/>
    <col min="4361" max="4361" width="10.6640625" style="100" customWidth="1"/>
    <col min="4362" max="4362" width="9.6640625" style="100" customWidth="1"/>
    <col min="4363" max="4363" width="10.5546875" style="100" customWidth="1"/>
    <col min="4364" max="4364" width="10.6640625" style="100" customWidth="1"/>
    <col min="4365" max="4365" width="11.33203125" style="100" customWidth="1"/>
    <col min="4366" max="4366" width="10.6640625" style="100" customWidth="1"/>
    <col min="4367" max="4367" width="10.44140625" style="100" customWidth="1"/>
    <col min="4368" max="4368" width="5.109375" style="100" customWidth="1"/>
    <col min="4369" max="4611" width="25.6640625" style="100"/>
    <col min="4612" max="4612" width="14.109375" style="100" customWidth="1"/>
    <col min="4613" max="4613" width="10.88671875" style="100" customWidth="1"/>
    <col min="4614" max="4615" width="9.33203125" style="100" customWidth="1"/>
    <col min="4616" max="4616" width="10.44140625" style="100" customWidth="1"/>
    <col min="4617" max="4617" width="10.6640625" style="100" customWidth="1"/>
    <col min="4618" max="4618" width="9.6640625" style="100" customWidth="1"/>
    <col min="4619" max="4619" width="10.5546875" style="100" customWidth="1"/>
    <col min="4620" max="4620" width="10.6640625" style="100" customWidth="1"/>
    <col min="4621" max="4621" width="11.33203125" style="100" customWidth="1"/>
    <col min="4622" max="4622" width="10.6640625" style="100" customWidth="1"/>
    <col min="4623" max="4623" width="10.44140625" style="100" customWidth="1"/>
    <col min="4624" max="4624" width="5.109375" style="100" customWidth="1"/>
    <col min="4625" max="4867" width="25.6640625" style="100"/>
    <col min="4868" max="4868" width="14.109375" style="100" customWidth="1"/>
    <col min="4869" max="4869" width="10.88671875" style="100" customWidth="1"/>
    <col min="4870" max="4871" width="9.33203125" style="100" customWidth="1"/>
    <col min="4872" max="4872" width="10.44140625" style="100" customWidth="1"/>
    <col min="4873" max="4873" width="10.6640625" style="100" customWidth="1"/>
    <col min="4874" max="4874" width="9.6640625" style="100" customWidth="1"/>
    <col min="4875" max="4875" width="10.5546875" style="100" customWidth="1"/>
    <col min="4876" max="4876" width="10.6640625" style="100" customWidth="1"/>
    <col min="4877" max="4877" width="11.33203125" style="100" customWidth="1"/>
    <col min="4878" max="4878" width="10.6640625" style="100" customWidth="1"/>
    <col min="4879" max="4879" width="10.44140625" style="100" customWidth="1"/>
    <col min="4880" max="4880" width="5.109375" style="100" customWidth="1"/>
    <col min="4881" max="5123" width="25.6640625" style="100"/>
    <col min="5124" max="5124" width="14.109375" style="100" customWidth="1"/>
    <col min="5125" max="5125" width="10.88671875" style="100" customWidth="1"/>
    <col min="5126" max="5127" width="9.33203125" style="100" customWidth="1"/>
    <col min="5128" max="5128" width="10.44140625" style="100" customWidth="1"/>
    <col min="5129" max="5129" width="10.6640625" style="100" customWidth="1"/>
    <col min="5130" max="5130" width="9.6640625" style="100" customWidth="1"/>
    <col min="5131" max="5131" width="10.5546875" style="100" customWidth="1"/>
    <col min="5132" max="5132" width="10.6640625" style="100" customWidth="1"/>
    <col min="5133" max="5133" width="11.33203125" style="100" customWidth="1"/>
    <col min="5134" max="5134" width="10.6640625" style="100" customWidth="1"/>
    <col min="5135" max="5135" width="10.44140625" style="100" customWidth="1"/>
    <col min="5136" max="5136" width="5.109375" style="100" customWidth="1"/>
    <col min="5137" max="5379" width="25.6640625" style="100"/>
    <col min="5380" max="5380" width="14.109375" style="100" customWidth="1"/>
    <col min="5381" max="5381" width="10.88671875" style="100" customWidth="1"/>
    <col min="5382" max="5383" width="9.33203125" style="100" customWidth="1"/>
    <col min="5384" max="5384" width="10.44140625" style="100" customWidth="1"/>
    <col min="5385" max="5385" width="10.6640625" style="100" customWidth="1"/>
    <col min="5386" max="5386" width="9.6640625" style="100" customWidth="1"/>
    <col min="5387" max="5387" width="10.5546875" style="100" customWidth="1"/>
    <col min="5388" max="5388" width="10.6640625" style="100" customWidth="1"/>
    <col min="5389" max="5389" width="11.33203125" style="100" customWidth="1"/>
    <col min="5390" max="5390" width="10.6640625" style="100" customWidth="1"/>
    <col min="5391" max="5391" width="10.44140625" style="100" customWidth="1"/>
    <col min="5392" max="5392" width="5.109375" style="100" customWidth="1"/>
    <col min="5393" max="5635" width="25.6640625" style="100"/>
    <col min="5636" max="5636" width="14.109375" style="100" customWidth="1"/>
    <col min="5637" max="5637" width="10.88671875" style="100" customWidth="1"/>
    <col min="5638" max="5639" width="9.33203125" style="100" customWidth="1"/>
    <col min="5640" max="5640" width="10.44140625" style="100" customWidth="1"/>
    <col min="5641" max="5641" width="10.6640625" style="100" customWidth="1"/>
    <col min="5642" max="5642" width="9.6640625" style="100" customWidth="1"/>
    <col min="5643" max="5643" width="10.5546875" style="100" customWidth="1"/>
    <col min="5644" max="5644" width="10.6640625" style="100" customWidth="1"/>
    <col min="5645" max="5645" width="11.33203125" style="100" customWidth="1"/>
    <col min="5646" max="5646" width="10.6640625" style="100" customWidth="1"/>
    <col min="5647" max="5647" width="10.44140625" style="100" customWidth="1"/>
    <col min="5648" max="5648" width="5.109375" style="100" customWidth="1"/>
    <col min="5649" max="5891" width="25.6640625" style="100"/>
    <col min="5892" max="5892" width="14.109375" style="100" customWidth="1"/>
    <col min="5893" max="5893" width="10.88671875" style="100" customWidth="1"/>
    <col min="5894" max="5895" width="9.33203125" style="100" customWidth="1"/>
    <col min="5896" max="5896" width="10.44140625" style="100" customWidth="1"/>
    <col min="5897" max="5897" width="10.6640625" style="100" customWidth="1"/>
    <col min="5898" max="5898" width="9.6640625" style="100" customWidth="1"/>
    <col min="5899" max="5899" width="10.5546875" style="100" customWidth="1"/>
    <col min="5900" max="5900" width="10.6640625" style="100" customWidth="1"/>
    <col min="5901" max="5901" width="11.33203125" style="100" customWidth="1"/>
    <col min="5902" max="5902" width="10.6640625" style="100" customWidth="1"/>
    <col min="5903" max="5903" width="10.44140625" style="100" customWidth="1"/>
    <col min="5904" max="5904" width="5.109375" style="100" customWidth="1"/>
    <col min="5905" max="6147" width="25.6640625" style="100"/>
    <col min="6148" max="6148" width="14.109375" style="100" customWidth="1"/>
    <col min="6149" max="6149" width="10.88671875" style="100" customWidth="1"/>
    <col min="6150" max="6151" width="9.33203125" style="100" customWidth="1"/>
    <col min="6152" max="6152" width="10.44140625" style="100" customWidth="1"/>
    <col min="6153" max="6153" width="10.6640625" style="100" customWidth="1"/>
    <col min="6154" max="6154" width="9.6640625" style="100" customWidth="1"/>
    <col min="6155" max="6155" width="10.5546875" style="100" customWidth="1"/>
    <col min="6156" max="6156" width="10.6640625" style="100" customWidth="1"/>
    <col min="6157" max="6157" width="11.33203125" style="100" customWidth="1"/>
    <col min="6158" max="6158" width="10.6640625" style="100" customWidth="1"/>
    <col min="6159" max="6159" width="10.44140625" style="100" customWidth="1"/>
    <col min="6160" max="6160" width="5.109375" style="100" customWidth="1"/>
    <col min="6161" max="6403" width="25.6640625" style="100"/>
    <col min="6404" max="6404" width="14.109375" style="100" customWidth="1"/>
    <col min="6405" max="6405" width="10.88671875" style="100" customWidth="1"/>
    <col min="6406" max="6407" width="9.33203125" style="100" customWidth="1"/>
    <col min="6408" max="6408" width="10.44140625" style="100" customWidth="1"/>
    <col min="6409" max="6409" width="10.6640625" style="100" customWidth="1"/>
    <col min="6410" max="6410" width="9.6640625" style="100" customWidth="1"/>
    <col min="6411" max="6411" width="10.5546875" style="100" customWidth="1"/>
    <col min="6412" max="6412" width="10.6640625" style="100" customWidth="1"/>
    <col min="6413" max="6413" width="11.33203125" style="100" customWidth="1"/>
    <col min="6414" max="6414" width="10.6640625" style="100" customWidth="1"/>
    <col min="6415" max="6415" width="10.44140625" style="100" customWidth="1"/>
    <col min="6416" max="6416" width="5.109375" style="100" customWidth="1"/>
    <col min="6417" max="6659" width="25.6640625" style="100"/>
    <col min="6660" max="6660" width="14.109375" style="100" customWidth="1"/>
    <col min="6661" max="6661" width="10.88671875" style="100" customWidth="1"/>
    <col min="6662" max="6663" width="9.33203125" style="100" customWidth="1"/>
    <col min="6664" max="6664" width="10.44140625" style="100" customWidth="1"/>
    <col min="6665" max="6665" width="10.6640625" style="100" customWidth="1"/>
    <col min="6666" max="6666" width="9.6640625" style="100" customWidth="1"/>
    <col min="6667" max="6667" width="10.5546875" style="100" customWidth="1"/>
    <col min="6668" max="6668" width="10.6640625" style="100" customWidth="1"/>
    <col min="6669" max="6669" width="11.33203125" style="100" customWidth="1"/>
    <col min="6670" max="6670" width="10.6640625" style="100" customWidth="1"/>
    <col min="6671" max="6671" width="10.44140625" style="100" customWidth="1"/>
    <col min="6672" max="6672" width="5.109375" style="100" customWidth="1"/>
    <col min="6673" max="6915" width="25.6640625" style="100"/>
    <col min="6916" max="6916" width="14.109375" style="100" customWidth="1"/>
    <col min="6917" max="6917" width="10.88671875" style="100" customWidth="1"/>
    <col min="6918" max="6919" width="9.33203125" style="100" customWidth="1"/>
    <col min="6920" max="6920" width="10.44140625" style="100" customWidth="1"/>
    <col min="6921" max="6921" width="10.6640625" style="100" customWidth="1"/>
    <col min="6922" max="6922" width="9.6640625" style="100" customWidth="1"/>
    <col min="6923" max="6923" width="10.5546875" style="100" customWidth="1"/>
    <col min="6924" max="6924" width="10.6640625" style="100" customWidth="1"/>
    <col min="6925" max="6925" width="11.33203125" style="100" customWidth="1"/>
    <col min="6926" max="6926" width="10.6640625" style="100" customWidth="1"/>
    <col min="6927" max="6927" width="10.44140625" style="100" customWidth="1"/>
    <col min="6928" max="6928" width="5.109375" style="100" customWidth="1"/>
    <col min="6929" max="7171" width="25.6640625" style="100"/>
    <col min="7172" max="7172" width="14.109375" style="100" customWidth="1"/>
    <col min="7173" max="7173" width="10.88671875" style="100" customWidth="1"/>
    <col min="7174" max="7175" width="9.33203125" style="100" customWidth="1"/>
    <col min="7176" max="7176" width="10.44140625" style="100" customWidth="1"/>
    <col min="7177" max="7177" width="10.6640625" style="100" customWidth="1"/>
    <col min="7178" max="7178" width="9.6640625" style="100" customWidth="1"/>
    <col min="7179" max="7179" width="10.5546875" style="100" customWidth="1"/>
    <col min="7180" max="7180" width="10.6640625" style="100" customWidth="1"/>
    <col min="7181" max="7181" width="11.33203125" style="100" customWidth="1"/>
    <col min="7182" max="7182" width="10.6640625" style="100" customWidth="1"/>
    <col min="7183" max="7183" width="10.44140625" style="100" customWidth="1"/>
    <col min="7184" max="7184" width="5.109375" style="100" customWidth="1"/>
    <col min="7185" max="7427" width="25.6640625" style="100"/>
    <col min="7428" max="7428" width="14.109375" style="100" customWidth="1"/>
    <col min="7429" max="7429" width="10.88671875" style="100" customWidth="1"/>
    <col min="7430" max="7431" width="9.33203125" style="100" customWidth="1"/>
    <col min="7432" max="7432" width="10.44140625" style="100" customWidth="1"/>
    <col min="7433" max="7433" width="10.6640625" style="100" customWidth="1"/>
    <col min="7434" max="7434" width="9.6640625" style="100" customWidth="1"/>
    <col min="7435" max="7435" width="10.5546875" style="100" customWidth="1"/>
    <col min="7436" max="7436" width="10.6640625" style="100" customWidth="1"/>
    <col min="7437" max="7437" width="11.33203125" style="100" customWidth="1"/>
    <col min="7438" max="7438" width="10.6640625" style="100" customWidth="1"/>
    <col min="7439" max="7439" width="10.44140625" style="100" customWidth="1"/>
    <col min="7440" max="7440" width="5.109375" style="100" customWidth="1"/>
    <col min="7441" max="7683" width="25.6640625" style="100"/>
    <col min="7684" max="7684" width="14.109375" style="100" customWidth="1"/>
    <col min="7685" max="7685" width="10.88671875" style="100" customWidth="1"/>
    <col min="7686" max="7687" width="9.33203125" style="100" customWidth="1"/>
    <col min="7688" max="7688" width="10.44140625" style="100" customWidth="1"/>
    <col min="7689" max="7689" width="10.6640625" style="100" customWidth="1"/>
    <col min="7690" max="7690" width="9.6640625" style="100" customWidth="1"/>
    <col min="7691" max="7691" width="10.5546875" style="100" customWidth="1"/>
    <col min="7692" max="7692" width="10.6640625" style="100" customWidth="1"/>
    <col min="7693" max="7693" width="11.33203125" style="100" customWidth="1"/>
    <col min="7694" max="7694" width="10.6640625" style="100" customWidth="1"/>
    <col min="7695" max="7695" width="10.44140625" style="100" customWidth="1"/>
    <col min="7696" max="7696" width="5.109375" style="100" customWidth="1"/>
    <col min="7697" max="7939" width="25.6640625" style="100"/>
    <col min="7940" max="7940" width="14.109375" style="100" customWidth="1"/>
    <col min="7941" max="7941" width="10.88671875" style="100" customWidth="1"/>
    <col min="7942" max="7943" width="9.33203125" style="100" customWidth="1"/>
    <col min="7944" max="7944" width="10.44140625" style="100" customWidth="1"/>
    <col min="7945" max="7945" width="10.6640625" style="100" customWidth="1"/>
    <col min="7946" max="7946" width="9.6640625" style="100" customWidth="1"/>
    <col min="7947" max="7947" width="10.5546875" style="100" customWidth="1"/>
    <col min="7948" max="7948" width="10.6640625" style="100" customWidth="1"/>
    <col min="7949" max="7949" width="11.33203125" style="100" customWidth="1"/>
    <col min="7950" max="7950" width="10.6640625" style="100" customWidth="1"/>
    <col min="7951" max="7951" width="10.44140625" style="100" customWidth="1"/>
    <col min="7952" max="7952" width="5.109375" style="100" customWidth="1"/>
    <col min="7953" max="8195" width="25.6640625" style="100"/>
    <col min="8196" max="8196" width="14.109375" style="100" customWidth="1"/>
    <col min="8197" max="8197" width="10.88671875" style="100" customWidth="1"/>
    <col min="8198" max="8199" width="9.33203125" style="100" customWidth="1"/>
    <col min="8200" max="8200" width="10.44140625" style="100" customWidth="1"/>
    <col min="8201" max="8201" width="10.6640625" style="100" customWidth="1"/>
    <col min="8202" max="8202" width="9.6640625" style="100" customWidth="1"/>
    <col min="8203" max="8203" width="10.5546875" style="100" customWidth="1"/>
    <col min="8204" max="8204" width="10.6640625" style="100" customWidth="1"/>
    <col min="8205" max="8205" width="11.33203125" style="100" customWidth="1"/>
    <col min="8206" max="8206" width="10.6640625" style="100" customWidth="1"/>
    <col min="8207" max="8207" width="10.44140625" style="100" customWidth="1"/>
    <col min="8208" max="8208" width="5.109375" style="100" customWidth="1"/>
    <col min="8209" max="8451" width="25.6640625" style="100"/>
    <col min="8452" max="8452" width="14.109375" style="100" customWidth="1"/>
    <col min="8453" max="8453" width="10.88671875" style="100" customWidth="1"/>
    <col min="8454" max="8455" width="9.33203125" style="100" customWidth="1"/>
    <col min="8456" max="8456" width="10.44140625" style="100" customWidth="1"/>
    <col min="8457" max="8457" width="10.6640625" style="100" customWidth="1"/>
    <col min="8458" max="8458" width="9.6640625" style="100" customWidth="1"/>
    <col min="8459" max="8459" width="10.5546875" style="100" customWidth="1"/>
    <col min="8460" max="8460" width="10.6640625" style="100" customWidth="1"/>
    <col min="8461" max="8461" width="11.33203125" style="100" customWidth="1"/>
    <col min="8462" max="8462" width="10.6640625" style="100" customWidth="1"/>
    <col min="8463" max="8463" width="10.44140625" style="100" customWidth="1"/>
    <col min="8464" max="8464" width="5.109375" style="100" customWidth="1"/>
    <col min="8465" max="8707" width="25.6640625" style="100"/>
    <col min="8708" max="8708" width="14.109375" style="100" customWidth="1"/>
    <col min="8709" max="8709" width="10.88671875" style="100" customWidth="1"/>
    <col min="8710" max="8711" width="9.33203125" style="100" customWidth="1"/>
    <col min="8712" max="8712" width="10.44140625" style="100" customWidth="1"/>
    <col min="8713" max="8713" width="10.6640625" style="100" customWidth="1"/>
    <col min="8714" max="8714" width="9.6640625" style="100" customWidth="1"/>
    <col min="8715" max="8715" width="10.5546875" style="100" customWidth="1"/>
    <col min="8716" max="8716" width="10.6640625" style="100" customWidth="1"/>
    <col min="8717" max="8717" width="11.33203125" style="100" customWidth="1"/>
    <col min="8718" max="8718" width="10.6640625" style="100" customWidth="1"/>
    <col min="8719" max="8719" width="10.44140625" style="100" customWidth="1"/>
    <col min="8720" max="8720" width="5.109375" style="100" customWidth="1"/>
    <col min="8721" max="8963" width="25.6640625" style="100"/>
    <col min="8964" max="8964" width="14.109375" style="100" customWidth="1"/>
    <col min="8965" max="8965" width="10.88671875" style="100" customWidth="1"/>
    <col min="8966" max="8967" width="9.33203125" style="100" customWidth="1"/>
    <col min="8968" max="8968" width="10.44140625" style="100" customWidth="1"/>
    <col min="8969" max="8969" width="10.6640625" style="100" customWidth="1"/>
    <col min="8970" max="8970" width="9.6640625" style="100" customWidth="1"/>
    <col min="8971" max="8971" width="10.5546875" style="100" customWidth="1"/>
    <col min="8972" max="8972" width="10.6640625" style="100" customWidth="1"/>
    <col min="8973" max="8973" width="11.33203125" style="100" customWidth="1"/>
    <col min="8974" max="8974" width="10.6640625" style="100" customWidth="1"/>
    <col min="8975" max="8975" width="10.44140625" style="100" customWidth="1"/>
    <col min="8976" max="8976" width="5.109375" style="100" customWidth="1"/>
    <col min="8977" max="9219" width="25.6640625" style="100"/>
    <col min="9220" max="9220" width="14.109375" style="100" customWidth="1"/>
    <col min="9221" max="9221" width="10.88671875" style="100" customWidth="1"/>
    <col min="9222" max="9223" width="9.33203125" style="100" customWidth="1"/>
    <col min="9224" max="9224" width="10.44140625" style="100" customWidth="1"/>
    <col min="9225" max="9225" width="10.6640625" style="100" customWidth="1"/>
    <col min="9226" max="9226" width="9.6640625" style="100" customWidth="1"/>
    <col min="9227" max="9227" width="10.5546875" style="100" customWidth="1"/>
    <col min="9228" max="9228" width="10.6640625" style="100" customWidth="1"/>
    <col min="9229" max="9229" width="11.33203125" style="100" customWidth="1"/>
    <col min="9230" max="9230" width="10.6640625" style="100" customWidth="1"/>
    <col min="9231" max="9231" width="10.44140625" style="100" customWidth="1"/>
    <col min="9232" max="9232" width="5.109375" style="100" customWidth="1"/>
    <col min="9233" max="9475" width="25.6640625" style="100"/>
    <col min="9476" max="9476" width="14.109375" style="100" customWidth="1"/>
    <col min="9477" max="9477" width="10.88671875" style="100" customWidth="1"/>
    <col min="9478" max="9479" width="9.33203125" style="100" customWidth="1"/>
    <col min="9480" max="9480" width="10.44140625" style="100" customWidth="1"/>
    <col min="9481" max="9481" width="10.6640625" style="100" customWidth="1"/>
    <col min="9482" max="9482" width="9.6640625" style="100" customWidth="1"/>
    <col min="9483" max="9483" width="10.5546875" style="100" customWidth="1"/>
    <col min="9484" max="9484" width="10.6640625" style="100" customWidth="1"/>
    <col min="9485" max="9485" width="11.33203125" style="100" customWidth="1"/>
    <col min="9486" max="9486" width="10.6640625" style="100" customWidth="1"/>
    <col min="9487" max="9487" width="10.44140625" style="100" customWidth="1"/>
    <col min="9488" max="9488" width="5.109375" style="100" customWidth="1"/>
    <col min="9489" max="9731" width="25.6640625" style="100"/>
    <col min="9732" max="9732" width="14.109375" style="100" customWidth="1"/>
    <col min="9733" max="9733" width="10.88671875" style="100" customWidth="1"/>
    <col min="9734" max="9735" width="9.33203125" style="100" customWidth="1"/>
    <col min="9736" max="9736" width="10.44140625" style="100" customWidth="1"/>
    <col min="9737" max="9737" width="10.6640625" style="100" customWidth="1"/>
    <col min="9738" max="9738" width="9.6640625" style="100" customWidth="1"/>
    <col min="9739" max="9739" width="10.5546875" style="100" customWidth="1"/>
    <col min="9740" max="9740" width="10.6640625" style="100" customWidth="1"/>
    <col min="9741" max="9741" width="11.33203125" style="100" customWidth="1"/>
    <col min="9742" max="9742" width="10.6640625" style="100" customWidth="1"/>
    <col min="9743" max="9743" width="10.44140625" style="100" customWidth="1"/>
    <col min="9744" max="9744" width="5.109375" style="100" customWidth="1"/>
    <col min="9745" max="9987" width="25.6640625" style="100"/>
    <col min="9988" max="9988" width="14.109375" style="100" customWidth="1"/>
    <col min="9989" max="9989" width="10.88671875" style="100" customWidth="1"/>
    <col min="9990" max="9991" width="9.33203125" style="100" customWidth="1"/>
    <col min="9992" max="9992" width="10.44140625" style="100" customWidth="1"/>
    <col min="9993" max="9993" width="10.6640625" style="100" customWidth="1"/>
    <col min="9994" max="9994" width="9.6640625" style="100" customWidth="1"/>
    <col min="9995" max="9995" width="10.5546875" style="100" customWidth="1"/>
    <col min="9996" max="9996" width="10.6640625" style="100" customWidth="1"/>
    <col min="9997" max="9997" width="11.33203125" style="100" customWidth="1"/>
    <col min="9998" max="9998" width="10.6640625" style="100" customWidth="1"/>
    <col min="9999" max="9999" width="10.44140625" style="100" customWidth="1"/>
    <col min="10000" max="10000" width="5.109375" style="100" customWidth="1"/>
    <col min="10001" max="10243" width="25.6640625" style="100"/>
    <col min="10244" max="10244" width="14.109375" style="100" customWidth="1"/>
    <col min="10245" max="10245" width="10.88671875" style="100" customWidth="1"/>
    <col min="10246" max="10247" width="9.33203125" style="100" customWidth="1"/>
    <col min="10248" max="10248" width="10.44140625" style="100" customWidth="1"/>
    <col min="10249" max="10249" width="10.6640625" style="100" customWidth="1"/>
    <col min="10250" max="10250" width="9.6640625" style="100" customWidth="1"/>
    <col min="10251" max="10251" width="10.5546875" style="100" customWidth="1"/>
    <col min="10252" max="10252" width="10.6640625" style="100" customWidth="1"/>
    <col min="10253" max="10253" width="11.33203125" style="100" customWidth="1"/>
    <col min="10254" max="10254" width="10.6640625" style="100" customWidth="1"/>
    <col min="10255" max="10255" width="10.44140625" style="100" customWidth="1"/>
    <col min="10256" max="10256" width="5.109375" style="100" customWidth="1"/>
    <col min="10257" max="10499" width="25.6640625" style="100"/>
    <col min="10500" max="10500" width="14.109375" style="100" customWidth="1"/>
    <col min="10501" max="10501" width="10.88671875" style="100" customWidth="1"/>
    <col min="10502" max="10503" width="9.33203125" style="100" customWidth="1"/>
    <col min="10504" max="10504" width="10.44140625" style="100" customWidth="1"/>
    <col min="10505" max="10505" width="10.6640625" style="100" customWidth="1"/>
    <col min="10506" max="10506" width="9.6640625" style="100" customWidth="1"/>
    <col min="10507" max="10507" width="10.5546875" style="100" customWidth="1"/>
    <col min="10508" max="10508" width="10.6640625" style="100" customWidth="1"/>
    <col min="10509" max="10509" width="11.33203125" style="100" customWidth="1"/>
    <col min="10510" max="10510" width="10.6640625" style="100" customWidth="1"/>
    <col min="10511" max="10511" width="10.44140625" style="100" customWidth="1"/>
    <col min="10512" max="10512" width="5.109375" style="100" customWidth="1"/>
    <col min="10513" max="10755" width="25.6640625" style="100"/>
    <col min="10756" max="10756" width="14.109375" style="100" customWidth="1"/>
    <col min="10757" max="10757" width="10.88671875" style="100" customWidth="1"/>
    <col min="10758" max="10759" width="9.33203125" style="100" customWidth="1"/>
    <col min="10760" max="10760" width="10.44140625" style="100" customWidth="1"/>
    <col min="10761" max="10761" width="10.6640625" style="100" customWidth="1"/>
    <col min="10762" max="10762" width="9.6640625" style="100" customWidth="1"/>
    <col min="10763" max="10763" width="10.5546875" style="100" customWidth="1"/>
    <col min="10764" max="10764" width="10.6640625" style="100" customWidth="1"/>
    <col min="10765" max="10765" width="11.33203125" style="100" customWidth="1"/>
    <col min="10766" max="10766" width="10.6640625" style="100" customWidth="1"/>
    <col min="10767" max="10767" width="10.44140625" style="100" customWidth="1"/>
    <col min="10768" max="10768" width="5.109375" style="100" customWidth="1"/>
    <col min="10769" max="11011" width="25.6640625" style="100"/>
    <col min="11012" max="11012" width="14.109375" style="100" customWidth="1"/>
    <col min="11013" max="11013" width="10.88671875" style="100" customWidth="1"/>
    <col min="11014" max="11015" width="9.33203125" style="100" customWidth="1"/>
    <col min="11016" max="11016" width="10.44140625" style="100" customWidth="1"/>
    <col min="11017" max="11017" width="10.6640625" style="100" customWidth="1"/>
    <col min="11018" max="11018" width="9.6640625" style="100" customWidth="1"/>
    <col min="11019" max="11019" width="10.5546875" style="100" customWidth="1"/>
    <col min="11020" max="11020" width="10.6640625" style="100" customWidth="1"/>
    <col min="11021" max="11021" width="11.33203125" style="100" customWidth="1"/>
    <col min="11022" max="11022" width="10.6640625" style="100" customWidth="1"/>
    <col min="11023" max="11023" width="10.44140625" style="100" customWidth="1"/>
    <col min="11024" max="11024" width="5.109375" style="100" customWidth="1"/>
    <col min="11025" max="11267" width="25.6640625" style="100"/>
    <col min="11268" max="11268" width="14.109375" style="100" customWidth="1"/>
    <col min="11269" max="11269" width="10.88671875" style="100" customWidth="1"/>
    <col min="11270" max="11271" width="9.33203125" style="100" customWidth="1"/>
    <col min="11272" max="11272" width="10.44140625" style="100" customWidth="1"/>
    <col min="11273" max="11273" width="10.6640625" style="100" customWidth="1"/>
    <col min="11274" max="11274" width="9.6640625" style="100" customWidth="1"/>
    <col min="11275" max="11275" width="10.5546875" style="100" customWidth="1"/>
    <col min="11276" max="11276" width="10.6640625" style="100" customWidth="1"/>
    <col min="11277" max="11277" width="11.33203125" style="100" customWidth="1"/>
    <col min="11278" max="11278" width="10.6640625" style="100" customWidth="1"/>
    <col min="11279" max="11279" width="10.44140625" style="100" customWidth="1"/>
    <col min="11280" max="11280" width="5.109375" style="100" customWidth="1"/>
    <col min="11281" max="11523" width="25.6640625" style="100"/>
    <col min="11524" max="11524" width="14.109375" style="100" customWidth="1"/>
    <col min="11525" max="11525" width="10.88671875" style="100" customWidth="1"/>
    <col min="11526" max="11527" width="9.33203125" style="100" customWidth="1"/>
    <col min="11528" max="11528" width="10.44140625" style="100" customWidth="1"/>
    <col min="11529" max="11529" width="10.6640625" style="100" customWidth="1"/>
    <col min="11530" max="11530" width="9.6640625" style="100" customWidth="1"/>
    <col min="11531" max="11531" width="10.5546875" style="100" customWidth="1"/>
    <col min="11532" max="11532" width="10.6640625" style="100" customWidth="1"/>
    <col min="11533" max="11533" width="11.33203125" style="100" customWidth="1"/>
    <col min="11534" max="11534" width="10.6640625" style="100" customWidth="1"/>
    <col min="11535" max="11535" width="10.44140625" style="100" customWidth="1"/>
    <col min="11536" max="11536" width="5.109375" style="100" customWidth="1"/>
    <col min="11537" max="11779" width="25.6640625" style="100"/>
    <col min="11780" max="11780" width="14.109375" style="100" customWidth="1"/>
    <col min="11781" max="11781" width="10.88671875" style="100" customWidth="1"/>
    <col min="11782" max="11783" width="9.33203125" style="100" customWidth="1"/>
    <col min="11784" max="11784" width="10.44140625" style="100" customWidth="1"/>
    <col min="11785" max="11785" width="10.6640625" style="100" customWidth="1"/>
    <col min="11786" max="11786" width="9.6640625" style="100" customWidth="1"/>
    <col min="11787" max="11787" width="10.5546875" style="100" customWidth="1"/>
    <col min="11788" max="11788" width="10.6640625" style="100" customWidth="1"/>
    <col min="11789" max="11789" width="11.33203125" style="100" customWidth="1"/>
    <col min="11790" max="11790" width="10.6640625" style="100" customWidth="1"/>
    <col min="11791" max="11791" width="10.44140625" style="100" customWidth="1"/>
    <col min="11792" max="11792" width="5.109375" style="100" customWidth="1"/>
    <col min="11793" max="12035" width="25.6640625" style="100"/>
    <col min="12036" max="12036" width="14.109375" style="100" customWidth="1"/>
    <col min="12037" max="12037" width="10.88671875" style="100" customWidth="1"/>
    <col min="12038" max="12039" width="9.33203125" style="100" customWidth="1"/>
    <col min="12040" max="12040" width="10.44140625" style="100" customWidth="1"/>
    <col min="12041" max="12041" width="10.6640625" style="100" customWidth="1"/>
    <col min="12042" max="12042" width="9.6640625" style="100" customWidth="1"/>
    <col min="12043" max="12043" width="10.5546875" style="100" customWidth="1"/>
    <col min="12044" max="12044" width="10.6640625" style="100" customWidth="1"/>
    <col min="12045" max="12045" width="11.33203125" style="100" customWidth="1"/>
    <col min="12046" max="12046" width="10.6640625" style="100" customWidth="1"/>
    <col min="12047" max="12047" width="10.44140625" style="100" customWidth="1"/>
    <col min="12048" max="12048" width="5.109375" style="100" customWidth="1"/>
    <col min="12049" max="12291" width="25.6640625" style="100"/>
    <col min="12292" max="12292" width="14.109375" style="100" customWidth="1"/>
    <col min="12293" max="12293" width="10.88671875" style="100" customWidth="1"/>
    <col min="12294" max="12295" width="9.33203125" style="100" customWidth="1"/>
    <col min="12296" max="12296" width="10.44140625" style="100" customWidth="1"/>
    <col min="12297" max="12297" width="10.6640625" style="100" customWidth="1"/>
    <col min="12298" max="12298" width="9.6640625" style="100" customWidth="1"/>
    <col min="12299" max="12299" width="10.5546875" style="100" customWidth="1"/>
    <col min="12300" max="12300" width="10.6640625" style="100" customWidth="1"/>
    <col min="12301" max="12301" width="11.33203125" style="100" customWidth="1"/>
    <col min="12302" max="12302" width="10.6640625" style="100" customWidth="1"/>
    <col min="12303" max="12303" width="10.44140625" style="100" customWidth="1"/>
    <col min="12304" max="12304" width="5.109375" style="100" customWidth="1"/>
    <col min="12305" max="12547" width="25.6640625" style="100"/>
    <col min="12548" max="12548" width="14.109375" style="100" customWidth="1"/>
    <col min="12549" max="12549" width="10.88671875" style="100" customWidth="1"/>
    <col min="12550" max="12551" width="9.33203125" style="100" customWidth="1"/>
    <col min="12552" max="12552" width="10.44140625" style="100" customWidth="1"/>
    <col min="12553" max="12553" width="10.6640625" style="100" customWidth="1"/>
    <col min="12554" max="12554" width="9.6640625" style="100" customWidth="1"/>
    <col min="12555" max="12555" width="10.5546875" style="100" customWidth="1"/>
    <col min="12556" max="12556" width="10.6640625" style="100" customWidth="1"/>
    <col min="12557" max="12557" width="11.33203125" style="100" customWidth="1"/>
    <col min="12558" max="12558" width="10.6640625" style="100" customWidth="1"/>
    <col min="12559" max="12559" width="10.44140625" style="100" customWidth="1"/>
    <col min="12560" max="12560" width="5.109375" style="100" customWidth="1"/>
    <col min="12561" max="12803" width="25.6640625" style="100"/>
    <col min="12804" max="12804" width="14.109375" style="100" customWidth="1"/>
    <col min="12805" max="12805" width="10.88671875" style="100" customWidth="1"/>
    <col min="12806" max="12807" width="9.33203125" style="100" customWidth="1"/>
    <col min="12808" max="12808" width="10.44140625" style="100" customWidth="1"/>
    <col min="12809" max="12809" width="10.6640625" style="100" customWidth="1"/>
    <col min="12810" max="12810" width="9.6640625" style="100" customWidth="1"/>
    <col min="12811" max="12811" width="10.5546875" style="100" customWidth="1"/>
    <col min="12812" max="12812" width="10.6640625" style="100" customWidth="1"/>
    <col min="12813" max="12813" width="11.33203125" style="100" customWidth="1"/>
    <col min="12814" max="12814" width="10.6640625" style="100" customWidth="1"/>
    <col min="12815" max="12815" width="10.44140625" style="100" customWidth="1"/>
    <col min="12816" max="12816" width="5.109375" style="100" customWidth="1"/>
    <col min="12817" max="13059" width="25.6640625" style="100"/>
    <col min="13060" max="13060" width="14.109375" style="100" customWidth="1"/>
    <col min="13061" max="13061" width="10.88671875" style="100" customWidth="1"/>
    <col min="13062" max="13063" width="9.33203125" style="100" customWidth="1"/>
    <col min="13064" max="13064" width="10.44140625" style="100" customWidth="1"/>
    <col min="13065" max="13065" width="10.6640625" style="100" customWidth="1"/>
    <col min="13066" max="13066" width="9.6640625" style="100" customWidth="1"/>
    <col min="13067" max="13067" width="10.5546875" style="100" customWidth="1"/>
    <col min="13068" max="13068" width="10.6640625" style="100" customWidth="1"/>
    <col min="13069" max="13069" width="11.33203125" style="100" customWidth="1"/>
    <col min="13070" max="13070" width="10.6640625" style="100" customWidth="1"/>
    <col min="13071" max="13071" width="10.44140625" style="100" customWidth="1"/>
    <col min="13072" max="13072" width="5.109375" style="100" customWidth="1"/>
    <col min="13073" max="13315" width="25.6640625" style="100"/>
    <col min="13316" max="13316" width="14.109375" style="100" customWidth="1"/>
    <col min="13317" max="13317" width="10.88671875" style="100" customWidth="1"/>
    <col min="13318" max="13319" width="9.33203125" style="100" customWidth="1"/>
    <col min="13320" max="13320" width="10.44140625" style="100" customWidth="1"/>
    <col min="13321" max="13321" width="10.6640625" style="100" customWidth="1"/>
    <col min="13322" max="13322" width="9.6640625" style="100" customWidth="1"/>
    <col min="13323" max="13323" width="10.5546875" style="100" customWidth="1"/>
    <col min="13324" max="13324" width="10.6640625" style="100" customWidth="1"/>
    <col min="13325" max="13325" width="11.33203125" style="100" customWidth="1"/>
    <col min="13326" max="13326" width="10.6640625" style="100" customWidth="1"/>
    <col min="13327" max="13327" width="10.44140625" style="100" customWidth="1"/>
    <col min="13328" max="13328" width="5.109375" style="100" customWidth="1"/>
    <col min="13329" max="13571" width="25.6640625" style="100"/>
    <col min="13572" max="13572" width="14.109375" style="100" customWidth="1"/>
    <col min="13573" max="13573" width="10.88671875" style="100" customWidth="1"/>
    <col min="13574" max="13575" width="9.33203125" style="100" customWidth="1"/>
    <col min="13576" max="13576" width="10.44140625" style="100" customWidth="1"/>
    <col min="13577" max="13577" width="10.6640625" style="100" customWidth="1"/>
    <col min="13578" max="13578" width="9.6640625" style="100" customWidth="1"/>
    <col min="13579" max="13579" width="10.5546875" style="100" customWidth="1"/>
    <col min="13580" max="13580" width="10.6640625" style="100" customWidth="1"/>
    <col min="13581" max="13581" width="11.33203125" style="100" customWidth="1"/>
    <col min="13582" max="13582" width="10.6640625" style="100" customWidth="1"/>
    <col min="13583" max="13583" width="10.44140625" style="100" customWidth="1"/>
    <col min="13584" max="13584" width="5.109375" style="100" customWidth="1"/>
    <col min="13585" max="13827" width="25.6640625" style="100"/>
    <col min="13828" max="13828" width="14.109375" style="100" customWidth="1"/>
    <col min="13829" max="13829" width="10.88671875" style="100" customWidth="1"/>
    <col min="13830" max="13831" width="9.33203125" style="100" customWidth="1"/>
    <col min="13832" max="13832" width="10.44140625" style="100" customWidth="1"/>
    <col min="13833" max="13833" width="10.6640625" style="100" customWidth="1"/>
    <col min="13834" max="13834" width="9.6640625" style="100" customWidth="1"/>
    <col min="13835" max="13835" width="10.5546875" style="100" customWidth="1"/>
    <col min="13836" max="13836" width="10.6640625" style="100" customWidth="1"/>
    <col min="13837" max="13837" width="11.33203125" style="100" customWidth="1"/>
    <col min="13838" max="13838" width="10.6640625" style="100" customWidth="1"/>
    <col min="13839" max="13839" width="10.44140625" style="100" customWidth="1"/>
    <col min="13840" max="13840" width="5.109375" style="100" customWidth="1"/>
    <col min="13841" max="14083" width="25.6640625" style="100"/>
    <col min="14084" max="14084" width="14.109375" style="100" customWidth="1"/>
    <col min="14085" max="14085" width="10.88671875" style="100" customWidth="1"/>
    <col min="14086" max="14087" width="9.33203125" style="100" customWidth="1"/>
    <col min="14088" max="14088" width="10.44140625" style="100" customWidth="1"/>
    <col min="14089" max="14089" width="10.6640625" style="100" customWidth="1"/>
    <col min="14090" max="14090" width="9.6640625" style="100" customWidth="1"/>
    <col min="14091" max="14091" width="10.5546875" style="100" customWidth="1"/>
    <col min="14092" max="14092" width="10.6640625" style="100" customWidth="1"/>
    <col min="14093" max="14093" width="11.33203125" style="100" customWidth="1"/>
    <col min="14094" max="14094" width="10.6640625" style="100" customWidth="1"/>
    <col min="14095" max="14095" width="10.44140625" style="100" customWidth="1"/>
    <col min="14096" max="14096" width="5.109375" style="100" customWidth="1"/>
    <col min="14097" max="14339" width="25.6640625" style="100"/>
    <col min="14340" max="14340" width="14.109375" style="100" customWidth="1"/>
    <col min="14341" max="14341" width="10.88671875" style="100" customWidth="1"/>
    <col min="14342" max="14343" width="9.33203125" style="100" customWidth="1"/>
    <col min="14344" max="14344" width="10.44140625" style="100" customWidth="1"/>
    <col min="14345" max="14345" width="10.6640625" style="100" customWidth="1"/>
    <col min="14346" max="14346" width="9.6640625" style="100" customWidth="1"/>
    <col min="14347" max="14347" width="10.5546875" style="100" customWidth="1"/>
    <col min="14348" max="14348" width="10.6640625" style="100" customWidth="1"/>
    <col min="14349" max="14349" width="11.33203125" style="100" customWidth="1"/>
    <col min="14350" max="14350" width="10.6640625" style="100" customWidth="1"/>
    <col min="14351" max="14351" width="10.44140625" style="100" customWidth="1"/>
    <col min="14352" max="14352" width="5.109375" style="100" customWidth="1"/>
    <col min="14353" max="14595" width="25.6640625" style="100"/>
    <col min="14596" max="14596" width="14.109375" style="100" customWidth="1"/>
    <col min="14597" max="14597" width="10.88671875" style="100" customWidth="1"/>
    <col min="14598" max="14599" width="9.33203125" style="100" customWidth="1"/>
    <col min="14600" max="14600" width="10.44140625" style="100" customWidth="1"/>
    <col min="14601" max="14601" width="10.6640625" style="100" customWidth="1"/>
    <col min="14602" max="14602" width="9.6640625" style="100" customWidth="1"/>
    <col min="14603" max="14603" width="10.5546875" style="100" customWidth="1"/>
    <col min="14604" max="14604" width="10.6640625" style="100" customWidth="1"/>
    <col min="14605" max="14605" width="11.33203125" style="100" customWidth="1"/>
    <col min="14606" max="14606" width="10.6640625" style="100" customWidth="1"/>
    <col min="14607" max="14607" width="10.44140625" style="100" customWidth="1"/>
    <col min="14608" max="14608" width="5.109375" style="100" customWidth="1"/>
    <col min="14609" max="14851" width="25.6640625" style="100"/>
    <col min="14852" max="14852" width="14.109375" style="100" customWidth="1"/>
    <col min="14853" max="14853" width="10.88671875" style="100" customWidth="1"/>
    <col min="14854" max="14855" width="9.33203125" style="100" customWidth="1"/>
    <col min="14856" max="14856" width="10.44140625" style="100" customWidth="1"/>
    <col min="14857" max="14857" width="10.6640625" style="100" customWidth="1"/>
    <col min="14858" max="14858" width="9.6640625" style="100" customWidth="1"/>
    <col min="14859" max="14859" width="10.5546875" style="100" customWidth="1"/>
    <col min="14860" max="14860" width="10.6640625" style="100" customWidth="1"/>
    <col min="14861" max="14861" width="11.33203125" style="100" customWidth="1"/>
    <col min="14862" max="14862" width="10.6640625" style="100" customWidth="1"/>
    <col min="14863" max="14863" width="10.44140625" style="100" customWidth="1"/>
    <col min="14864" max="14864" width="5.109375" style="100" customWidth="1"/>
    <col min="14865" max="15107" width="25.6640625" style="100"/>
    <col min="15108" max="15108" width="14.109375" style="100" customWidth="1"/>
    <col min="15109" max="15109" width="10.88671875" style="100" customWidth="1"/>
    <col min="15110" max="15111" width="9.33203125" style="100" customWidth="1"/>
    <col min="15112" max="15112" width="10.44140625" style="100" customWidth="1"/>
    <col min="15113" max="15113" width="10.6640625" style="100" customWidth="1"/>
    <col min="15114" max="15114" width="9.6640625" style="100" customWidth="1"/>
    <col min="15115" max="15115" width="10.5546875" style="100" customWidth="1"/>
    <col min="15116" max="15116" width="10.6640625" style="100" customWidth="1"/>
    <col min="15117" max="15117" width="11.33203125" style="100" customWidth="1"/>
    <col min="15118" max="15118" width="10.6640625" style="100" customWidth="1"/>
    <col min="15119" max="15119" width="10.44140625" style="100" customWidth="1"/>
    <col min="15120" max="15120" width="5.109375" style="100" customWidth="1"/>
    <col min="15121" max="15363" width="25.6640625" style="100"/>
    <col min="15364" max="15364" width="14.109375" style="100" customWidth="1"/>
    <col min="15365" max="15365" width="10.88671875" style="100" customWidth="1"/>
    <col min="15366" max="15367" width="9.33203125" style="100" customWidth="1"/>
    <col min="15368" max="15368" width="10.44140625" style="100" customWidth="1"/>
    <col min="15369" max="15369" width="10.6640625" style="100" customWidth="1"/>
    <col min="15370" max="15370" width="9.6640625" style="100" customWidth="1"/>
    <col min="15371" max="15371" width="10.5546875" style="100" customWidth="1"/>
    <col min="15372" max="15372" width="10.6640625" style="100" customWidth="1"/>
    <col min="15373" max="15373" width="11.33203125" style="100" customWidth="1"/>
    <col min="15374" max="15374" width="10.6640625" style="100" customWidth="1"/>
    <col min="15375" max="15375" width="10.44140625" style="100" customWidth="1"/>
    <col min="15376" max="15376" width="5.109375" style="100" customWidth="1"/>
    <col min="15377" max="15619" width="25.6640625" style="100"/>
    <col min="15620" max="15620" width="14.109375" style="100" customWidth="1"/>
    <col min="15621" max="15621" width="10.88671875" style="100" customWidth="1"/>
    <col min="15622" max="15623" width="9.33203125" style="100" customWidth="1"/>
    <col min="15624" max="15624" width="10.44140625" style="100" customWidth="1"/>
    <col min="15625" max="15625" width="10.6640625" style="100" customWidth="1"/>
    <col min="15626" max="15626" width="9.6640625" style="100" customWidth="1"/>
    <col min="15627" max="15627" width="10.5546875" style="100" customWidth="1"/>
    <col min="15628" max="15628" width="10.6640625" style="100" customWidth="1"/>
    <col min="15629" max="15629" width="11.33203125" style="100" customWidth="1"/>
    <col min="15630" max="15630" width="10.6640625" style="100" customWidth="1"/>
    <col min="15631" max="15631" width="10.44140625" style="100" customWidth="1"/>
    <col min="15632" max="15632" width="5.109375" style="100" customWidth="1"/>
    <col min="15633" max="15875" width="25.6640625" style="100"/>
    <col min="15876" max="15876" width="14.109375" style="100" customWidth="1"/>
    <col min="15877" max="15877" width="10.88671875" style="100" customWidth="1"/>
    <col min="15878" max="15879" width="9.33203125" style="100" customWidth="1"/>
    <col min="15880" max="15880" width="10.44140625" style="100" customWidth="1"/>
    <col min="15881" max="15881" width="10.6640625" style="100" customWidth="1"/>
    <col min="15882" max="15882" width="9.6640625" style="100" customWidth="1"/>
    <col min="15883" max="15883" width="10.5546875" style="100" customWidth="1"/>
    <col min="15884" max="15884" width="10.6640625" style="100" customWidth="1"/>
    <col min="15885" max="15885" width="11.33203125" style="100" customWidth="1"/>
    <col min="15886" max="15886" width="10.6640625" style="100" customWidth="1"/>
    <col min="15887" max="15887" width="10.44140625" style="100" customWidth="1"/>
    <col min="15888" max="15888" width="5.109375" style="100" customWidth="1"/>
    <col min="15889" max="16131" width="25.6640625" style="100"/>
    <col min="16132" max="16132" width="14.109375" style="100" customWidth="1"/>
    <col min="16133" max="16133" width="10.88671875" style="100" customWidth="1"/>
    <col min="16134" max="16135" width="9.33203125" style="100" customWidth="1"/>
    <col min="16136" max="16136" width="10.44140625" style="100" customWidth="1"/>
    <col min="16137" max="16137" width="10.6640625" style="100" customWidth="1"/>
    <col min="16138" max="16138" width="9.6640625" style="100" customWidth="1"/>
    <col min="16139" max="16139" width="10.5546875" style="100" customWidth="1"/>
    <col min="16140" max="16140" width="10.6640625" style="100" customWidth="1"/>
    <col min="16141" max="16141" width="11.33203125" style="100" customWidth="1"/>
    <col min="16142" max="16142" width="10.6640625" style="100" customWidth="1"/>
    <col min="16143" max="16143" width="10.44140625" style="100" customWidth="1"/>
    <col min="16144" max="16144" width="5.109375" style="100" customWidth="1"/>
    <col min="16145" max="16384" width="25.6640625" style="100"/>
  </cols>
  <sheetData>
    <row r="1" spans="1:17" ht="13.5" customHeight="1" x14ac:dyDescent="0.2">
      <c r="A1" s="545" t="s">
        <v>1</v>
      </c>
      <c r="B1" s="551" t="s">
        <v>582</v>
      </c>
      <c r="C1" s="377"/>
      <c r="D1" s="377"/>
      <c r="E1" s="377"/>
      <c r="F1" s="377"/>
      <c r="G1" s="553" t="s">
        <v>132</v>
      </c>
      <c r="H1" s="553"/>
      <c r="I1" s="553"/>
      <c r="J1" s="553"/>
      <c r="K1" s="553"/>
      <c r="L1" s="378"/>
      <c r="M1" s="378"/>
      <c r="N1" s="554" t="s">
        <v>549</v>
      </c>
      <c r="O1" s="545" t="s">
        <v>550</v>
      </c>
      <c r="P1" s="545" t="s">
        <v>551</v>
      </c>
      <c r="Q1" s="545" t="s">
        <v>134</v>
      </c>
    </row>
    <row r="2" spans="1:17" ht="42.75" customHeight="1" thickBot="1" x14ac:dyDescent="0.25">
      <c r="A2" s="546"/>
      <c r="B2" s="552"/>
      <c r="C2" s="380" t="s">
        <v>579</v>
      </c>
      <c r="D2" s="380" t="s">
        <v>580</v>
      </c>
      <c r="E2" s="381" t="s">
        <v>581</v>
      </c>
      <c r="F2" s="380" t="s">
        <v>122</v>
      </c>
      <c r="G2" s="379" t="s">
        <v>615</v>
      </c>
      <c r="H2" s="406" t="s">
        <v>137</v>
      </c>
      <c r="I2" s="406" t="s">
        <v>616</v>
      </c>
      <c r="J2" s="406" t="s">
        <v>525</v>
      </c>
      <c r="K2" s="379" t="s">
        <v>136</v>
      </c>
      <c r="L2" s="379"/>
      <c r="M2" s="379"/>
      <c r="N2" s="555"/>
      <c r="O2" s="546"/>
      <c r="P2" s="546"/>
      <c r="Q2" s="546"/>
    </row>
    <row r="3" spans="1:17" x14ac:dyDescent="0.2">
      <c r="A3" s="382" t="s">
        <v>143</v>
      </c>
      <c r="B3" s="383">
        <f>+B4+B51</f>
        <v>651242296518.0719</v>
      </c>
      <c r="C3" s="383">
        <f>+C4+C51</f>
        <v>49788922521.239815</v>
      </c>
      <c r="D3" s="383">
        <f>+D4+D51</f>
        <v>23919554938.492119</v>
      </c>
      <c r="E3" s="383">
        <f>+E4+E51</f>
        <v>53024968979.011612</v>
      </c>
      <c r="F3" s="407"/>
      <c r="G3" s="383">
        <f>G4+G56</f>
        <v>151509283993</v>
      </c>
      <c r="H3" s="383"/>
      <c r="I3" s="383">
        <f>I4+I56</f>
        <v>32265329865</v>
      </c>
      <c r="J3" s="383"/>
      <c r="K3" s="383">
        <f>+K4+K51</f>
        <v>60011070904.271996</v>
      </c>
      <c r="L3" s="383"/>
      <c r="M3" s="383"/>
      <c r="N3" s="383">
        <f>+N4+N51</f>
        <v>11381976946</v>
      </c>
      <c r="O3" s="383">
        <f>+O4+O51</f>
        <v>39894052369.657005</v>
      </c>
      <c r="P3" s="384">
        <f>P4+P56+P52</f>
        <v>8970401275.2833138</v>
      </c>
      <c r="Q3" s="384">
        <f>+B3-C3-D3-E3-G3-I3-K3-N3-O3-P3</f>
        <v>220476734726.11606</v>
      </c>
    </row>
    <row r="4" spans="1:17" x14ac:dyDescent="0.2">
      <c r="A4" s="385" t="s">
        <v>5</v>
      </c>
      <c r="B4" s="386">
        <f>+B5+B9</f>
        <v>649068375842.69482</v>
      </c>
      <c r="C4" s="386">
        <f>+C5+C9</f>
        <v>49788922521.239815</v>
      </c>
      <c r="D4" s="386">
        <f>+D5+D9</f>
        <v>23919554938.492119</v>
      </c>
      <c r="E4" s="386">
        <f>+E5+E9</f>
        <v>52807576911.4739</v>
      </c>
      <c r="F4" s="408"/>
      <c r="G4" s="386">
        <f>+G5+G9</f>
        <v>151509283993</v>
      </c>
      <c r="H4" s="386">
        <f>H5+H21</f>
        <v>0</v>
      </c>
      <c r="I4" s="386">
        <f>+I5+I9</f>
        <v>32265329865</v>
      </c>
      <c r="J4" s="386"/>
      <c r="K4" s="386">
        <f>+K5+K9</f>
        <v>60011070904.271996</v>
      </c>
      <c r="L4" s="386"/>
      <c r="M4" s="386"/>
      <c r="N4" s="386">
        <f>+N5+N9</f>
        <v>11373626660</v>
      </c>
      <c r="O4" s="386">
        <f>+O5+O9</f>
        <v>39894052369.657005</v>
      </c>
      <c r="P4" s="386">
        <f>+P5+P9</f>
        <v>8970401275.2833138</v>
      </c>
      <c r="Q4" s="386">
        <f t="shared" ref="Q4:Q60" si="0">+B4-C4-D4-E4-G4-I4-K4-N4-O4-P4</f>
        <v>218528556404.2767</v>
      </c>
    </row>
    <row r="5" spans="1:17" x14ac:dyDescent="0.2">
      <c r="A5" s="385" t="s">
        <v>144</v>
      </c>
      <c r="B5" s="386">
        <f>+B6</f>
        <v>99753654000.174042</v>
      </c>
      <c r="C5" s="386"/>
      <c r="D5" s="386"/>
      <c r="E5" s="386">
        <f>+E6</f>
        <v>9975365400.0174046</v>
      </c>
      <c r="F5" s="408"/>
      <c r="G5" s="386">
        <f t="shared" ref="G5:H5" si="1">G6</f>
        <v>0</v>
      </c>
      <c r="H5" s="386">
        <f t="shared" si="1"/>
        <v>0</v>
      </c>
      <c r="I5" s="386"/>
      <c r="J5" s="386"/>
      <c r="K5" s="386">
        <f>+K6</f>
        <v>0</v>
      </c>
      <c r="L5" s="386"/>
      <c r="M5" s="386"/>
      <c r="N5" s="386">
        <f>+N6</f>
        <v>271882450</v>
      </c>
      <c r="O5" s="386"/>
      <c r="P5" s="386"/>
      <c r="Q5" s="386">
        <f t="shared" si="0"/>
        <v>89506406150.156631</v>
      </c>
    </row>
    <row r="6" spans="1:17" x14ac:dyDescent="0.2">
      <c r="A6" s="388" t="s">
        <v>145</v>
      </c>
      <c r="B6" s="389">
        <f>+B7+B8</f>
        <v>99753654000.174042</v>
      </c>
      <c r="C6" s="389"/>
      <c r="D6" s="389"/>
      <c r="E6" s="389">
        <f>+B6*10%</f>
        <v>9975365400.0174046</v>
      </c>
      <c r="F6" s="409">
        <v>0.1</v>
      </c>
      <c r="G6" s="389"/>
      <c r="H6" s="389"/>
      <c r="I6" s="389"/>
      <c r="J6" s="389"/>
      <c r="K6" s="389"/>
      <c r="L6" s="389">
        <f>+B6-G6-H6-K6</f>
        <v>99753654000.174042</v>
      </c>
      <c r="M6" s="391">
        <f>+L6/$L$61</f>
        <v>0.24484179527403144</v>
      </c>
      <c r="N6" s="389">
        <f>+'DESTINACIONES 2024 '!N6+'DESTINACIONES 2025'!N6+'DESTINACIONES 2026'!N6+'DESTINACIONES 2027'!N6</f>
        <v>271882450</v>
      </c>
      <c r="O6" s="389"/>
      <c r="P6" s="389"/>
      <c r="Q6" s="389">
        <f t="shared" si="0"/>
        <v>89506406150.156631</v>
      </c>
    </row>
    <row r="7" spans="1:17" x14ac:dyDescent="0.2">
      <c r="A7" s="385" t="s">
        <v>575</v>
      </c>
      <c r="B7" s="386">
        <f>+'Proyeccion Ingresos 2024-2027'!F8</f>
        <v>80021521595.652008</v>
      </c>
      <c r="C7" s="386"/>
      <c r="D7" s="386"/>
      <c r="E7" s="386"/>
      <c r="F7" s="408"/>
      <c r="G7" s="386"/>
      <c r="H7" s="386"/>
      <c r="I7" s="386"/>
      <c r="J7" s="386"/>
      <c r="K7" s="386"/>
      <c r="L7" s="386"/>
      <c r="M7" s="392"/>
      <c r="N7" s="386"/>
      <c r="O7" s="386"/>
      <c r="P7" s="386"/>
      <c r="Q7" s="386">
        <f t="shared" si="0"/>
        <v>80021521595.652008</v>
      </c>
    </row>
    <row r="8" spans="1:17" x14ac:dyDescent="0.2">
      <c r="A8" s="385" t="s">
        <v>576</v>
      </c>
      <c r="B8" s="386">
        <f>+'Proyeccion Ingresos 2024-2027'!F9</f>
        <v>19732132404.522041</v>
      </c>
      <c r="C8" s="386"/>
      <c r="D8" s="386"/>
      <c r="E8" s="386"/>
      <c r="F8" s="408"/>
      <c r="G8" s="386"/>
      <c r="H8" s="386"/>
      <c r="I8" s="386"/>
      <c r="J8" s="386"/>
      <c r="K8" s="386"/>
      <c r="L8" s="386"/>
      <c r="M8" s="392"/>
      <c r="N8" s="386"/>
      <c r="O8" s="386"/>
      <c r="P8" s="386"/>
      <c r="Q8" s="386">
        <f t="shared" si="0"/>
        <v>19732132404.522041</v>
      </c>
    </row>
    <row r="9" spans="1:17" x14ac:dyDescent="0.2">
      <c r="A9" s="388" t="s">
        <v>17</v>
      </c>
      <c r="B9" s="389">
        <f>+B10+B21+B42+B46</f>
        <v>549314721842.52075</v>
      </c>
      <c r="C9" s="389">
        <f>+C10+C21+C42+C46</f>
        <v>49788922521.239815</v>
      </c>
      <c r="D9" s="389">
        <f>+D10+D21+D42+D46</f>
        <v>23919554938.492119</v>
      </c>
      <c r="E9" s="389">
        <f>+E10+E21+E42+E46</f>
        <v>42832211511.456497</v>
      </c>
      <c r="F9" s="408"/>
      <c r="G9" s="389">
        <f>+G10+G21+G42+G46</f>
        <v>151509283993</v>
      </c>
      <c r="H9" s="389"/>
      <c r="I9" s="389">
        <f>+I10+I21+I42+I46</f>
        <v>32265329865</v>
      </c>
      <c r="J9" s="389"/>
      <c r="K9" s="389">
        <f>+K10+K21+K42+K46</f>
        <v>60011070904.271996</v>
      </c>
      <c r="L9" s="389"/>
      <c r="M9" s="393"/>
      <c r="N9" s="389">
        <f>+N10+N21+N42+N46</f>
        <v>11101744210</v>
      </c>
      <c r="O9" s="389">
        <f>+O10+O21+O42+O46</f>
        <v>39894052369.657005</v>
      </c>
      <c r="P9" s="389">
        <f>+P10+P21+P42+P46</f>
        <v>8970401275.2833138</v>
      </c>
      <c r="Q9" s="389">
        <f>+B9-C9-D9-E9-G9-I9-K9-N9-O9-P9</f>
        <v>129022150254.12001</v>
      </c>
    </row>
    <row r="10" spans="1:17" x14ac:dyDescent="0.2">
      <c r="A10" s="385" t="s">
        <v>19</v>
      </c>
      <c r="B10" s="386">
        <f>+B11</f>
        <v>73553272542.400467</v>
      </c>
      <c r="C10" s="386">
        <f>+C11</f>
        <v>7355327254.2400465</v>
      </c>
      <c r="D10" s="386">
        <f>+D11</f>
        <v>14710654508.480093</v>
      </c>
      <c r="E10" s="386">
        <f>+E11</f>
        <v>0</v>
      </c>
      <c r="F10" s="408"/>
      <c r="G10" s="386"/>
      <c r="H10" s="386"/>
      <c r="I10" s="386">
        <f>+I11</f>
        <v>32265329865</v>
      </c>
      <c r="J10" s="386"/>
      <c r="K10" s="386">
        <f>+K11</f>
        <v>0</v>
      </c>
      <c r="L10" s="386"/>
      <c r="M10" s="394"/>
      <c r="N10" s="386">
        <f>+N11</f>
        <v>57819324</v>
      </c>
      <c r="O10" s="386">
        <f>+O11</f>
        <v>7221303695.2970142</v>
      </c>
      <c r="P10" s="386">
        <f>+P11</f>
        <v>8970401275.2833138</v>
      </c>
      <c r="Q10" s="386">
        <v>0</v>
      </c>
    </row>
    <row r="11" spans="1:17" x14ac:dyDescent="0.2">
      <c r="A11" s="385" t="s">
        <v>146</v>
      </c>
      <c r="B11" s="386">
        <f>+B12+B15+B18</f>
        <v>73553272542.400467</v>
      </c>
      <c r="C11" s="386">
        <f>+C12+C15+C18</f>
        <v>7355327254.2400465</v>
      </c>
      <c r="D11" s="386">
        <f>+D12+D15+D18</f>
        <v>14710654508.480093</v>
      </c>
      <c r="E11" s="386">
        <f>+E12+E15+E18</f>
        <v>0</v>
      </c>
      <c r="F11" s="408"/>
      <c r="G11" s="386"/>
      <c r="H11" s="386"/>
      <c r="I11" s="386">
        <f>+I12</f>
        <v>32265329865</v>
      </c>
      <c r="J11" s="386"/>
      <c r="K11" s="386"/>
      <c r="L11" s="386"/>
      <c r="M11" s="394"/>
      <c r="N11" s="386">
        <f>+N12+N15+N18</f>
        <v>57819324</v>
      </c>
      <c r="O11" s="386">
        <f>+O12+O15+O18</f>
        <v>7221303695.2970142</v>
      </c>
      <c r="P11" s="386">
        <f>+P12+P15+P18</f>
        <v>8970401275.2833138</v>
      </c>
      <c r="Q11" s="386">
        <v>0</v>
      </c>
    </row>
    <row r="12" spans="1:17" x14ac:dyDescent="0.2">
      <c r="A12" s="388" t="s">
        <v>163</v>
      </c>
      <c r="B12" s="389">
        <f>+B13+B14</f>
        <v>58934229093.261871</v>
      </c>
      <c r="C12" s="389">
        <f>+B12*10%</f>
        <v>5893422909.3261871</v>
      </c>
      <c r="D12" s="389">
        <f>+B12*20%</f>
        <v>11786845818.652374</v>
      </c>
      <c r="E12" s="389">
        <v>0</v>
      </c>
      <c r="F12" s="409">
        <v>0</v>
      </c>
      <c r="G12" s="389"/>
      <c r="H12" s="389"/>
      <c r="I12" s="389">
        <f>+'DESTINACIONES 2024 '!I12+'DESTINACIONES 2025'!I12+'DESTINACIONES 2026'!I12+'DESTINACIONES 2027'!I12</f>
        <v>32265329865</v>
      </c>
      <c r="J12" s="389"/>
      <c r="K12" s="389"/>
      <c r="L12" s="389">
        <f>+B12-I12</f>
        <v>26668899228.261871</v>
      </c>
      <c r="M12" s="395">
        <f>+L12/L61</f>
        <v>6.5457864481019173E-2</v>
      </c>
      <c r="N12" s="396">
        <f>+'DESTINACIONES 2024 '!N12+'DESTINACIONES 2025'!N12+'DESTINACIONES 2026'!N12+'DESTINACIONES 2027'!N12</f>
        <v>18229225</v>
      </c>
      <c r="O12" s="396"/>
      <c r="P12" s="396">
        <f>+'DESTINACIONES 2024 '!P12+'DESTINACIONES 2025'!P12+'DESTINACIONES 2026'!P12+'DESTINACIONES 2027'!P12</f>
        <v>8970401275.2833138</v>
      </c>
      <c r="Q12" s="396">
        <v>0</v>
      </c>
    </row>
    <row r="13" spans="1:17" x14ac:dyDescent="0.2">
      <c r="A13" s="385" t="s">
        <v>575</v>
      </c>
      <c r="B13" s="386">
        <f>+'Proyeccion Ingresos 2024-2027'!F16</f>
        <v>52081911165.506874</v>
      </c>
      <c r="C13" s="386"/>
      <c r="D13" s="386"/>
      <c r="E13" s="386"/>
      <c r="F13" s="408"/>
      <c r="G13" s="386"/>
      <c r="H13" s="386"/>
      <c r="I13" s="386"/>
      <c r="J13" s="386"/>
      <c r="K13" s="386"/>
      <c r="L13" s="386"/>
      <c r="M13" s="397"/>
      <c r="N13" s="398"/>
      <c r="O13" s="398"/>
      <c r="P13" s="398"/>
      <c r="Q13" s="398">
        <v>0</v>
      </c>
    </row>
    <row r="14" spans="1:17" x14ac:dyDescent="0.2">
      <c r="A14" s="385" t="s">
        <v>576</v>
      </c>
      <c r="B14" s="386">
        <f>+'Proyeccion Ingresos 2024-2027'!F17</f>
        <v>6852317927.7550011</v>
      </c>
      <c r="C14" s="386"/>
      <c r="D14" s="386"/>
      <c r="E14" s="386"/>
      <c r="F14" s="408"/>
      <c r="G14" s="386"/>
      <c r="H14" s="386"/>
      <c r="I14" s="386"/>
      <c r="J14" s="386"/>
      <c r="K14" s="386"/>
      <c r="L14" s="386"/>
      <c r="M14" s="397"/>
      <c r="N14" s="398"/>
      <c r="O14" s="398"/>
      <c r="P14" s="398"/>
      <c r="Q14" s="398">
        <v>0</v>
      </c>
    </row>
    <row r="15" spans="1:17" x14ac:dyDescent="0.2">
      <c r="A15" s="388" t="s">
        <v>164</v>
      </c>
      <c r="B15" s="389">
        <f>+B16+B17</f>
        <v>14015713449.138592</v>
      </c>
      <c r="C15" s="389">
        <f>+B15*10%</f>
        <v>1401571344.9138594</v>
      </c>
      <c r="D15" s="389">
        <f>+B15*20%</f>
        <v>2803142689.8277187</v>
      </c>
      <c r="E15" s="389">
        <v>0</v>
      </c>
      <c r="F15" s="409">
        <v>0</v>
      </c>
      <c r="G15" s="389"/>
      <c r="H15" s="389"/>
      <c r="I15" s="389"/>
      <c r="J15" s="389"/>
      <c r="K15" s="389"/>
      <c r="L15" s="389">
        <f>+B15</f>
        <v>14015713449.138592</v>
      </c>
      <c r="M15" s="395">
        <f>+L15/$L$61</f>
        <v>3.4401070089397356E-2</v>
      </c>
      <c r="N15" s="396">
        <f>+'DESTINACIONES 2024 '!N15+'DESTINACIONES 2025'!N15+'DESTINACIONES 2026'!N15+'DESTINACIONES 2027'!N15</f>
        <v>38155272</v>
      </c>
      <c r="O15" s="396">
        <f>+'DESTINACIONES 2024 '!O15+'DESTINACIONES 2025'!O15+'DESTINACIONES 2026'!O15+'DESTINACIONES 2027'!O15</f>
        <v>6889972695.2970142</v>
      </c>
      <c r="P15" s="396"/>
      <c r="Q15" s="396">
        <v>0</v>
      </c>
    </row>
    <row r="16" spans="1:17" x14ac:dyDescent="0.2">
      <c r="A16" s="385" t="s">
        <v>575</v>
      </c>
      <c r="B16" s="386">
        <f>+'Proyeccion Ingresos 2024-2027'!F19</f>
        <v>11748336334.460375</v>
      </c>
      <c r="C16" s="386"/>
      <c r="D16" s="386"/>
      <c r="E16" s="386"/>
      <c r="F16" s="408"/>
      <c r="G16" s="386"/>
      <c r="H16" s="386"/>
      <c r="I16" s="386"/>
      <c r="J16" s="386"/>
      <c r="K16" s="386"/>
      <c r="L16" s="386"/>
      <c r="M16" s="397"/>
      <c r="N16" s="398"/>
      <c r="O16" s="398"/>
      <c r="P16" s="398"/>
      <c r="Q16" s="398">
        <f t="shared" si="0"/>
        <v>11748336334.460375</v>
      </c>
    </row>
    <row r="17" spans="1:17" x14ac:dyDescent="0.2">
      <c r="A17" s="385" t="s">
        <v>576</v>
      </c>
      <c r="B17" s="386">
        <f>+'Proyeccion Ingresos 2024-2027'!F20</f>
        <v>2267377114.678216</v>
      </c>
      <c r="C17" s="386"/>
      <c r="D17" s="386"/>
      <c r="E17" s="386"/>
      <c r="F17" s="408"/>
      <c r="G17" s="386"/>
      <c r="H17" s="386"/>
      <c r="I17" s="386"/>
      <c r="J17" s="386"/>
      <c r="K17" s="386"/>
      <c r="L17" s="386"/>
      <c r="M17" s="397"/>
      <c r="N17" s="398"/>
      <c r="O17" s="398"/>
      <c r="P17" s="398"/>
      <c r="Q17" s="398">
        <f t="shared" si="0"/>
        <v>2267377114.678216</v>
      </c>
    </row>
    <row r="18" spans="1:17" x14ac:dyDescent="0.2">
      <c r="A18" s="388" t="s">
        <v>577</v>
      </c>
      <c r="B18" s="389">
        <f>+B19+B20</f>
        <v>603330000</v>
      </c>
      <c r="C18" s="389">
        <f>+B18*10%</f>
        <v>60333000</v>
      </c>
      <c r="D18" s="389">
        <f>+B18*20%</f>
        <v>120666000</v>
      </c>
      <c r="E18" s="389">
        <v>0</v>
      </c>
      <c r="F18" s="410">
        <v>0</v>
      </c>
      <c r="G18" s="386"/>
      <c r="H18" s="386"/>
      <c r="I18" s="386"/>
      <c r="J18" s="386"/>
      <c r="K18" s="386"/>
      <c r="L18" s="386">
        <f t="shared" ref="L18" si="2">+B18-G18-H18-K18</f>
        <v>603330000</v>
      </c>
      <c r="M18" s="397">
        <f>+L18/$L$61</f>
        <v>1.4808520231491837E-3</v>
      </c>
      <c r="N18" s="398">
        <f>+'DESTINACIONES 2024 '!N18+'DESTINACIONES 2025'!N18+'DESTINACIONES 2026'!N18+'DESTINACIONES 2027'!N18</f>
        <v>1434827</v>
      </c>
      <c r="O18" s="398">
        <f>+'DESTINACIONES 2024 '!O18+'DESTINACIONES 2025'!O18+'DESTINACIONES 2026'!O18+'DESTINACIONES 2027'!O18</f>
        <v>331331000.00000006</v>
      </c>
      <c r="P18" s="398"/>
      <c r="Q18" s="398">
        <f t="shared" si="0"/>
        <v>89565172.99999994</v>
      </c>
    </row>
    <row r="19" spans="1:17" x14ac:dyDescent="0.2">
      <c r="A19" s="385" t="s">
        <v>575</v>
      </c>
      <c r="B19" s="386">
        <f>+'Proyeccion Ingresos 2024-2027'!F23</f>
        <v>556920000</v>
      </c>
      <c r="C19" s="386"/>
      <c r="D19" s="386"/>
      <c r="E19" s="386"/>
      <c r="F19" s="408"/>
      <c r="G19" s="386"/>
      <c r="H19" s="386"/>
      <c r="I19" s="386"/>
      <c r="J19" s="386"/>
      <c r="K19" s="386"/>
      <c r="L19" s="386"/>
      <c r="M19" s="397"/>
      <c r="N19" s="398"/>
      <c r="O19" s="398"/>
      <c r="P19" s="398"/>
      <c r="Q19" s="398">
        <f t="shared" si="0"/>
        <v>556920000</v>
      </c>
    </row>
    <row r="20" spans="1:17" x14ac:dyDescent="0.2">
      <c r="A20" s="385" t="s">
        <v>576</v>
      </c>
      <c r="B20" s="386">
        <f>+'Proyeccion Ingresos 2024-2027'!F24</f>
        <v>46410000</v>
      </c>
      <c r="C20" s="386"/>
      <c r="D20" s="386"/>
      <c r="E20" s="386"/>
      <c r="F20" s="408"/>
      <c r="G20" s="386"/>
      <c r="H20" s="386"/>
      <c r="I20" s="386"/>
      <c r="J20" s="386"/>
      <c r="K20" s="386"/>
      <c r="L20" s="386"/>
      <c r="M20" s="397"/>
      <c r="N20" s="398"/>
      <c r="O20" s="398"/>
      <c r="P20" s="398"/>
      <c r="Q20" s="398">
        <f t="shared" si="0"/>
        <v>46410000</v>
      </c>
    </row>
    <row r="21" spans="1:17" x14ac:dyDescent="0.2">
      <c r="A21" s="388" t="s">
        <v>147</v>
      </c>
      <c r="B21" s="389">
        <f>+B22+B24+B27+B30+B33+B36+B39</f>
        <v>90557578812.493195</v>
      </c>
      <c r="C21" s="389">
        <f>+C22+C24+C27+C30+C33+C36</f>
        <v>41055312328.135437</v>
      </c>
      <c r="D21" s="389">
        <f>+D22+D24+D27+D30+D33+D36+D39</f>
        <v>9055757881.249321</v>
      </c>
      <c r="E21" s="389">
        <f>+E22+E24+E27+E30+E33+E36+E39</f>
        <v>4494056511.4564943</v>
      </c>
      <c r="F21" s="408"/>
      <c r="G21" s="389">
        <f>+G22+G24+G27+G30+G33+G36+G39</f>
        <v>0</v>
      </c>
      <c r="H21" s="389">
        <f>+H22+H24+H27+H30+H33+H36+H39</f>
        <v>0</v>
      </c>
      <c r="I21" s="389">
        <f>+I22+I24+I27+I30+I33+I36+I39</f>
        <v>0</v>
      </c>
      <c r="J21" s="389"/>
      <c r="K21" s="389">
        <f>+K22+K24+K27+K30+K33+K36+K39</f>
        <v>3421570011.6719999</v>
      </c>
      <c r="L21" s="389"/>
      <c r="M21" s="393"/>
      <c r="N21" s="389">
        <f>+N22+N24+N27+N30+N33+N36+N39</f>
        <v>147332238</v>
      </c>
      <c r="O21" s="389">
        <f>+O22+O24+O27+O30+O33+O36+O39</f>
        <v>0</v>
      </c>
      <c r="P21" s="389">
        <f>+P22+P24+P27+P30+P33+P36+P39</f>
        <v>0</v>
      </c>
      <c r="Q21" s="389">
        <f>+Q22+Q24+Q27+Q30+Q33+Q36+Q39</f>
        <v>32383549841.979946</v>
      </c>
    </row>
    <row r="22" spans="1:17" x14ac:dyDescent="0.2">
      <c r="A22" s="388" t="s">
        <v>148</v>
      </c>
      <c r="B22" s="389">
        <f>+B23</f>
        <v>991233629.651384</v>
      </c>
      <c r="C22" s="389">
        <f>+B22*90%</f>
        <v>892110266.68624556</v>
      </c>
      <c r="D22" s="389">
        <f>+B22*10%</f>
        <v>99123362.965138406</v>
      </c>
      <c r="E22" s="389"/>
      <c r="F22" s="408"/>
      <c r="G22" s="386">
        <f t="shared" ref="G22" si="3">SUM(G24:G42)</f>
        <v>0</v>
      </c>
      <c r="H22" s="386"/>
      <c r="I22" s="386"/>
      <c r="J22" s="386"/>
      <c r="K22" s="389">
        <f>+K23</f>
        <v>0</v>
      </c>
      <c r="L22" s="386">
        <f t="shared" ref="L22:L36" si="4">+B22-G22-H22-K22</f>
        <v>991233629.651384</v>
      </c>
      <c r="M22" s="394"/>
      <c r="N22" s="386"/>
      <c r="O22" s="386"/>
      <c r="P22" s="386"/>
      <c r="Q22" s="386">
        <f t="shared" si="0"/>
        <v>2.9802322387695313E-8</v>
      </c>
    </row>
    <row r="23" spans="1:17" x14ac:dyDescent="0.2">
      <c r="A23" s="385" t="s">
        <v>578</v>
      </c>
      <c r="B23" s="386">
        <f>+'Proyeccion Ingresos 2024-2027'!F27</f>
        <v>991233629.651384</v>
      </c>
      <c r="C23" s="386"/>
      <c r="D23" s="386"/>
      <c r="E23" s="386"/>
      <c r="F23" s="408"/>
      <c r="G23" s="386"/>
      <c r="H23" s="386"/>
      <c r="I23" s="386"/>
      <c r="J23" s="386"/>
      <c r="K23" s="386"/>
      <c r="L23" s="386"/>
      <c r="M23" s="394"/>
      <c r="N23" s="386"/>
      <c r="O23" s="386"/>
      <c r="P23" s="386"/>
      <c r="Q23" s="386">
        <f t="shared" si="0"/>
        <v>991233629.651384</v>
      </c>
    </row>
    <row r="24" spans="1:17" x14ac:dyDescent="0.2">
      <c r="A24" s="388" t="s">
        <v>149</v>
      </c>
      <c r="B24" s="389">
        <f>+B25+B26</f>
        <v>9686804469.3271255</v>
      </c>
      <c r="C24" s="389">
        <f>+B24*90%</f>
        <v>8718124022.394413</v>
      </c>
      <c r="D24" s="389">
        <f>+B24*10%</f>
        <v>968680446.93271255</v>
      </c>
      <c r="E24" s="389"/>
      <c r="F24" s="408"/>
      <c r="G24" s="386"/>
      <c r="H24" s="386"/>
      <c r="I24" s="386"/>
      <c r="J24" s="386"/>
      <c r="K24" s="389">
        <f>+K25+K26</f>
        <v>0</v>
      </c>
      <c r="L24" s="386">
        <f t="shared" si="4"/>
        <v>9686804469.3271255</v>
      </c>
      <c r="M24" s="394"/>
      <c r="N24" s="398"/>
      <c r="O24" s="398"/>
      <c r="P24" s="398"/>
      <c r="Q24" s="398">
        <f t="shared" si="0"/>
        <v>0</v>
      </c>
    </row>
    <row r="25" spans="1:17" x14ac:dyDescent="0.2">
      <c r="A25" s="385" t="s">
        <v>575</v>
      </c>
      <c r="B25" s="386">
        <f>+'Proyeccion Ingresos 2024-2027'!F29</f>
        <v>8302975259.4232512</v>
      </c>
      <c r="C25" s="386"/>
      <c r="D25" s="386"/>
      <c r="E25" s="386"/>
      <c r="F25" s="408"/>
      <c r="G25" s="386"/>
      <c r="H25" s="386"/>
      <c r="I25" s="386"/>
      <c r="J25" s="386"/>
      <c r="K25" s="386"/>
      <c r="L25" s="386"/>
      <c r="M25" s="394"/>
      <c r="N25" s="398"/>
      <c r="O25" s="398"/>
      <c r="P25" s="398"/>
      <c r="Q25" s="398">
        <f t="shared" si="0"/>
        <v>8302975259.4232512</v>
      </c>
    </row>
    <row r="26" spans="1:17" x14ac:dyDescent="0.2">
      <c r="A26" s="385" t="s">
        <v>576</v>
      </c>
      <c r="B26" s="386">
        <f>+'Proyeccion Ingresos 2024-2027'!F30</f>
        <v>1383829209.9038749</v>
      </c>
      <c r="C26" s="386"/>
      <c r="D26" s="386"/>
      <c r="E26" s="386"/>
      <c r="F26" s="408"/>
      <c r="G26" s="386"/>
      <c r="H26" s="386"/>
      <c r="I26" s="386"/>
      <c r="J26" s="386"/>
      <c r="K26" s="386"/>
      <c r="L26" s="386"/>
      <c r="M26" s="394"/>
      <c r="N26" s="398"/>
      <c r="O26" s="398"/>
      <c r="P26" s="398"/>
      <c r="Q26" s="398">
        <f t="shared" si="0"/>
        <v>1383829209.9038749</v>
      </c>
    </row>
    <row r="27" spans="1:17" ht="15.75" customHeight="1" x14ac:dyDescent="0.2">
      <c r="A27" s="400" t="s">
        <v>150</v>
      </c>
      <c r="B27" s="389">
        <f>+B28+B29</f>
        <v>34938975598.949753</v>
      </c>
      <c r="C27" s="389">
        <f>+B27*90%</f>
        <v>31445078039.054779</v>
      </c>
      <c r="D27" s="389">
        <f>+B27*10%</f>
        <v>3493897559.8949757</v>
      </c>
      <c r="E27" s="389"/>
      <c r="F27" s="408"/>
      <c r="G27" s="386">
        <v>0</v>
      </c>
      <c r="H27" s="386"/>
      <c r="I27" s="386"/>
      <c r="J27" s="386"/>
      <c r="K27" s="389">
        <f>+K28+K29</f>
        <v>0</v>
      </c>
      <c r="L27" s="386">
        <f t="shared" si="4"/>
        <v>34938975598.949753</v>
      </c>
      <c r="M27" s="394"/>
      <c r="N27" s="398"/>
      <c r="O27" s="398"/>
      <c r="P27" s="398"/>
      <c r="Q27" s="398">
        <f t="shared" si="0"/>
        <v>-1.9073486328125E-6</v>
      </c>
    </row>
    <row r="28" spans="1:17" ht="15.75" customHeight="1" x14ac:dyDescent="0.2">
      <c r="A28" s="385" t="s">
        <v>575</v>
      </c>
      <c r="B28" s="386">
        <f>+'Proyeccion Ingresos 2024-2027'!F32</f>
        <v>32251362092.332878</v>
      </c>
      <c r="C28" s="386"/>
      <c r="D28" s="386"/>
      <c r="E28" s="386"/>
      <c r="F28" s="408"/>
      <c r="G28" s="386"/>
      <c r="H28" s="386"/>
      <c r="I28" s="386"/>
      <c r="J28" s="386"/>
      <c r="K28" s="386"/>
      <c r="L28" s="386"/>
      <c r="M28" s="394"/>
      <c r="N28" s="398"/>
      <c r="O28" s="398"/>
      <c r="P28" s="398"/>
      <c r="Q28" s="398">
        <v>0</v>
      </c>
    </row>
    <row r="29" spans="1:17" ht="15.75" customHeight="1" x14ac:dyDescent="0.2">
      <c r="A29" s="385" t="s">
        <v>576</v>
      </c>
      <c r="B29" s="386">
        <f>+'Proyeccion Ingresos 2024-2027'!F33</f>
        <v>2687613506.6168752</v>
      </c>
      <c r="C29" s="386"/>
      <c r="D29" s="386"/>
      <c r="E29" s="386"/>
      <c r="F29" s="408"/>
      <c r="G29" s="386"/>
      <c r="H29" s="386"/>
      <c r="I29" s="386"/>
      <c r="J29" s="386"/>
      <c r="K29" s="386"/>
      <c r="L29" s="386"/>
      <c r="M29" s="394"/>
      <c r="N29" s="398"/>
      <c r="O29" s="398"/>
      <c r="P29" s="398"/>
      <c r="Q29" s="398">
        <v>0</v>
      </c>
    </row>
    <row r="30" spans="1:17" x14ac:dyDescent="0.2">
      <c r="A30" s="388" t="s">
        <v>151</v>
      </c>
      <c r="B30" s="389">
        <f>+B31+B32</f>
        <v>9913287497.8449383</v>
      </c>
      <c r="C30" s="389"/>
      <c r="D30" s="389">
        <f>+B30*10%</f>
        <v>991328749.78449392</v>
      </c>
      <c r="E30" s="389">
        <f>+B30*10%</f>
        <v>991328749.78449392</v>
      </c>
      <c r="F30" s="409">
        <v>0.1</v>
      </c>
      <c r="G30" s="389">
        <v>0</v>
      </c>
      <c r="H30" s="389"/>
      <c r="I30" s="389"/>
      <c r="J30" s="389"/>
      <c r="K30" s="389">
        <f>+K31+K32</f>
        <v>0</v>
      </c>
      <c r="L30" s="389">
        <f t="shared" si="4"/>
        <v>9913287497.8449383</v>
      </c>
      <c r="M30" s="401">
        <f>+L30/$L$61</f>
        <v>2.4331811524776134E-2</v>
      </c>
      <c r="N30" s="396">
        <f>+'DESTINACIONES 2024 '!N30+'DESTINACIONES 2025'!N30+'DESTINACIONES 2026'!N30+'DESTINACIONES 2027'!N30</f>
        <v>33527500</v>
      </c>
      <c r="O30" s="396"/>
      <c r="P30" s="396"/>
      <c r="Q30" s="396">
        <f t="shared" si="0"/>
        <v>7897102498.2759495</v>
      </c>
    </row>
    <row r="31" spans="1:17" x14ac:dyDescent="0.2">
      <c r="A31" s="385" t="s">
        <v>575</v>
      </c>
      <c r="B31" s="386">
        <f>+'Proyeccion Ingresos 2024-2027'!F35</f>
        <v>9659330340.4067516</v>
      </c>
      <c r="C31" s="386"/>
      <c r="D31" s="386"/>
      <c r="E31" s="386"/>
      <c r="F31" s="408"/>
      <c r="G31" s="386"/>
      <c r="H31" s="386"/>
      <c r="I31" s="386"/>
      <c r="J31" s="386"/>
      <c r="K31" s="386"/>
      <c r="L31" s="386"/>
      <c r="M31" s="402"/>
      <c r="N31" s="398"/>
      <c r="O31" s="398"/>
      <c r="P31" s="398"/>
      <c r="Q31" s="398">
        <v>0</v>
      </c>
    </row>
    <row r="32" spans="1:17" x14ac:dyDescent="0.2">
      <c r="A32" s="385" t="s">
        <v>576</v>
      </c>
      <c r="B32" s="386">
        <f>+'Proyeccion Ingresos 2024-2027'!F36</f>
        <v>253957157.43818757</v>
      </c>
      <c r="C32" s="386"/>
      <c r="D32" s="386"/>
      <c r="E32" s="386"/>
      <c r="F32" s="408"/>
      <c r="G32" s="386"/>
      <c r="H32" s="386"/>
      <c r="I32" s="386"/>
      <c r="J32" s="386"/>
      <c r="K32" s="386"/>
      <c r="L32" s="386"/>
      <c r="M32" s="402"/>
      <c r="N32" s="398"/>
      <c r="O32" s="398"/>
      <c r="P32" s="398"/>
      <c r="Q32" s="398">
        <v>0</v>
      </c>
    </row>
    <row r="33" spans="1:17" x14ac:dyDescent="0.2">
      <c r="A33" s="388" t="s">
        <v>152</v>
      </c>
      <c r="B33" s="389">
        <f>+B34+B35</f>
        <v>34215700116.720001</v>
      </c>
      <c r="C33" s="389"/>
      <c r="D33" s="389">
        <f>+B33*10%</f>
        <v>3421570011.6720004</v>
      </c>
      <c r="E33" s="389">
        <f>+B33*10%</f>
        <v>3421570011.6720004</v>
      </c>
      <c r="F33" s="410">
        <v>0.1</v>
      </c>
      <c r="G33" s="386">
        <v>0</v>
      </c>
      <c r="H33" s="386"/>
      <c r="I33" s="386"/>
      <c r="J33" s="386"/>
      <c r="K33" s="389">
        <f>+K34+K35</f>
        <v>3421570011.6719999</v>
      </c>
      <c r="L33" s="389">
        <f>+B33-K33</f>
        <v>30794130105.048</v>
      </c>
      <c r="M33" s="401">
        <f>+L33/$L$61</f>
        <v>7.5583096924037446E-2</v>
      </c>
      <c r="N33" s="396">
        <f>+'DESTINACIONES 2024 '!N33+'DESTINACIONES 2025'!N33+'DESTINACIONES 2026'!N33+'DESTINACIONES 2027'!N33</f>
        <v>111519125</v>
      </c>
      <c r="O33" s="396"/>
      <c r="P33" s="396"/>
      <c r="Q33" s="396">
        <f t="shared" si="0"/>
        <v>23839470956.703999</v>
      </c>
    </row>
    <row r="34" spans="1:17" x14ac:dyDescent="0.2">
      <c r="A34" s="385" t="s">
        <v>575</v>
      </c>
      <c r="B34" s="386">
        <f>+'Proyeccion Ingresos 2024-2027'!F38</f>
        <v>31538153268.720001</v>
      </c>
      <c r="C34" s="386"/>
      <c r="D34" s="386"/>
      <c r="E34" s="386"/>
      <c r="F34" s="408"/>
      <c r="G34" s="386"/>
      <c r="H34" s="386"/>
      <c r="I34" s="386"/>
      <c r="J34" s="386"/>
      <c r="K34" s="386">
        <f>+'DESTINACIONES 2024 '!K34+'DESTINACIONES 2025'!K34+'DESTINACIONES 2026'!K34+'DESTINACIONES 2027'!K34</f>
        <v>3153815326.8719997</v>
      </c>
      <c r="L34" s="386"/>
      <c r="M34" s="402"/>
      <c r="N34" s="398"/>
      <c r="O34" s="398"/>
      <c r="P34" s="398"/>
      <c r="Q34" s="398">
        <v>0</v>
      </c>
    </row>
    <row r="35" spans="1:17" x14ac:dyDescent="0.2">
      <c r="A35" s="385" t="s">
        <v>576</v>
      </c>
      <c r="B35" s="386">
        <f>+'Proyeccion Ingresos 2024-2027'!F39</f>
        <v>2677546848</v>
      </c>
      <c r="C35" s="386"/>
      <c r="D35" s="386"/>
      <c r="E35" s="386"/>
      <c r="F35" s="408"/>
      <c r="G35" s="386"/>
      <c r="H35" s="386"/>
      <c r="I35" s="386"/>
      <c r="J35" s="386"/>
      <c r="K35" s="386">
        <f>+'DESTINACIONES 2024 '!K35+'DESTINACIONES 2025'!K35+'DESTINACIONES 2026'!K35+'DESTINACIONES 2027'!K35</f>
        <v>267754684.80000001</v>
      </c>
      <c r="L35" s="386"/>
      <c r="M35" s="402"/>
      <c r="N35" s="398"/>
      <c r="O35" s="398"/>
      <c r="P35" s="398"/>
      <c r="Q35" s="398">
        <v>0</v>
      </c>
    </row>
    <row r="36" spans="1:17" x14ac:dyDescent="0.2">
      <c r="A36" s="388" t="s">
        <v>153</v>
      </c>
      <c r="B36" s="389">
        <f>+B37+B38</f>
        <v>775822500</v>
      </c>
      <c r="C36" s="389"/>
      <c r="D36" s="389">
        <f>+B36*10%</f>
        <v>77582250</v>
      </c>
      <c r="E36" s="389">
        <f>+B36*10%</f>
        <v>77582250</v>
      </c>
      <c r="F36" s="410">
        <v>0.1</v>
      </c>
      <c r="G36" s="386">
        <v>0</v>
      </c>
      <c r="H36" s="386"/>
      <c r="I36" s="386"/>
      <c r="J36" s="386"/>
      <c r="K36" s="386"/>
      <c r="L36" s="386">
        <f t="shared" si="4"/>
        <v>775822500</v>
      </c>
      <c r="M36" s="402">
        <f>+L36/$L$61</f>
        <v>1.904228728439921E-3</v>
      </c>
      <c r="N36" s="398">
        <f>+'DESTINACIONES 2024 '!N36+'DESTINACIONES 2025'!N36+'DESTINACIONES 2026'!N36+'DESTINACIONES 2027'!N36</f>
        <v>2285613</v>
      </c>
      <c r="O36" s="398"/>
      <c r="P36" s="398"/>
      <c r="Q36" s="398">
        <f t="shared" si="0"/>
        <v>618372387</v>
      </c>
    </row>
    <row r="37" spans="1:17" x14ac:dyDescent="0.2">
      <c r="A37" s="385" t="s">
        <v>575</v>
      </c>
      <c r="B37" s="386">
        <f>+'Proyeccion Ingresos 2024-2027'!F41</f>
        <v>752922831.73574996</v>
      </c>
      <c r="C37" s="386"/>
      <c r="D37" s="386"/>
      <c r="E37" s="386"/>
      <c r="F37" s="408"/>
      <c r="G37" s="386"/>
      <c r="H37" s="386"/>
      <c r="I37" s="386"/>
      <c r="J37" s="386"/>
      <c r="K37" s="386"/>
      <c r="L37" s="386"/>
      <c r="M37" s="402"/>
      <c r="N37" s="398"/>
      <c r="O37" s="398"/>
      <c r="P37" s="398"/>
      <c r="Q37" s="398">
        <v>0</v>
      </c>
    </row>
    <row r="38" spans="1:17" x14ac:dyDescent="0.2">
      <c r="A38" s="385" t="s">
        <v>576</v>
      </c>
      <c r="B38" s="386">
        <f>+'Proyeccion Ingresos 2024-2027'!F42</f>
        <v>22899668.264250003</v>
      </c>
      <c r="C38" s="386"/>
      <c r="D38" s="386"/>
      <c r="E38" s="386"/>
      <c r="F38" s="408"/>
      <c r="G38" s="386"/>
      <c r="H38" s="386"/>
      <c r="I38" s="386"/>
      <c r="J38" s="386"/>
      <c r="K38" s="386"/>
      <c r="L38" s="386"/>
      <c r="M38" s="402"/>
      <c r="N38" s="398"/>
      <c r="O38" s="398"/>
      <c r="P38" s="398"/>
      <c r="Q38" s="398">
        <v>0</v>
      </c>
    </row>
    <row r="39" spans="1:17" x14ac:dyDescent="0.2">
      <c r="A39" s="388" t="s">
        <v>601</v>
      </c>
      <c r="B39" s="386">
        <f>+B40+B41</f>
        <v>35755000</v>
      </c>
      <c r="C39" s="386">
        <f t="shared" ref="C39:K39" si="5">+C40+C41</f>
        <v>0</v>
      </c>
      <c r="D39" s="386">
        <f>+B39*0.1</f>
        <v>3575500</v>
      </c>
      <c r="E39" s="386">
        <f>+B39*F39</f>
        <v>3575500</v>
      </c>
      <c r="F39" s="410">
        <v>0.1</v>
      </c>
      <c r="G39" s="386">
        <f t="shared" si="5"/>
        <v>0</v>
      </c>
      <c r="H39" s="386">
        <f t="shared" si="5"/>
        <v>0</v>
      </c>
      <c r="I39" s="386">
        <f t="shared" si="5"/>
        <v>0</v>
      </c>
      <c r="J39" s="386"/>
      <c r="K39" s="386">
        <f t="shared" si="5"/>
        <v>0</v>
      </c>
      <c r="L39" s="386"/>
      <c r="M39" s="402"/>
      <c r="N39" s="386">
        <f t="shared" ref="N39:P39" si="6">+N40+N41</f>
        <v>0</v>
      </c>
      <c r="O39" s="386">
        <f t="shared" si="6"/>
        <v>0</v>
      </c>
      <c r="P39" s="386">
        <f t="shared" si="6"/>
        <v>0</v>
      </c>
      <c r="Q39" s="386">
        <f>+B39-D39-E39</f>
        <v>28604000</v>
      </c>
    </row>
    <row r="40" spans="1:17" x14ac:dyDescent="0.2">
      <c r="A40" s="385" t="s">
        <v>575</v>
      </c>
      <c r="B40" s="386">
        <f>+'Proyeccion Ingresos 2024-2027'!F44</f>
        <v>34100000</v>
      </c>
      <c r="C40" s="386"/>
      <c r="D40" s="386"/>
      <c r="E40" s="386"/>
      <c r="F40" s="408"/>
      <c r="G40" s="386"/>
      <c r="H40" s="386"/>
      <c r="I40" s="386"/>
      <c r="J40" s="386"/>
      <c r="K40" s="386"/>
      <c r="L40" s="386"/>
      <c r="M40" s="402"/>
      <c r="N40" s="398"/>
      <c r="O40" s="398"/>
      <c r="P40" s="398"/>
      <c r="Q40" s="398"/>
    </row>
    <row r="41" spans="1:17" x14ac:dyDescent="0.2">
      <c r="A41" s="385" t="s">
        <v>576</v>
      </c>
      <c r="B41" s="386">
        <f>+'Proyeccion Ingresos 2024-2027'!F45</f>
        <v>1655000</v>
      </c>
      <c r="C41" s="386"/>
      <c r="D41" s="386"/>
      <c r="E41" s="386"/>
      <c r="F41" s="408"/>
      <c r="G41" s="386"/>
      <c r="H41" s="386"/>
      <c r="I41" s="386"/>
      <c r="J41" s="386"/>
      <c r="K41" s="386"/>
      <c r="L41" s="386"/>
      <c r="M41" s="402"/>
      <c r="N41" s="398"/>
      <c r="O41" s="398"/>
      <c r="P41" s="398"/>
      <c r="Q41" s="398"/>
    </row>
    <row r="42" spans="1:17" x14ac:dyDescent="0.2">
      <c r="A42" s="388" t="s">
        <v>154</v>
      </c>
      <c r="B42" s="389">
        <f>+B43</f>
        <v>1531425487.6270354</v>
      </c>
      <c r="C42" s="389">
        <f>+B42*90%</f>
        <v>1378282938.864332</v>
      </c>
      <c r="D42" s="389">
        <f>+B42*10%</f>
        <v>153142548.76270354</v>
      </c>
      <c r="E42" s="389"/>
      <c r="F42" s="408"/>
      <c r="G42" s="386"/>
      <c r="H42" s="386"/>
      <c r="I42" s="386"/>
      <c r="J42" s="386"/>
      <c r="K42" s="386"/>
      <c r="L42" s="386"/>
      <c r="M42" s="394"/>
      <c r="N42" s="398">
        <f>+N43</f>
        <v>0</v>
      </c>
      <c r="O42" s="398"/>
      <c r="P42" s="398"/>
      <c r="Q42" s="398">
        <v>0</v>
      </c>
    </row>
    <row r="43" spans="1:17" x14ac:dyDescent="0.2">
      <c r="A43" s="388" t="s">
        <v>155</v>
      </c>
      <c r="B43" s="389">
        <f>+B44+B45</f>
        <v>1531425487.6270354</v>
      </c>
      <c r="C43" s="389"/>
      <c r="D43" s="389"/>
      <c r="E43" s="389"/>
      <c r="F43" s="408"/>
      <c r="G43" s="386"/>
      <c r="H43" s="386"/>
      <c r="I43" s="386"/>
      <c r="J43" s="386"/>
      <c r="K43" s="386"/>
      <c r="L43" s="386">
        <f>+B43-G43-H43-K43</f>
        <v>1531425487.6270354</v>
      </c>
      <c r="M43" s="394"/>
      <c r="N43" s="386"/>
      <c r="O43" s="386"/>
      <c r="P43" s="386"/>
      <c r="Q43" s="386">
        <f t="shared" si="0"/>
        <v>1531425487.6270354</v>
      </c>
    </row>
    <row r="44" spans="1:17" x14ac:dyDescent="0.2">
      <c r="A44" s="385" t="s">
        <v>575</v>
      </c>
      <c r="B44" s="386">
        <f>+'Proyeccion Ingresos 2024-2027'!F49</f>
        <v>1295821566.4536452</v>
      </c>
      <c r="C44" s="386"/>
      <c r="D44" s="386"/>
      <c r="E44" s="386"/>
      <c r="F44" s="408"/>
      <c r="G44" s="386"/>
      <c r="H44" s="386"/>
      <c r="I44" s="386"/>
      <c r="J44" s="386"/>
      <c r="K44" s="386"/>
      <c r="L44" s="386"/>
      <c r="M44" s="394"/>
      <c r="N44" s="386"/>
      <c r="O44" s="386"/>
      <c r="P44" s="386"/>
      <c r="Q44" s="398">
        <v>0</v>
      </c>
    </row>
    <row r="45" spans="1:17" x14ac:dyDescent="0.2">
      <c r="A45" s="385" t="s">
        <v>576</v>
      </c>
      <c r="B45" s="386">
        <f>+'Proyeccion Ingresos 2024-2027'!F50</f>
        <v>235603921.17339006</v>
      </c>
      <c r="C45" s="386"/>
      <c r="D45" s="386"/>
      <c r="E45" s="386"/>
      <c r="F45" s="408"/>
      <c r="G45" s="386"/>
      <c r="H45" s="386"/>
      <c r="I45" s="386"/>
      <c r="J45" s="386"/>
      <c r="K45" s="386"/>
      <c r="L45" s="386"/>
      <c r="M45" s="394"/>
      <c r="N45" s="386"/>
      <c r="O45" s="386"/>
      <c r="P45" s="386"/>
      <c r="Q45" s="398">
        <v>0</v>
      </c>
    </row>
    <row r="46" spans="1:17" x14ac:dyDescent="0.2">
      <c r="A46" s="388" t="s">
        <v>156</v>
      </c>
      <c r="B46" s="386">
        <f>+B47+B50</f>
        <v>383672445000</v>
      </c>
      <c r="C46" s="386"/>
      <c r="D46" s="386"/>
      <c r="E46" s="386">
        <f>+E47+E50</f>
        <v>38338155000</v>
      </c>
      <c r="F46" s="408"/>
      <c r="G46" s="386">
        <f>+G47</f>
        <v>151509283993</v>
      </c>
      <c r="H46" s="386"/>
      <c r="I46" s="386"/>
      <c r="J46" s="386"/>
      <c r="K46" s="386">
        <f>+K47+K50</f>
        <v>56589500892.599998</v>
      </c>
      <c r="L46" s="386"/>
      <c r="M46" s="394"/>
      <c r="N46" s="398">
        <f>+N47</f>
        <v>10896592648</v>
      </c>
      <c r="O46" s="386">
        <f>+O47+O50</f>
        <v>32672748674.359993</v>
      </c>
      <c r="P46" s="398"/>
      <c r="Q46" s="398">
        <f t="shared" si="0"/>
        <v>93666163792.040009</v>
      </c>
    </row>
    <row r="47" spans="1:17" x14ac:dyDescent="0.2">
      <c r="A47" s="388" t="s">
        <v>157</v>
      </c>
      <c r="B47" s="389">
        <f>+B48+B49</f>
        <v>383381550000</v>
      </c>
      <c r="C47" s="389"/>
      <c r="D47" s="389"/>
      <c r="E47" s="389">
        <f>+B47*10%</f>
        <v>38338155000</v>
      </c>
      <c r="F47" s="411">
        <v>0.1</v>
      </c>
      <c r="G47" s="386">
        <f>+G48+G49</f>
        <v>151509283993</v>
      </c>
      <c r="H47" s="386"/>
      <c r="I47" s="386"/>
      <c r="J47" s="386"/>
      <c r="K47" s="386">
        <f>+K48+K49</f>
        <v>56589500892.599998</v>
      </c>
      <c r="L47" s="386">
        <f>+B47-G47-K47</f>
        <v>175282765114.39999</v>
      </c>
      <c r="M47" s="402">
        <f>+L47/$L$61</f>
        <v>0.43022531175781475</v>
      </c>
      <c r="N47" s="398">
        <f>+N48+N49</f>
        <v>10896592648</v>
      </c>
      <c r="O47" s="389">
        <f>+O48+O49</f>
        <v>32672748674.359993</v>
      </c>
      <c r="P47" s="398"/>
      <c r="Q47" s="398">
        <f>+B47-C47-D47-E47-G47-I47-K47-N47-O47-P47</f>
        <v>93375268792.040009</v>
      </c>
    </row>
    <row r="48" spans="1:17" x14ac:dyDescent="0.2">
      <c r="A48" s="385" t="s">
        <v>575</v>
      </c>
      <c r="B48" s="386">
        <f>+'Proyeccion Ingresos 2024-2027'!F55</f>
        <v>322400089284</v>
      </c>
      <c r="C48" s="386"/>
      <c r="D48" s="386"/>
      <c r="E48" s="386"/>
      <c r="F48" s="408"/>
      <c r="G48" s="386">
        <f>+'DESTINACIONES 2024 '!G48+'DESTINACIONES 2025'!G48+'DESTINACIONES 2026'!G48+'DESTINACIONES 2027'!G48</f>
        <v>122224907914.60001</v>
      </c>
      <c r="H48" s="386"/>
      <c r="I48" s="386"/>
      <c r="J48" s="386"/>
      <c r="K48" s="386">
        <f>+'DESTINACIONES 2024 '!K48+'DESTINACIONES 2025'!K48+'DESTINACIONES 2026'!K48+'DESTINACIONES 2027'!K48</f>
        <v>48360013392.599998</v>
      </c>
      <c r="L48" s="386"/>
      <c r="M48" s="402"/>
      <c r="N48" s="398">
        <f>+'DESTINACIONES 2024 '!N48+'DESTINACIONES 2025'!N48+'DESTINACIONES 2026'!N48+'DESTINACIONES 2027'!N48</f>
        <v>10896592648</v>
      </c>
      <c r="O48" s="398">
        <f>+'DESTINACIONES 2024 '!O48+'DESTINACIONES 2025'!O48+'DESTINACIONES 2026'!O48+'DESTINACIONES 2027'!O48</f>
        <v>32672748674.359993</v>
      </c>
      <c r="P48" s="398"/>
      <c r="Q48" s="398">
        <f>+B48-G48-K48-N48-O48</f>
        <v>108245826654.44</v>
      </c>
    </row>
    <row r="49" spans="1:17" x14ac:dyDescent="0.2">
      <c r="A49" s="385" t="s">
        <v>576</v>
      </c>
      <c r="B49" s="386">
        <f>+'Proyeccion Ingresos 2024-2027'!F56</f>
        <v>60981460716</v>
      </c>
      <c r="C49" s="386"/>
      <c r="D49" s="386"/>
      <c r="E49" s="386"/>
      <c r="F49" s="408"/>
      <c r="G49" s="386">
        <f>+'DESTINACIONES 2024 '!G49+'DESTINACIONES 2025'!G49+'DESTINACIONES 2026'!G49+'DESTINACIONES 2027'!G49</f>
        <v>29284376078.400002</v>
      </c>
      <c r="H49" s="386"/>
      <c r="I49" s="386"/>
      <c r="J49" s="386"/>
      <c r="K49" s="386">
        <f>+'DESTINACIONES 2024 '!K49+'DESTINACIONES 2025'!K49+'DESTINACIONES 2026'!K49+'DESTINACIONES 2027'!K49</f>
        <v>8229487500</v>
      </c>
      <c r="L49" s="386"/>
      <c r="M49" s="402"/>
      <c r="N49" s="398">
        <f>+'DESTINACIONES 2024 '!N49+'DESTINACIONES 2025'!N49+'DESTINACIONES 2026'!N49+'DESTINACIONES 2027'!N49</f>
        <v>0</v>
      </c>
      <c r="O49" s="398">
        <f>+'DESTINACIONES 2024 '!O49+'DESTINACIONES 2025'!O49+'DESTINACIONES 2026'!O49+'DESTINACIONES 2027'!O49</f>
        <v>0</v>
      </c>
      <c r="P49" s="398"/>
      <c r="Q49" s="398">
        <f>+B49-G49-K49-N49-O49</f>
        <v>23467597137.599998</v>
      </c>
    </row>
    <row r="50" spans="1:17" x14ac:dyDescent="0.2">
      <c r="A50" s="388" t="s">
        <v>158</v>
      </c>
      <c r="B50" s="389">
        <f>+'Proyeccion Ingresos 2024-2027'!F57</f>
        <v>290895000</v>
      </c>
      <c r="C50" s="389"/>
      <c r="D50" s="389"/>
      <c r="E50" s="389"/>
      <c r="F50" s="408"/>
      <c r="G50" s="386"/>
      <c r="H50" s="386"/>
      <c r="I50" s="386"/>
      <c r="J50" s="386"/>
      <c r="K50" s="386"/>
      <c r="L50" s="386">
        <f>+B50</f>
        <v>290895000</v>
      </c>
      <c r="M50" s="386"/>
      <c r="N50" s="398">
        <f>+'DESTINACIONES 2024 '!N50+'DESTINACIONES 2025'!N50+'DESTINACIONES 2026'!N50+'DESTINACIONES 2027'!N50</f>
        <v>0</v>
      </c>
      <c r="O50" s="398"/>
      <c r="P50" s="398"/>
      <c r="Q50" s="398">
        <f t="shared" si="0"/>
        <v>290895000</v>
      </c>
    </row>
    <row r="51" spans="1:17" x14ac:dyDescent="0.2">
      <c r="A51" s="385" t="s">
        <v>86</v>
      </c>
      <c r="B51" s="386">
        <f>+B52+B54+B56</f>
        <v>2173920675.3771071</v>
      </c>
      <c r="C51" s="386"/>
      <c r="D51" s="386"/>
      <c r="E51" s="386">
        <f>+E52+E54</f>
        <v>217392067.53771073</v>
      </c>
      <c r="F51" s="408"/>
      <c r="G51" s="386"/>
      <c r="H51" s="386"/>
      <c r="I51" s="386"/>
      <c r="J51" s="386"/>
      <c r="K51" s="386"/>
      <c r="L51" s="386">
        <f>+L52+L54+L56</f>
        <v>0</v>
      </c>
      <c r="M51" s="386"/>
      <c r="N51" s="386">
        <f t="shared" ref="N51:Q51" si="7">+N52+N54</f>
        <v>8350286</v>
      </c>
      <c r="O51" s="386">
        <f t="shared" si="7"/>
        <v>0</v>
      </c>
      <c r="P51" s="386">
        <f t="shared" si="7"/>
        <v>0</v>
      </c>
      <c r="Q51" s="386">
        <f t="shared" si="7"/>
        <v>1948178321.8393965</v>
      </c>
    </row>
    <row r="52" spans="1:17" x14ac:dyDescent="0.2">
      <c r="A52" s="385" t="s">
        <v>88</v>
      </c>
      <c r="B52" s="386">
        <f>+B53</f>
        <v>2173920675.3771071</v>
      </c>
      <c r="C52" s="386"/>
      <c r="D52" s="386"/>
      <c r="E52" s="386">
        <f>+E53</f>
        <v>217392067.53771073</v>
      </c>
      <c r="F52" s="408"/>
      <c r="G52" s="386"/>
      <c r="H52" s="386"/>
      <c r="I52" s="386"/>
      <c r="J52" s="386"/>
      <c r="K52" s="386"/>
      <c r="L52" s="386"/>
      <c r="M52" s="404"/>
      <c r="N52" s="398">
        <f>+N53</f>
        <v>8350286</v>
      </c>
      <c r="O52" s="398"/>
      <c r="P52" s="398"/>
      <c r="Q52" s="398">
        <f>+Q53</f>
        <v>1948178321.8393965</v>
      </c>
    </row>
    <row r="53" spans="1:17" x14ac:dyDescent="0.2">
      <c r="A53" s="385" t="s">
        <v>159</v>
      </c>
      <c r="B53" s="386">
        <f>+'Proyeccion Ingresos 2024-2027'!F61</f>
        <v>2173920675.3771071</v>
      </c>
      <c r="C53" s="386"/>
      <c r="D53" s="386"/>
      <c r="E53" s="386">
        <f>+B53*10%</f>
        <v>217392067.53771073</v>
      </c>
      <c r="F53" s="411">
        <v>0.1</v>
      </c>
      <c r="G53" s="386"/>
      <c r="H53" s="386"/>
      <c r="I53" s="386"/>
      <c r="J53" s="386"/>
      <c r="K53" s="386"/>
      <c r="L53" s="386">
        <f>+B53</f>
        <v>2173920675.3771071</v>
      </c>
      <c r="M53" s="402">
        <f>+L53/$L$61</f>
        <v>5.3358109663004145E-3</v>
      </c>
      <c r="N53" s="398">
        <f>+'DESTINACIONES 2024 '!N53+'DESTINACIONES 2025'!N53+'DESTINACIONES 2026'!N53+'DESTINACIONES 2027'!N53</f>
        <v>8350286</v>
      </c>
      <c r="O53" s="398"/>
      <c r="P53" s="398"/>
      <c r="Q53" s="398">
        <f>+B53-E53-N53</f>
        <v>1948178321.8393965</v>
      </c>
    </row>
    <row r="54" spans="1:17" hidden="1" x14ac:dyDescent="0.2">
      <c r="A54" s="385" t="s">
        <v>160</v>
      </c>
      <c r="B54" s="386">
        <f>+B55</f>
        <v>0</v>
      </c>
      <c r="C54" s="386"/>
      <c r="D54" s="386"/>
      <c r="E54" s="386"/>
      <c r="F54" s="408"/>
      <c r="G54" s="386"/>
      <c r="H54" s="386"/>
      <c r="I54" s="386"/>
      <c r="J54" s="386"/>
      <c r="K54" s="386"/>
      <c r="L54" s="386">
        <f>+L55</f>
        <v>0</v>
      </c>
      <c r="M54" s="386"/>
      <c r="N54" s="398">
        <v>0</v>
      </c>
      <c r="O54" s="398"/>
      <c r="P54" s="398"/>
      <c r="Q54" s="398">
        <f t="shared" si="0"/>
        <v>0</v>
      </c>
    </row>
    <row r="55" spans="1:17" hidden="1" x14ac:dyDescent="0.2">
      <c r="A55" s="385" t="s">
        <v>161</v>
      </c>
      <c r="B55" s="386">
        <f>+'INGRESOS 2024'!Q64</f>
        <v>0</v>
      </c>
      <c r="C55" s="386"/>
      <c r="D55" s="386"/>
      <c r="E55" s="386">
        <v>0</v>
      </c>
      <c r="F55" s="408"/>
      <c r="G55" s="386">
        <v>0</v>
      </c>
      <c r="H55" s="386">
        <v>0</v>
      </c>
      <c r="I55" s="386">
        <v>0</v>
      </c>
      <c r="J55" s="386">
        <f>+B55</f>
        <v>0</v>
      </c>
      <c r="K55" s="386">
        <v>0</v>
      </c>
      <c r="L55" s="386"/>
      <c r="M55" s="386"/>
      <c r="N55" s="398">
        <v>0</v>
      </c>
      <c r="O55" s="398">
        <v>0</v>
      </c>
      <c r="P55" s="398">
        <v>0</v>
      </c>
      <c r="Q55" s="398">
        <f t="shared" si="0"/>
        <v>0</v>
      </c>
    </row>
    <row r="56" spans="1:17" hidden="1" x14ac:dyDescent="0.2">
      <c r="A56" s="385" t="s">
        <v>162</v>
      </c>
      <c r="B56" s="386">
        <f>+'INGRESOS 2024'!Q62</f>
        <v>0</v>
      </c>
      <c r="C56" s="386"/>
      <c r="D56" s="386"/>
      <c r="E56" s="386">
        <v>0</v>
      </c>
      <c r="F56" s="408"/>
      <c r="G56" s="386">
        <f t="shared" ref="G56:N56" si="8">SUM(G57:G58)</f>
        <v>0</v>
      </c>
      <c r="H56" s="386">
        <v>0</v>
      </c>
      <c r="I56" s="386">
        <v>0</v>
      </c>
      <c r="J56" s="386"/>
      <c r="K56" s="386">
        <v>0</v>
      </c>
      <c r="L56" s="386">
        <f>+'INGRESOS 2024'!V62</f>
        <v>0</v>
      </c>
      <c r="M56" s="386"/>
      <c r="N56" s="386">
        <f t="shared" si="8"/>
        <v>0</v>
      </c>
      <c r="O56" s="386">
        <v>0</v>
      </c>
      <c r="P56" s="386">
        <v>0</v>
      </c>
      <c r="Q56" s="386">
        <f t="shared" si="0"/>
        <v>0</v>
      </c>
    </row>
    <row r="57" spans="1:17" hidden="1" x14ac:dyDescent="0.2">
      <c r="A57" s="385"/>
      <c r="B57" s="386"/>
      <c r="C57" s="386"/>
      <c r="D57" s="386"/>
      <c r="E57" s="386"/>
      <c r="F57" s="408"/>
      <c r="G57" s="386"/>
      <c r="H57" s="386"/>
      <c r="I57" s="386"/>
      <c r="J57" s="386"/>
      <c r="K57" s="386"/>
      <c r="L57" s="386"/>
      <c r="M57" s="386"/>
      <c r="N57" s="398"/>
      <c r="O57" s="398"/>
      <c r="P57" s="398"/>
      <c r="Q57" s="398">
        <f t="shared" si="0"/>
        <v>0</v>
      </c>
    </row>
    <row r="58" spans="1:17" x14ac:dyDescent="0.2">
      <c r="A58" s="388" t="s">
        <v>101</v>
      </c>
      <c r="B58" s="389">
        <f>+B59+B60</f>
        <v>9964965036.7250004</v>
      </c>
      <c r="C58" s="389">
        <f>+C59</f>
        <v>9964965036.7250004</v>
      </c>
      <c r="D58" s="389"/>
      <c r="E58" s="389"/>
      <c r="F58" s="408"/>
      <c r="G58" s="386"/>
      <c r="H58" s="386"/>
      <c r="I58" s="386"/>
      <c r="J58" s="386"/>
      <c r="K58" s="386"/>
      <c r="L58" s="386">
        <f>+L59+L60</f>
        <v>0</v>
      </c>
      <c r="M58" s="386"/>
      <c r="N58" s="398"/>
      <c r="O58" s="398"/>
      <c r="P58" s="398"/>
      <c r="Q58" s="398">
        <f t="shared" si="0"/>
        <v>0</v>
      </c>
    </row>
    <row r="59" spans="1:17" x14ac:dyDescent="0.2">
      <c r="A59" s="385" t="s">
        <v>138</v>
      </c>
      <c r="B59" s="386">
        <f>+'Proyeccion Ingresos 2024-2027'!F70</f>
        <v>9964965036.7250004</v>
      </c>
      <c r="C59" s="386">
        <f>+B59</f>
        <v>9964965036.7250004</v>
      </c>
      <c r="D59" s="386"/>
      <c r="E59" s="386"/>
      <c r="F59" s="408"/>
      <c r="G59" s="386"/>
      <c r="H59" s="386"/>
      <c r="I59" s="386"/>
      <c r="J59" s="386"/>
      <c r="K59" s="386"/>
      <c r="L59" s="386"/>
      <c r="M59" s="386"/>
      <c r="N59" s="398"/>
      <c r="O59" s="398"/>
      <c r="P59" s="398"/>
      <c r="Q59" s="398">
        <v>0</v>
      </c>
    </row>
    <row r="60" spans="1:17" x14ac:dyDescent="0.2">
      <c r="A60" s="385" t="s">
        <v>139</v>
      </c>
      <c r="B60" s="386"/>
      <c r="C60" s="386"/>
      <c r="D60" s="386"/>
      <c r="E60" s="386"/>
      <c r="F60" s="408"/>
      <c r="G60" s="405"/>
      <c r="H60" s="405"/>
      <c r="I60" s="405"/>
      <c r="J60" s="405"/>
      <c r="K60" s="405"/>
      <c r="L60" s="386"/>
      <c r="M60" s="405"/>
      <c r="N60" s="398"/>
      <c r="O60" s="398"/>
      <c r="P60" s="398"/>
      <c r="Q60" s="398">
        <f t="shared" si="0"/>
        <v>0</v>
      </c>
    </row>
    <row r="61" spans="1:17" x14ac:dyDescent="0.2">
      <c r="A61" s="414" t="s">
        <v>140</v>
      </c>
      <c r="B61" s="415">
        <f>+B58+B3</f>
        <v>661207261554.79688</v>
      </c>
      <c r="C61" s="415">
        <f>+C58+C3</f>
        <v>59753887557.964813</v>
      </c>
      <c r="D61" s="415">
        <f>+D58+D3</f>
        <v>23919554938.492119</v>
      </c>
      <c r="E61" s="415">
        <f>+E58+E3</f>
        <v>53024968979.011612</v>
      </c>
      <c r="F61" s="420"/>
      <c r="G61" s="415">
        <f>G3</f>
        <v>151509283993</v>
      </c>
      <c r="H61" s="415">
        <f>+H12</f>
        <v>0</v>
      </c>
      <c r="I61" s="415">
        <f>+I12</f>
        <v>32265329865</v>
      </c>
      <c r="J61" s="415">
        <f>+J55</f>
        <v>0</v>
      </c>
      <c r="K61" s="415">
        <f>+K33+K47</f>
        <v>60011070904.271996</v>
      </c>
      <c r="L61" s="415">
        <f>SUM(L3:L58)</f>
        <v>407420856755.79987</v>
      </c>
      <c r="M61" s="415"/>
      <c r="N61" s="415">
        <f>+N58+N3</f>
        <v>11381976946</v>
      </c>
      <c r="O61" s="415">
        <f>+O58+O3</f>
        <v>39894052369.657005</v>
      </c>
      <c r="P61" s="415">
        <f>+P58+P3</f>
        <v>8970401275.2833138</v>
      </c>
      <c r="Q61" s="415">
        <f>+Q58+Q3</f>
        <v>220476734726.11606</v>
      </c>
    </row>
    <row r="62" spans="1:17" ht="11.25" customHeight="1" x14ac:dyDescent="0.2">
      <c r="B62" s="115"/>
      <c r="C62" s="115"/>
      <c r="D62" s="115"/>
      <c r="E62" s="115"/>
      <c r="F62" s="127"/>
      <c r="G62" s="547" t="s">
        <v>141</v>
      </c>
      <c r="H62" s="548"/>
      <c r="I62" s="548"/>
      <c r="J62" s="548"/>
      <c r="K62" s="549"/>
      <c r="L62" s="127"/>
      <c r="M62" s="127"/>
      <c r="N62" s="117"/>
      <c r="O62" s="117"/>
      <c r="P62" s="117"/>
      <c r="Q62" s="109"/>
    </row>
    <row r="63" spans="1:17" ht="52.5" hidden="1" customHeight="1" x14ac:dyDescent="0.2">
      <c r="A63" s="118" t="s">
        <v>142</v>
      </c>
      <c r="B63" s="119" t="e">
        <f>SUM(#REF!+#REF!)</f>
        <v>#REF!</v>
      </c>
      <c r="C63" s="119"/>
      <c r="D63" s="119"/>
      <c r="E63" s="119"/>
      <c r="F63" s="412"/>
      <c r="G63" s="120"/>
      <c r="H63" s="120"/>
      <c r="I63" s="120"/>
      <c r="J63" s="120"/>
    </row>
    <row r="64" spans="1:17" ht="11.25" customHeight="1" x14ac:dyDescent="0.2">
      <c r="B64" s="122"/>
      <c r="C64" s="122"/>
      <c r="D64" s="122"/>
      <c r="E64" s="122"/>
      <c r="L64" s="126"/>
      <c r="Q64" s="291"/>
    </row>
    <row r="65" spans="2:17" hidden="1" x14ac:dyDescent="0.2">
      <c r="Q65" s="291"/>
    </row>
    <row r="66" spans="2:17" hidden="1" x14ac:dyDescent="0.2">
      <c r="N66" s="121" t="s">
        <v>128</v>
      </c>
      <c r="Q66" s="291"/>
    </row>
    <row r="67" spans="2:17" hidden="1" x14ac:dyDescent="0.2">
      <c r="N67" s="121" t="s">
        <v>540</v>
      </c>
      <c r="Q67" s="291"/>
    </row>
    <row r="68" spans="2:17" hidden="1" x14ac:dyDescent="0.2">
      <c r="Q68" s="291"/>
    </row>
    <row r="69" spans="2:17" hidden="1" x14ac:dyDescent="0.2">
      <c r="Q69" s="291"/>
    </row>
    <row r="70" spans="2:17" hidden="1" x14ac:dyDescent="0.2">
      <c r="Q70" s="291"/>
    </row>
    <row r="71" spans="2:17" hidden="1" x14ac:dyDescent="0.2">
      <c r="N71" s="121" t="s">
        <v>542</v>
      </c>
      <c r="Q71" s="291"/>
    </row>
    <row r="72" spans="2:17" x14ac:dyDescent="0.2">
      <c r="G72" s="126"/>
      <c r="Q72" s="291">
        <f>+Q61+P61+O61+N61+K61+I61+G61+E61+D61+C61</f>
        <v>661207261554.79688</v>
      </c>
    </row>
    <row r="73" spans="2:17" x14ac:dyDescent="0.2">
      <c r="E73" s="100"/>
      <c r="L73" s="126"/>
      <c r="Q73" s="291"/>
    </row>
    <row r="74" spans="2:17" x14ac:dyDescent="0.2">
      <c r="D74" s="351"/>
      <c r="E74" s="351"/>
      <c r="F74" s="413"/>
      <c r="G74" s="352">
        <v>35678457181</v>
      </c>
      <c r="L74" s="126"/>
      <c r="Q74" s="291"/>
    </row>
    <row r="75" spans="2:17" x14ac:dyDescent="0.2">
      <c r="D75" s="351">
        <f>+'RESUMEN PRESUPUESTAL '!AA9</f>
        <v>3957791223.8999996</v>
      </c>
      <c r="E75" s="351"/>
      <c r="F75" s="413"/>
      <c r="G75" s="352">
        <v>37107595468</v>
      </c>
      <c r="L75" s="126"/>
      <c r="Q75" s="291"/>
    </row>
    <row r="76" spans="2:17" x14ac:dyDescent="0.2">
      <c r="B76" s="359"/>
      <c r="D76" s="351"/>
      <c r="E76" s="351"/>
      <c r="F76" s="413"/>
      <c r="G76" s="360">
        <v>38589819286</v>
      </c>
      <c r="Q76" s="292"/>
    </row>
    <row r="77" spans="2:17" x14ac:dyDescent="0.2">
      <c r="B77" s="109">
        <f>+B61-'Proyeccion Ingresos 2024-2027'!F72</f>
        <v>0</v>
      </c>
      <c r="G77" s="360">
        <v>40133412058</v>
      </c>
    </row>
    <row r="78" spans="2:17" x14ac:dyDescent="0.2">
      <c r="G78" s="352">
        <f>SUM(G74:G77)</f>
        <v>151509283993</v>
      </c>
      <c r="Q78" s="231"/>
    </row>
    <row r="86" spans="16:17" x14ac:dyDescent="0.2">
      <c r="P86" s="121" t="s">
        <v>128</v>
      </c>
      <c r="Q86" s="126">
        <f>+Q61+P61+O61+N61+K61+I61+G61</f>
        <v>524508850079.32837</v>
      </c>
    </row>
    <row r="88" spans="16:17" x14ac:dyDescent="0.2">
      <c r="Q88" s="126">
        <f>+Q61+N61+K61+I61+H61+G61+J61</f>
        <v>475644396434.38806</v>
      </c>
    </row>
    <row r="89" spans="16:17" x14ac:dyDescent="0.2">
      <c r="Q89" s="207">
        <f>+'INGRESOS 2024'!O70</f>
        <v>12363481377.636566</v>
      </c>
    </row>
    <row r="90" spans="16:17" x14ac:dyDescent="0.2">
      <c r="Q90" s="126">
        <f>+Q88+Q89</f>
        <v>488007877812.02466</v>
      </c>
    </row>
    <row r="91" spans="16:17" x14ac:dyDescent="0.2">
      <c r="Q91" s="111"/>
    </row>
    <row r="93" spans="16:17" x14ac:dyDescent="0.2">
      <c r="Q93" s="231">
        <f>+'[3]RESUMEN 2024'!$D$4</f>
        <v>11143805251.200001</v>
      </c>
    </row>
    <row r="94" spans="16:17" x14ac:dyDescent="0.2">
      <c r="P94" s="121" t="s">
        <v>552</v>
      </c>
      <c r="Q94" s="207">
        <f>+'INGRESOS 2024'!O70</f>
        <v>12363481377.636566</v>
      </c>
    </row>
    <row r="95" spans="16:17" x14ac:dyDescent="0.2">
      <c r="P95" s="121" t="s">
        <v>553</v>
      </c>
      <c r="Q95" s="126">
        <f>+Q86+Q94</f>
        <v>536872331456.96497</v>
      </c>
    </row>
    <row r="96" spans="16:17" x14ac:dyDescent="0.2">
      <c r="Q96" s="126"/>
    </row>
    <row r="97" spans="15:17" x14ac:dyDescent="0.2">
      <c r="O97" s="550" t="s">
        <v>561</v>
      </c>
      <c r="P97" s="241" t="s">
        <v>554</v>
      </c>
      <c r="Q97" s="242">
        <f>+G61</f>
        <v>151509283993</v>
      </c>
    </row>
    <row r="98" spans="15:17" x14ac:dyDescent="0.2">
      <c r="O98" s="550"/>
      <c r="P98" s="241" t="s">
        <v>555</v>
      </c>
      <c r="Q98" s="242">
        <f>+I61</f>
        <v>32265329865</v>
      </c>
    </row>
    <row r="99" spans="15:17" x14ac:dyDescent="0.2">
      <c r="O99" s="550"/>
      <c r="P99" s="241" t="s">
        <v>556</v>
      </c>
      <c r="Q99" s="242">
        <f>+K61</f>
        <v>60011070904.271996</v>
      </c>
    </row>
    <row r="100" spans="15:17" x14ac:dyDescent="0.2">
      <c r="O100" s="550"/>
      <c r="P100" s="241" t="s">
        <v>557</v>
      </c>
      <c r="Q100" s="242">
        <f>+N61</f>
        <v>11381976946</v>
      </c>
    </row>
    <row r="101" spans="15:17" x14ac:dyDescent="0.2">
      <c r="O101" s="550"/>
      <c r="P101" s="241" t="s">
        <v>558</v>
      </c>
      <c r="Q101" s="242">
        <f>+O61</f>
        <v>39894052369.657005</v>
      </c>
    </row>
    <row r="102" spans="15:17" x14ac:dyDescent="0.2">
      <c r="O102" s="550"/>
      <c r="P102" s="241" t="s">
        <v>559</v>
      </c>
      <c r="Q102" s="242">
        <f>+P61</f>
        <v>8970401275.2833138</v>
      </c>
    </row>
    <row r="103" spans="15:17" x14ac:dyDescent="0.2">
      <c r="O103" s="550"/>
      <c r="P103" s="241" t="s">
        <v>560</v>
      </c>
      <c r="Q103" s="242">
        <f>+Q61+Q94</f>
        <v>232840216103.75262</v>
      </c>
    </row>
    <row r="104" spans="15:17" x14ac:dyDescent="0.2">
      <c r="O104" s="243"/>
      <c r="P104" s="243"/>
      <c r="Q104" s="242">
        <f>SUM(Q97:Q103)</f>
        <v>536872331456.96497</v>
      </c>
    </row>
    <row r="105" spans="15:17" x14ac:dyDescent="0.2">
      <c r="O105" s="243"/>
      <c r="P105" s="243"/>
      <c r="Q105" s="244"/>
    </row>
    <row r="106" spans="15:17" x14ac:dyDescent="0.2">
      <c r="O106" s="241" t="s">
        <v>562</v>
      </c>
      <c r="P106" s="241"/>
      <c r="Q106" s="242">
        <f>+Q104-Q99</f>
        <v>476861260552.69299</v>
      </c>
    </row>
    <row r="109" spans="15:17" x14ac:dyDescent="0.2">
      <c r="Q109" s="126">
        <f>+Q106-Q100</f>
        <v>465479283606.69299</v>
      </c>
    </row>
  </sheetData>
  <mergeCells count="9">
    <mergeCell ref="Q1:Q2"/>
    <mergeCell ref="G62:K62"/>
    <mergeCell ref="O97:O103"/>
    <mergeCell ref="A1:A2"/>
    <mergeCell ref="B1:B2"/>
    <mergeCell ref="G1:K1"/>
    <mergeCell ref="N1:N2"/>
    <mergeCell ref="O1:O2"/>
    <mergeCell ref="P1:P2"/>
  </mergeCells>
  <pageMargins left="0.7" right="0.7" top="0.75" bottom="0.75" header="0.3" footer="0.3"/>
  <pageSetup paperSize="12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FA2DE-C222-4307-A16A-CC6CAE11CC23}">
  <dimension ref="A1:Q109"/>
  <sheetViews>
    <sheetView showGridLines="0" zoomScale="110" zoomScaleNormal="110" workbookViewId="0">
      <selection activeCell="D74" sqref="D74"/>
    </sheetView>
  </sheetViews>
  <sheetFormatPr baseColWidth="10" defaultColWidth="25.6640625" defaultRowHeight="10.199999999999999" x14ac:dyDescent="0.2"/>
  <cols>
    <col min="1" max="1" width="38.6640625" style="100" customWidth="1"/>
    <col min="2" max="2" width="15" style="109" bestFit="1" customWidth="1"/>
    <col min="3" max="5" width="15" style="109" customWidth="1"/>
    <col min="6" max="6" width="4.5546875" style="109" customWidth="1"/>
    <col min="7" max="7" width="18.6640625" style="100" customWidth="1"/>
    <col min="8" max="8" width="16" style="100" hidden="1" customWidth="1"/>
    <col min="9" max="9" width="14.109375" style="100" bestFit="1" customWidth="1"/>
    <col min="10" max="10" width="13.109375" style="100" hidden="1" customWidth="1"/>
    <col min="11" max="11" width="14.5546875" style="100" customWidth="1"/>
    <col min="12" max="12" width="17.6640625" style="100" hidden="1" customWidth="1"/>
    <col min="13" max="13" width="11.6640625" style="100" hidden="1" customWidth="1"/>
    <col min="14" max="14" width="17" style="121" customWidth="1"/>
    <col min="15" max="15" width="14.6640625" style="121" customWidth="1"/>
    <col min="16" max="16" width="14.109375" style="121" customWidth="1"/>
    <col min="17" max="17" width="17.33203125" style="100" customWidth="1"/>
    <col min="18" max="259" width="25.6640625" style="100"/>
    <col min="260" max="260" width="14.109375" style="100" customWidth="1"/>
    <col min="261" max="261" width="10.88671875" style="100" customWidth="1"/>
    <col min="262" max="263" width="9.33203125" style="100" customWidth="1"/>
    <col min="264" max="264" width="10.44140625" style="100" customWidth="1"/>
    <col min="265" max="265" width="10.6640625" style="100" customWidth="1"/>
    <col min="266" max="266" width="9.6640625" style="100" customWidth="1"/>
    <col min="267" max="267" width="10.5546875" style="100" customWidth="1"/>
    <col min="268" max="268" width="10.6640625" style="100" customWidth="1"/>
    <col min="269" max="269" width="11.33203125" style="100" customWidth="1"/>
    <col min="270" max="270" width="10.6640625" style="100" customWidth="1"/>
    <col min="271" max="271" width="10.44140625" style="100" customWidth="1"/>
    <col min="272" max="272" width="5.109375" style="100" customWidth="1"/>
    <col min="273" max="515" width="25.6640625" style="100"/>
    <col min="516" max="516" width="14.109375" style="100" customWidth="1"/>
    <col min="517" max="517" width="10.88671875" style="100" customWidth="1"/>
    <col min="518" max="519" width="9.33203125" style="100" customWidth="1"/>
    <col min="520" max="520" width="10.44140625" style="100" customWidth="1"/>
    <col min="521" max="521" width="10.6640625" style="100" customWidth="1"/>
    <col min="522" max="522" width="9.6640625" style="100" customWidth="1"/>
    <col min="523" max="523" width="10.5546875" style="100" customWidth="1"/>
    <col min="524" max="524" width="10.6640625" style="100" customWidth="1"/>
    <col min="525" max="525" width="11.33203125" style="100" customWidth="1"/>
    <col min="526" max="526" width="10.6640625" style="100" customWidth="1"/>
    <col min="527" max="527" width="10.44140625" style="100" customWidth="1"/>
    <col min="528" max="528" width="5.109375" style="100" customWidth="1"/>
    <col min="529" max="771" width="25.6640625" style="100"/>
    <col min="772" max="772" width="14.109375" style="100" customWidth="1"/>
    <col min="773" max="773" width="10.88671875" style="100" customWidth="1"/>
    <col min="774" max="775" width="9.33203125" style="100" customWidth="1"/>
    <col min="776" max="776" width="10.44140625" style="100" customWidth="1"/>
    <col min="777" max="777" width="10.6640625" style="100" customWidth="1"/>
    <col min="778" max="778" width="9.6640625" style="100" customWidth="1"/>
    <col min="779" max="779" width="10.5546875" style="100" customWidth="1"/>
    <col min="780" max="780" width="10.6640625" style="100" customWidth="1"/>
    <col min="781" max="781" width="11.33203125" style="100" customWidth="1"/>
    <col min="782" max="782" width="10.6640625" style="100" customWidth="1"/>
    <col min="783" max="783" width="10.44140625" style="100" customWidth="1"/>
    <col min="784" max="784" width="5.109375" style="100" customWidth="1"/>
    <col min="785" max="1027" width="25.6640625" style="100"/>
    <col min="1028" max="1028" width="14.109375" style="100" customWidth="1"/>
    <col min="1029" max="1029" width="10.88671875" style="100" customWidth="1"/>
    <col min="1030" max="1031" width="9.33203125" style="100" customWidth="1"/>
    <col min="1032" max="1032" width="10.44140625" style="100" customWidth="1"/>
    <col min="1033" max="1033" width="10.6640625" style="100" customWidth="1"/>
    <col min="1034" max="1034" width="9.6640625" style="100" customWidth="1"/>
    <col min="1035" max="1035" width="10.5546875" style="100" customWidth="1"/>
    <col min="1036" max="1036" width="10.6640625" style="100" customWidth="1"/>
    <col min="1037" max="1037" width="11.33203125" style="100" customWidth="1"/>
    <col min="1038" max="1038" width="10.6640625" style="100" customWidth="1"/>
    <col min="1039" max="1039" width="10.44140625" style="100" customWidth="1"/>
    <col min="1040" max="1040" width="5.109375" style="100" customWidth="1"/>
    <col min="1041" max="1283" width="25.6640625" style="100"/>
    <col min="1284" max="1284" width="14.109375" style="100" customWidth="1"/>
    <col min="1285" max="1285" width="10.88671875" style="100" customWidth="1"/>
    <col min="1286" max="1287" width="9.33203125" style="100" customWidth="1"/>
    <col min="1288" max="1288" width="10.44140625" style="100" customWidth="1"/>
    <col min="1289" max="1289" width="10.6640625" style="100" customWidth="1"/>
    <col min="1290" max="1290" width="9.6640625" style="100" customWidth="1"/>
    <col min="1291" max="1291" width="10.5546875" style="100" customWidth="1"/>
    <col min="1292" max="1292" width="10.6640625" style="100" customWidth="1"/>
    <col min="1293" max="1293" width="11.33203125" style="100" customWidth="1"/>
    <col min="1294" max="1294" width="10.6640625" style="100" customWidth="1"/>
    <col min="1295" max="1295" width="10.44140625" style="100" customWidth="1"/>
    <col min="1296" max="1296" width="5.109375" style="100" customWidth="1"/>
    <col min="1297" max="1539" width="25.6640625" style="100"/>
    <col min="1540" max="1540" width="14.109375" style="100" customWidth="1"/>
    <col min="1541" max="1541" width="10.88671875" style="100" customWidth="1"/>
    <col min="1542" max="1543" width="9.33203125" style="100" customWidth="1"/>
    <col min="1544" max="1544" width="10.44140625" style="100" customWidth="1"/>
    <col min="1545" max="1545" width="10.6640625" style="100" customWidth="1"/>
    <col min="1546" max="1546" width="9.6640625" style="100" customWidth="1"/>
    <col min="1547" max="1547" width="10.5546875" style="100" customWidth="1"/>
    <col min="1548" max="1548" width="10.6640625" style="100" customWidth="1"/>
    <col min="1549" max="1549" width="11.33203125" style="100" customWidth="1"/>
    <col min="1550" max="1550" width="10.6640625" style="100" customWidth="1"/>
    <col min="1551" max="1551" width="10.44140625" style="100" customWidth="1"/>
    <col min="1552" max="1552" width="5.109375" style="100" customWidth="1"/>
    <col min="1553" max="1795" width="25.6640625" style="100"/>
    <col min="1796" max="1796" width="14.109375" style="100" customWidth="1"/>
    <col min="1797" max="1797" width="10.88671875" style="100" customWidth="1"/>
    <col min="1798" max="1799" width="9.33203125" style="100" customWidth="1"/>
    <col min="1800" max="1800" width="10.44140625" style="100" customWidth="1"/>
    <col min="1801" max="1801" width="10.6640625" style="100" customWidth="1"/>
    <col min="1802" max="1802" width="9.6640625" style="100" customWidth="1"/>
    <col min="1803" max="1803" width="10.5546875" style="100" customWidth="1"/>
    <col min="1804" max="1804" width="10.6640625" style="100" customWidth="1"/>
    <col min="1805" max="1805" width="11.33203125" style="100" customWidth="1"/>
    <col min="1806" max="1806" width="10.6640625" style="100" customWidth="1"/>
    <col min="1807" max="1807" width="10.44140625" style="100" customWidth="1"/>
    <col min="1808" max="1808" width="5.109375" style="100" customWidth="1"/>
    <col min="1809" max="2051" width="25.6640625" style="100"/>
    <col min="2052" max="2052" width="14.109375" style="100" customWidth="1"/>
    <col min="2053" max="2053" width="10.88671875" style="100" customWidth="1"/>
    <col min="2054" max="2055" width="9.33203125" style="100" customWidth="1"/>
    <col min="2056" max="2056" width="10.44140625" style="100" customWidth="1"/>
    <col min="2057" max="2057" width="10.6640625" style="100" customWidth="1"/>
    <col min="2058" max="2058" width="9.6640625" style="100" customWidth="1"/>
    <col min="2059" max="2059" width="10.5546875" style="100" customWidth="1"/>
    <col min="2060" max="2060" width="10.6640625" style="100" customWidth="1"/>
    <col min="2061" max="2061" width="11.33203125" style="100" customWidth="1"/>
    <col min="2062" max="2062" width="10.6640625" style="100" customWidth="1"/>
    <col min="2063" max="2063" width="10.44140625" style="100" customWidth="1"/>
    <col min="2064" max="2064" width="5.109375" style="100" customWidth="1"/>
    <col min="2065" max="2307" width="25.6640625" style="100"/>
    <col min="2308" max="2308" width="14.109375" style="100" customWidth="1"/>
    <col min="2309" max="2309" width="10.88671875" style="100" customWidth="1"/>
    <col min="2310" max="2311" width="9.33203125" style="100" customWidth="1"/>
    <col min="2312" max="2312" width="10.44140625" style="100" customWidth="1"/>
    <col min="2313" max="2313" width="10.6640625" style="100" customWidth="1"/>
    <col min="2314" max="2314" width="9.6640625" style="100" customWidth="1"/>
    <col min="2315" max="2315" width="10.5546875" style="100" customWidth="1"/>
    <col min="2316" max="2316" width="10.6640625" style="100" customWidth="1"/>
    <col min="2317" max="2317" width="11.33203125" style="100" customWidth="1"/>
    <col min="2318" max="2318" width="10.6640625" style="100" customWidth="1"/>
    <col min="2319" max="2319" width="10.44140625" style="100" customWidth="1"/>
    <col min="2320" max="2320" width="5.109375" style="100" customWidth="1"/>
    <col min="2321" max="2563" width="25.6640625" style="100"/>
    <col min="2564" max="2564" width="14.109375" style="100" customWidth="1"/>
    <col min="2565" max="2565" width="10.88671875" style="100" customWidth="1"/>
    <col min="2566" max="2567" width="9.33203125" style="100" customWidth="1"/>
    <col min="2568" max="2568" width="10.44140625" style="100" customWidth="1"/>
    <col min="2569" max="2569" width="10.6640625" style="100" customWidth="1"/>
    <col min="2570" max="2570" width="9.6640625" style="100" customWidth="1"/>
    <col min="2571" max="2571" width="10.5546875" style="100" customWidth="1"/>
    <col min="2572" max="2572" width="10.6640625" style="100" customWidth="1"/>
    <col min="2573" max="2573" width="11.33203125" style="100" customWidth="1"/>
    <col min="2574" max="2574" width="10.6640625" style="100" customWidth="1"/>
    <col min="2575" max="2575" width="10.44140625" style="100" customWidth="1"/>
    <col min="2576" max="2576" width="5.109375" style="100" customWidth="1"/>
    <col min="2577" max="2819" width="25.6640625" style="100"/>
    <col min="2820" max="2820" width="14.109375" style="100" customWidth="1"/>
    <col min="2821" max="2821" width="10.88671875" style="100" customWidth="1"/>
    <col min="2822" max="2823" width="9.33203125" style="100" customWidth="1"/>
    <col min="2824" max="2824" width="10.44140625" style="100" customWidth="1"/>
    <col min="2825" max="2825" width="10.6640625" style="100" customWidth="1"/>
    <col min="2826" max="2826" width="9.6640625" style="100" customWidth="1"/>
    <col min="2827" max="2827" width="10.5546875" style="100" customWidth="1"/>
    <col min="2828" max="2828" width="10.6640625" style="100" customWidth="1"/>
    <col min="2829" max="2829" width="11.33203125" style="100" customWidth="1"/>
    <col min="2830" max="2830" width="10.6640625" style="100" customWidth="1"/>
    <col min="2831" max="2831" width="10.44140625" style="100" customWidth="1"/>
    <col min="2832" max="2832" width="5.109375" style="100" customWidth="1"/>
    <col min="2833" max="3075" width="25.6640625" style="100"/>
    <col min="3076" max="3076" width="14.109375" style="100" customWidth="1"/>
    <col min="3077" max="3077" width="10.88671875" style="100" customWidth="1"/>
    <col min="3078" max="3079" width="9.33203125" style="100" customWidth="1"/>
    <col min="3080" max="3080" width="10.44140625" style="100" customWidth="1"/>
    <col min="3081" max="3081" width="10.6640625" style="100" customWidth="1"/>
    <col min="3082" max="3082" width="9.6640625" style="100" customWidth="1"/>
    <col min="3083" max="3083" width="10.5546875" style="100" customWidth="1"/>
    <col min="3084" max="3084" width="10.6640625" style="100" customWidth="1"/>
    <col min="3085" max="3085" width="11.33203125" style="100" customWidth="1"/>
    <col min="3086" max="3086" width="10.6640625" style="100" customWidth="1"/>
    <col min="3087" max="3087" width="10.44140625" style="100" customWidth="1"/>
    <col min="3088" max="3088" width="5.109375" style="100" customWidth="1"/>
    <col min="3089" max="3331" width="25.6640625" style="100"/>
    <col min="3332" max="3332" width="14.109375" style="100" customWidth="1"/>
    <col min="3333" max="3333" width="10.88671875" style="100" customWidth="1"/>
    <col min="3334" max="3335" width="9.33203125" style="100" customWidth="1"/>
    <col min="3336" max="3336" width="10.44140625" style="100" customWidth="1"/>
    <col min="3337" max="3337" width="10.6640625" style="100" customWidth="1"/>
    <col min="3338" max="3338" width="9.6640625" style="100" customWidth="1"/>
    <col min="3339" max="3339" width="10.5546875" style="100" customWidth="1"/>
    <col min="3340" max="3340" width="10.6640625" style="100" customWidth="1"/>
    <col min="3341" max="3341" width="11.33203125" style="100" customWidth="1"/>
    <col min="3342" max="3342" width="10.6640625" style="100" customWidth="1"/>
    <col min="3343" max="3343" width="10.44140625" style="100" customWidth="1"/>
    <col min="3344" max="3344" width="5.109375" style="100" customWidth="1"/>
    <col min="3345" max="3587" width="25.6640625" style="100"/>
    <col min="3588" max="3588" width="14.109375" style="100" customWidth="1"/>
    <col min="3589" max="3589" width="10.88671875" style="100" customWidth="1"/>
    <col min="3590" max="3591" width="9.33203125" style="100" customWidth="1"/>
    <col min="3592" max="3592" width="10.44140625" style="100" customWidth="1"/>
    <col min="3593" max="3593" width="10.6640625" style="100" customWidth="1"/>
    <col min="3594" max="3594" width="9.6640625" style="100" customWidth="1"/>
    <col min="3595" max="3595" width="10.5546875" style="100" customWidth="1"/>
    <col min="3596" max="3596" width="10.6640625" style="100" customWidth="1"/>
    <col min="3597" max="3597" width="11.33203125" style="100" customWidth="1"/>
    <col min="3598" max="3598" width="10.6640625" style="100" customWidth="1"/>
    <col min="3599" max="3599" width="10.44140625" style="100" customWidth="1"/>
    <col min="3600" max="3600" width="5.109375" style="100" customWidth="1"/>
    <col min="3601" max="3843" width="25.6640625" style="100"/>
    <col min="3844" max="3844" width="14.109375" style="100" customWidth="1"/>
    <col min="3845" max="3845" width="10.88671875" style="100" customWidth="1"/>
    <col min="3846" max="3847" width="9.33203125" style="100" customWidth="1"/>
    <col min="3848" max="3848" width="10.44140625" style="100" customWidth="1"/>
    <col min="3849" max="3849" width="10.6640625" style="100" customWidth="1"/>
    <col min="3850" max="3850" width="9.6640625" style="100" customWidth="1"/>
    <col min="3851" max="3851" width="10.5546875" style="100" customWidth="1"/>
    <col min="3852" max="3852" width="10.6640625" style="100" customWidth="1"/>
    <col min="3853" max="3853" width="11.33203125" style="100" customWidth="1"/>
    <col min="3854" max="3854" width="10.6640625" style="100" customWidth="1"/>
    <col min="3855" max="3855" width="10.44140625" style="100" customWidth="1"/>
    <col min="3856" max="3856" width="5.109375" style="100" customWidth="1"/>
    <col min="3857" max="4099" width="25.6640625" style="100"/>
    <col min="4100" max="4100" width="14.109375" style="100" customWidth="1"/>
    <col min="4101" max="4101" width="10.88671875" style="100" customWidth="1"/>
    <col min="4102" max="4103" width="9.33203125" style="100" customWidth="1"/>
    <col min="4104" max="4104" width="10.44140625" style="100" customWidth="1"/>
    <col min="4105" max="4105" width="10.6640625" style="100" customWidth="1"/>
    <col min="4106" max="4106" width="9.6640625" style="100" customWidth="1"/>
    <col min="4107" max="4107" width="10.5546875" style="100" customWidth="1"/>
    <col min="4108" max="4108" width="10.6640625" style="100" customWidth="1"/>
    <col min="4109" max="4109" width="11.33203125" style="100" customWidth="1"/>
    <col min="4110" max="4110" width="10.6640625" style="100" customWidth="1"/>
    <col min="4111" max="4111" width="10.44140625" style="100" customWidth="1"/>
    <col min="4112" max="4112" width="5.109375" style="100" customWidth="1"/>
    <col min="4113" max="4355" width="25.6640625" style="100"/>
    <col min="4356" max="4356" width="14.109375" style="100" customWidth="1"/>
    <col min="4357" max="4357" width="10.88671875" style="100" customWidth="1"/>
    <col min="4358" max="4359" width="9.33203125" style="100" customWidth="1"/>
    <col min="4360" max="4360" width="10.44140625" style="100" customWidth="1"/>
    <col min="4361" max="4361" width="10.6640625" style="100" customWidth="1"/>
    <col min="4362" max="4362" width="9.6640625" style="100" customWidth="1"/>
    <col min="4363" max="4363" width="10.5546875" style="100" customWidth="1"/>
    <col min="4364" max="4364" width="10.6640625" style="100" customWidth="1"/>
    <col min="4365" max="4365" width="11.33203125" style="100" customWidth="1"/>
    <col min="4366" max="4366" width="10.6640625" style="100" customWidth="1"/>
    <col min="4367" max="4367" width="10.44140625" style="100" customWidth="1"/>
    <col min="4368" max="4368" width="5.109375" style="100" customWidth="1"/>
    <col min="4369" max="4611" width="25.6640625" style="100"/>
    <col min="4612" max="4612" width="14.109375" style="100" customWidth="1"/>
    <col min="4613" max="4613" width="10.88671875" style="100" customWidth="1"/>
    <col min="4614" max="4615" width="9.33203125" style="100" customWidth="1"/>
    <col min="4616" max="4616" width="10.44140625" style="100" customWidth="1"/>
    <col min="4617" max="4617" width="10.6640625" style="100" customWidth="1"/>
    <col min="4618" max="4618" width="9.6640625" style="100" customWidth="1"/>
    <col min="4619" max="4619" width="10.5546875" style="100" customWidth="1"/>
    <col min="4620" max="4620" width="10.6640625" style="100" customWidth="1"/>
    <col min="4621" max="4621" width="11.33203125" style="100" customWidth="1"/>
    <col min="4622" max="4622" width="10.6640625" style="100" customWidth="1"/>
    <col min="4623" max="4623" width="10.44140625" style="100" customWidth="1"/>
    <col min="4624" max="4624" width="5.109375" style="100" customWidth="1"/>
    <col min="4625" max="4867" width="25.6640625" style="100"/>
    <col min="4868" max="4868" width="14.109375" style="100" customWidth="1"/>
    <col min="4869" max="4869" width="10.88671875" style="100" customWidth="1"/>
    <col min="4870" max="4871" width="9.33203125" style="100" customWidth="1"/>
    <col min="4872" max="4872" width="10.44140625" style="100" customWidth="1"/>
    <col min="4873" max="4873" width="10.6640625" style="100" customWidth="1"/>
    <col min="4874" max="4874" width="9.6640625" style="100" customWidth="1"/>
    <col min="4875" max="4875" width="10.5546875" style="100" customWidth="1"/>
    <col min="4876" max="4876" width="10.6640625" style="100" customWidth="1"/>
    <col min="4877" max="4877" width="11.33203125" style="100" customWidth="1"/>
    <col min="4878" max="4878" width="10.6640625" style="100" customWidth="1"/>
    <col min="4879" max="4879" width="10.44140625" style="100" customWidth="1"/>
    <col min="4880" max="4880" width="5.109375" style="100" customWidth="1"/>
    <col min="4881" max="5123" width="25.6640625" style="100"/>
    <col min="5124" max="5124" width="14.109375" style="100" customWidth="1"/>
    <col min="5125" max="5125" width="10.88671875" style="100" customWidth="1"/>
    <col min="5126" max="5127" width="9.33203125" style="100" customWidth="1"/>
    <col min="5128" max="5128" width="10.44140625" style="100" customWidth="1"/>
    <col min="5129" max="5129" width="10.6640625" style="100" customWidth="1"/>
    <col min="5130" max="5130" width="9.6640625" style="100" customWidth="1"/>
    <col min="5131" max="5131" width="10.5546875" style="100" customWidth="1"/>
    <col min="5132" max="5132" width="10.6640625" style="100" customWidth="1"/>
    <col min="5133" max="5133" width="11.33203125" style="100" customWidth="1"/>
    <col min="5134" max="5134" width="10.6640625" style="100" customWidth="1"/>
    <col min="5135" max="5135" width="10.44140625" style="100" customWidth="1"/>
    <col min="5136" max="5136" width="5.109375" style="100" customWidth="1"/>
    <col min="5137" max="5379" width="25.6640625" style="100"/>
    <col min="5380" max="5380" width="14.109375" style="100" customWidth="1"/>
    <col min="5381" max="5381" width="10.88671875" style="100" customWidth="1"/>
    <col min="5382" max="5383" width="9.33203125" style="100" customWidth="1"/>
    <col min="5384" max="5384" width="10.44140625" style="100" customWidth="1"/>
    <col min="5385" max="5385" width="10.6640625" style="100" customWidth="1"/>
    <col min="5386" max="5386" width="9.6640625" style="100" customWidth="1"/>
    <col min="5387" max="5387" width="10.5546875" style="100" customWidth="1"/>
    <col min="5388" max="5388" width="10.6640625" style="100" customWidth="1"/>
    <col min="5389" max="5389" width="11.33203125" style="100" customWidth="1"/>
    <col min="5390" max="5390" width="10.6640625" style="100" customWidth="1"/>
    <col min="5391" max="5391" width="10.44140625" style="100" customWidth="1"/>
    <col min="5392" max="5392" width="5.109375" style="100" customWidth="1"/>
    <col min="5393" max="5635" width="25.6640625" style="100"/>
    <col min="5636" max="5636" width="14.109375" style="100" customWidth="1"/>
    <col min="5637" max="5637" width="10.88671875" style="100" customWidth="1"/>
    <col min="5638" max="5639" width="9.33203125" style="100" customWidth="1"/>
    <col min="5640" max="5640" width="10.44140625" style="100" customWidth="1"/>
    <col min="5641" max="5641" width="10.6640625" style="100" customWidth="1"/>
    <col min="5642" max="5642" width="9.6640625" style="100" customWidth="1"/>
    <col min="5643" max="5643" width="10.5546875" style="100" customWidth="1"/>
    <col min="5644" max="5644" width="10.6640625" style="100" customWidth="1"/>
    <col min="5645" max="5645" width="11.33203125" style="100" customWidth="1"/>
    <col min="5646" max="5646" width="10.6640625" style="100" customWidth="1"/>
    <col min="5647" max="5647" width="10.44140625" style="100" customWidth="1"/>
    <col min="5648" max="5648" width="5.109375" style="100" customWidth="1"/>
    <col min="5649" max="5891" width="25.6640625" style="100"/>
    <col min="5892" max="5892" width="14.109375" style="100" customWidth="1"/>
    <col min="5893" max="5893" width="10.88671875" style="100" customWidth="1"/>
    <col min="5894" max="5895" width="9.33203125" style="100" customWidth="1"/>
    <col min="5896" max="5896" width="10.44140625" style="100" customWidth="1"/>
    <col min="5897" max="5897" width="10.6640625" style="100" customWidth="1"/>
    <col min="5898" max="5898" width="9.6640625" style="100" customWidth="1"/>
    <col min="5899" max="5899" width="10.5546875" style="100" customWidth="1"/>
    <col min="5900" max="5900" width="10.6640625" style="100" customWidth="1"/>
    <col min="5901" max="5901" width="11.33203125" style="100" customWidth="1"/>
    <col min="5902" max="5902" width="10.6640625" style="100" customWidth="1"/>
    <col min="5903" max="5903" width="10.44140625" style="100" customWidth="1"/>
    <col min="5904" max="5904" width="5.109375" style="100" customWidth="1"/>
    <col min="5905" max="6147" width="25.6640625" style="100"/>
    <col min="6148" max="6148" width="14.109375" style="100" customWidth="1"/>
    <col min="6149" max="6149" width="10.88671875" style="100" customWidth="1"/>
    <col min="6150" max="6151" width="9.33203125" style="100" customWidth="1"/>
    <col min="6152" max="6152" width="10.44140625" style="100" customWidth="1"/>
    <col min="6153" max="6153" width="10.6640625" style="100" customWidth="1"/>
    <col min="6154" max="6154" width="9.6640625" style="100" customWidth="1"/>
    <col min="6155" max="6155" width="10.5546875" style="100" customWidth="1"/>
    <col min="6156" max="6156" width="10.6640625" style="100" customWidth="1"/>
    <col min="6157" max="6157" width="11.33203125" style="100" customWidth="1"/>
    <col min="6158" max="6158" width="10.6640625" style="100" customWidth="1"/>
    <col min="6159" max="6159" width="10.44140625" style="100" customWidth="1"/>
    <col min="6160" max="6160" width="5.109375" style="100" customWidth="1"/>
    <col min="6161" max="6403" width="25.6640625" style="100"/>
    <col min="6404" max="6404" width="14.109375" style="100" customWidth="1"/>
    <col min="6405" max="6405" width="10.88671875" style="100" customWidth="1"/>
    <col min="6406" max="6407" width="9.33203125" style="100" customWidth="1"/>
    <col min="6408" max="6408" width="10.44140625" style="100" customWidth="1"/>
    <col min="6409" max="6409" width="10.6640625" style="100" customWidth="1"/>
    <col min="6410" max="6410" width="9.6640625" style="100" customWidth="1"/>
    <col min="6411" max="6411" width="10.5546875" style="100" customWidth="1"/>
    <col min="6412" max="6412" width="10.6640625" style="100" customWidth="1"/>
    <col min="6413" max="6413" width="11.33203125" style="100" customWidth="1"/>
    <col min="6414" max="6414" width="10.6640625" style="100" customWidth="1"/>
    <col min="6415" max="6415" width="10.44140625" style="100" customWidth="1"/>
    <col min="6416" max="6416" width="5.109375" style="100" customWidth="1"/>
    <col min="6417" max="6659" width="25.6640625" style="100"/>
    <col min="6660" max="6660" width="14.109375" style="100" customWidth="1"/>
    <col min="6661" max="6661" width="10.88671875" style="100" customWidth="1"/>
    <col min="6662" max="6663" width="9.33203125" style="100" customWidth="1"/>
    <col min="6664" max="6664" width="10.44140625" style="100" customWidth="1"/>
    <col min="6665" max="6665" width="10.6640625" style="100" customWidth="1"/>
    <col min="6666" max="6666" width="9.6640625" style="100" customWidth="1"/>
    <col min="6667" max="6667" width="10.5546875" style="100" customWidth="1"/>
    <col min="6668" max="6668" width="10.6640625" style="100" customWidth="1"/>
    <col min="6669" max="6669" width="11.33203125" style="100" customWidth="1"/>
    <col min="6670" max="6670" width="10.6640625" style="100" customWidth="1"/>
    <col min="6671" max="6671" width="10.44140625" style="100" customWidth="1"/>
    <col min="6672" max="6672" width="5.109375" style="100" customWidth="1"/>
    <col min="6673" max="6915" width="25.6640625" style="100"/>
    <col min="6916" max="6916" width="14.109375" style="100" customWidth="1"/>
    <col min="6917" max="6917" width="10.88671875" style="100" customWidth="1"/>
    <col min="6918" max="6919" width="9.33203125" style="100" customWidth="1"/>
    <col min="6920" max="6920" width="10.44140625" style="100" customWidth="1"/>
    <col min="6921" max="6921" width="10.6640625" style="100" customWidth="1"/>
    <col min="6922" max="6922" width="9.6640625" style="100" customWidth="1"/>
    <col min="6923" max="6923" width="10.5546875" style="100" customWidth="1"/>
    <col min="6924" max="6924" width="10.6640625" style="100" customWidth="1"/>
    <col min="6925" max="6925" width="11.33203125" style="100" customWidth="1"/>
    <col min="6926" max="6926" width="10.6640625" style="100" customWidth="1"/>
    <col min="6927" max="6927" width="10.44140625" style="100" customWidth="1"/>
    <col min="6928" max="6928" width="5.109375" style="100" customWidth="1"/>
    <col min="6929" max="7171" width="25.6640625" style="100"/>
    <col min="7172" max="7172" width="14.109375" style="100" customWidth="1"/>
    <col min="7173" max="7173" width="10.88671875" style="100" customWidth="1"/>
    <col min="7174" max="7175" width="9.33203125" style="100" customWidth="1"/>
    <col min="7176" max="7176" width="10.44140625" style="100" customWidth="1"/>
    <col min="7177" max="7177" width="10.6640625" style="100" customWidth="1"/>
    <col min="7178" max="7178" width="9.6640625" style="100" customWidth="1"/>
    <col min="7179" max="7179" width="10.5546875" style="100" customWidth="1"/>
    <col min="7180" max="7180" width="10.6640625" style="100" customWidth="1"/>
    <col min="7181" max="7181" width="11.33203125" style="100" customWidth="1"/>
    <col min="7182" max="7182" width="10.6640625" style="100" customWidth="1"/>
    <col min="7183" max="7183" width="10.44140625" style="100" customWidth="1"/>
    <col min="7184" max="7184" width="5.109375" style="100" customWidth="1"/>
    <col min="7185" max="7427" width="25.6640625" style="100"/>
    <col min="7428" max="7428" width="14.109375" style="100" customWidth="1"/>
    <col min="7429" max="7429" width="10.88671875" style="100" customWidth="1"/>
    <col min="7430" max="7431" width="9.33203125" style="100" customWidth="1"/>
    <col min="7432" max="7432" width="10.44140625" style="100" customWidth="1"/>
    <col min="7433" max="7433" width="10.6640625" style="100" customWidth="1"/>
    <col min="7434" max="7434" width="9.6640625" style="100" customWidth="1"/>
    <col min="7435" max="7435" width="10.5546875" style="100" customWidth="1"/>
    <col min="7436" max="7436" width="10.6640625" style="100" customWidth="1"/>
    <col min="7437" max="7437" width="11.33203125" style="100" customWidth="1"/>
    <col min="7438" max="7438" width="10.6640625" style="100" customWidth="1"/>
    <col min="7439" max="7439" width="10.44140625" style="100" customWidth="1"/>
    <col min="7440" max="7440" width="5.109375" style="100" customWidth="1"/>
    <col min="7441" max="7683" width="25.6640625" style="100"/>
    <col min="7684" max="7684" width="14.109375" style="100" customWidth="1"/>
    <col min="7685" max="7685" width="10.88671875" style="100" customWidth="1"/>
    <col min="7686" max="7687" width="9.33203125" style="100" customWidth="1"/>
    <col min="7688" max="7688" width="10.44140625" style="100" customWidth="1"/>
    <col min="7689" max="7689" width="10.6640625" style="100" customWidth="1"/>
    <col min="7690" max="7690" width="9.6640625" style="100" customWidth="1"/>
    <col min="7691" max="7691" width="10.5546875" style="100" customWidth="1"/>
    <col min="7692" max="7692" width="10.6640625" style="100" customWidth="1"/>
    <col min="7693" max="7693" width="11.33203125" style="100" customWidth="1"/>
    <col min="7694" max="7694" width="10.6640625" style="100" customWidth="1"/>
    <col min="7695" max="7695" width="10.44140625" style="100" customWidth="1"/>
    <col min="7696" max="7696" width="5.109375" style="100" customWidth="1"/>
    <col min="7697" max="7939" width="25.6640625" style="100"/>
    <col min="7940" max="7940" width="14.109375" style="100" customWidth="1"/>
    <col min="7941" max="7941" width="10.88671875" style="100" customWidth="1"/>
    <col min="7942" max="7943" width="9.33203125" style="100" customWidth="1"/>
    <col min="7944" max="7944" width="10.44140625" style="100" customWidth="1"/>
    <col min="7945" max="7945" width="10.6640625" style="100" customWidth="1"/>
    <col min="7946" max="7946" width="9.6640625" style="100" customWidth="1"/>
    <col min="7947" max="7947" width="10.5546875" style="100" customWidth="1"/>
    <col min="7948" max="7948" width="10.6640625" style="100" customWidth="1"/>
    <col min="7949" max="7949" width="11.33203125" style="100" customWidth="1"/>
    <col min="7950" max="7950" width="10.6640625" style="100" customWidth="1"/>
    <col min="7951" max="7951" width="10.44140625" style="100" customWidth="1"/>
    <col min="7952" max="7952" width="5.109375" style="100" customWidth="1"/>
    <col min="7953" max="8195" width="25.6640625" style="100"/>
    <col min="8196" max="8196" width="14.109375" style="100" customWidth="1"/>
    <col min="8197" max="8197" width="10.88671875" style="100" customWidth="1"/>
    <col min="8198" max="8199" width="9.33203125" style="100" customWidth="1"/>
    <col min="8200" max="8200" width="10.44140625" style="100" customWidth="1"/>
    <col min="8201" max="8201" width="10.6640625" style="100" customWidth="1"/>
    <col min="8202" max="8202" width="9.6640625" style="100" customWidth="1"/>
    <col min="8203" max="8203" width="10.5546875" style="100" customWidth="1"/>
    <col min="8204" max="8204" width="10.6640625" style="100" customWidth="1"/>
    <col min="8205" max="8205" width="11.33203125" style="100" customWidth="1"/>
    <col min="8206" max="8206" width="10.6640625" style="100" customWidth="1"/>
    <col min="8207" max="8207" width="10.44140625" style="100" customWidth="1"/>
    <col min="8208" max="8208" width="5.109375" style="100" customWidth="1"/>
    <col min="8209" max="8451" width="25.6640625" style="100"/>
    <col min="8452" max="8452" width="14.109375" style="100" customWidth="1"/>
    <col min="8453" max="8453" width="10.88671875" style="100" customWidth="1"/>
    <col min="8454" max="8455" width="9.33203125" style="100" customWidth="1"/>
    <col min="8456" max="8456" width="10.44140625" style="100" customWidth="1"/>
    <col min="8457" max="8457" width="10.6640625" style="100" customWidth="1"/>
    <col min="8458" max="8458" width="9.6640625" style="100" customWidth="1"/>
    <col min="8459" max="8459" width="10.5546875" style="100" customWidth="1"/>
    <col min="8460" max="8460" width="10.6640625" style="100" customWidth="1"/>
    <col min="8461" max="8461" width="11.33203125" style="100" customWidth="1"/>
    <col min="8462" max="8462" width="10.6640625" style="100" customWidth="1"/>
    <col min="8463" max="8463" width="10.44140625" style="100" customWidth="1"/>
    <col min="8464" max="8464" width="5.109375" style="100" customWidth="1"/>
    <col min="8465" max="8707" width="25.6640625" style="100"/>
    <col min="8708" max="8708" width="14.109375" style="100" customWidth="1"/>
    <col min="8709" max="8709" width="10.88671875" style="100" customWidth="1"/>
    <col min="8710" max="8711" width="9.33203125" style="100" customWidth="1"/>
    <col min="8712" max="8712" width="10.44140625" style="100" customWidth="1"/>
    <col min="8713" max="8713" width="10.6640625" style="100" customWidth="1"/>
    <col min="8714" max="8714" width="9.6640625" style="100" customWidth="1"/>
    <col min="8715" max="8715" width="10.5546875" style="100" customWidth="1"/>
    <col min="8716" max="8716" width="10.6640625" style="100" customWidth="1"/>
    <col min="8717" max="8717" width="11.33203125" style="100" customWidth="1"/>
    <col min="8718" max="8718" width="10.6640625" style="100" customWidth="1"/>
    <col min="8719" max="8719" width="10.44140625" style="100" customWidth="1"/>
    <col min="8720" max="8720" width="5.109375" style="100" customWidth="1"/>
    <col min="8721" max="8963" width="25.6640625" style="100"/>
    <col min="8964" max="8964" width="14.109375" style="100" customWidth="1"/>
    <col min="8965" max="8965" width="10.88671875" style="100" customWidth="1"/>
    <col min="8966" max="8967" width="9.33203125" style="100" customWidth="1"/>
    <col min="8968" max="8968" width="10.44140625" style="100" customWidth="1"/>
    <col min="8969" max="8969" width="10.6640625" style="100" customWidth="1"/>
    <col min="8970" max="8970" width="9.6640625" style="100" customWidth="1"/>
    <col min="8971" max="8971" width="10.5546875" style="100" customWidth="1"/>
    <col min="8972" max="8972" width="10.6640625" style="100" customWidth="1"/>
    <col min="8973" max="8973" width="11.33203125" style="100" customWidth="1"/>
    <col min="8974" max="8974" width="10.6640625" style="100" customWidth="1"/>
    <col min="8975" max="8975" width="10.44140625" style="100" customWidth="1"/>
    <col min="8976" max="8976" width="5.109375" style="100" customWidth="1"/>
    <col min="8977" max="9219" width="25.6640625" style="100"/>
    <col min="9220" max="9220" width="14.109375" style="100" customWidth="1"/>
    <col min="9221" max="9221" width="10.88671875" style="100" customWidth="1"/>
    <col min="9222" max="9223" width="9.33203125" style="100" customWidth="1"/>
    <col min="9224" max="9224" width="10.44140625" style="100" customWidth="1"/>
    <col min="9225" max="9225" width="10.6640625" style="100" customWidth="1"/>
    <col min="9226" max="9226" width="9.6640625" style="100" customWidth="1"/>
    <col min="9227" max="9227" width="10.5546875" style="100" customWidth="1"/>
    <col min="9228" max="9228" width="10.6640625" style="100" customWidth="1"/>
    <col min="9229" max="9229" width="11.33203125" style="100" customWidth="1"/>
    <col min="9230" max="9230" width="10.6640625" style="100" customWidth="1"/>
    <col min="9231" max="9231" width="10.44140625" style="100" customWidth="1"/>
    <col min="9232" max="9232" width="5.109375" style="100" customWidth="1"/>
    <col min="9233" max="9475" width="25.6640625" style="100"/>
    <col min="9476" max="9476" width="14.109375" style="100" customWidth="1"/>
    <col min="9477" max="9477" width="10.88671875" style="100" customWidth="1"/>
    <col min="9478" max="9479" width="9.33203125" style="100" customWidth="1"/>
    <col min="9480" max="9480" width="10.44140625" style="100" customWidth="1"/>
    <col min="9481" max="9481" width="10.6640625" style="100" customWidth="1"/>
    <col min="9482" max="9482" width="9.6640625" style="100" customWidth="1"/>
    <col min="9483" max="9483" width="10.5546875" style="100" customWidth="1"/>
    <col min="9484" max="9484" width="10.6640625" style="100" customWidth="1"/>
    <col min="9485" max="9485" width="11.33203125" style="100" customWidth="1"/>
    <col min="9486" max="9486" width="10.6640625" style="100" customWidth="1"/>
    <col min="9487" max="9487" width="10.44140625" style="100" customWidth="1"/>
    <col min="9488" max="9488" width="5.109375" style="100" customWidth="1"/>
    <col min="9489" max="9731" width="25.6640625" style="100"/>
    <col min="9732" max="9732" width="14.109375" style="100" customWidth="1"/>
    <col min="9733" max="9733" width="10.88671875" style="100" customWidth="1"/>
    <col min="9734" max="9735" width="9.33203125" style="100" customWidth="1"/>
    <col min="9736" max="9736" width="10.44140625" style="100" customWidth="1"/>
    <col min="9737" max="9737" width="10.6640625" style="100" customWidth="1"/>
    <col min="9738" max="9738" width="9.6640625" style="100" customWidth="1"/>
    <col min="9739" max="9739" width="10.5546875" style="100" customWidth="1"/>
    <col min="9740" max="9740" width="10.6640625" style="100" customWidth="1"/>
    <col min="9741" max="9741" width="11.33203125" style="100" customWidth="1"/>
    <col min="9742" max="9742" width="10.6640625" style="100" customWidth="1"/>
    <col min="9743" max="9743" width="10.44140625" style="100" customWidth="1"/>
    <col min="9744" max="9744" width="5.109375" style="100" customWidth="1"/>
    <col min="9745" max="9987" width="25.6640625" style="100"/>
    <col min="9988" max="9988" width="14.109375" style="100" customWidth="1"/>
    <col min="9989" max="9989" width="10.88671875" style="100" customWidth="1"/>
    <col min="9990" max="9991" width="9.33203125" style="100" customWidth="1"/>
    <col min="9992" max="9992" width="10.44140625" style="100" customWidth="1"/>
    <col min="9993" max="9993" width="10.6640625" style="100" customWidth="1"/>
    <col min="9994" max="9994" width="9.6640625" style="100" customWidth="1"/>
    <col min="9995" max="9995" width="10.5546875" style="100" customWidth="1"/>
    <col min="9996" max="9996" width="10.6640625" style="100" customWidth="1"/>
    <col min="9997" max="9997" width="11.33203125" style="100" customWidth="1"/>
    <col min="9998" max="9998" width="10.6640625" style="100" customWidth="1"/>
    <col min="9999" max="9999" width="10.44140625" style="100" customWidth="1"/>
    <col min="10000" max="10000" width="5.109375" style="100" customWidth="1"/>
    <col min="10001" max="10243" width="25.6640625" style="100"/>
    <col min="10244" max="10244" width="14.109375" style="100" customWidth="1"/>
    <col min="10245" max="10245" width="10.88671875" style="100" customWidth="1"/>
    <col min="10246" max="10247" width="9.33203125" style="100" customWidth="1"/>
    <col min="10248" max="10248" width="10.44140625" style="100" customWidth="1"/>
    <col min="10249" max="10249" width="10.6640625" style="100" customWidth="1"/>
    <col min="10250" max="10250" width="9.6640625" style="100" customWidth="1"/>
    <col min="10251" max="10251" width="10.5546875" style="100" customWidth="1"/>
    <col min="10252" max="10252" width="10.6640625" style="100" customWidth="1"/>
    <col min="10253" max="10253" width="11.33203125" style="100" customWidth="1"/>
    <col min="10254" max="10254" width="10.6640625" style="100" customWidth="1"/>
    <col min="10255" max="10255" width="10.44140625" style="100" customWidth="1"/>
    <col min="10256" max="10256" width="5.109375" style="100" customWidth="1"/>
    <col min="10257" max="10499" width="25.6640625" style="100"/>
    <col min="10500" max="10500" width="14.109375" style="100" customWidth="1"/>
    <col min="10501" max="10501" width="10.88671875" style="100" customWidth="1"/>
    <col min="10502" max="10503" width="9.33203125" style="100" customWidth="1"/>
    <col min="10504" max="10504" width="10.44140625" style="100" customWidth="1"/>
    <col min="10505" max="10505" width="10.6640625" style="100" customWidth="1"/>
    <col min="10506" max="10506" width="9.6640625" style="100" customWidth="1"/>
    <col min="10507" max="10507" width="10.5546875" style="100" customWidth="1"/>
    <col min="10508" max="10508" width="10.6640625" style="100" customWidth="1"/>
    <col min="10509" max="10509" width="11.33203125" style="100" customWidth="1"/>
    <col min="10510" max="10510" width="10.6640625" style="100" customWidth="1"/>
    <col min="10511" max="10511" width="10.44140625" style="100" customWidth="1"/>
    <col min="10512" max="10512" width="5.109375" style="100" customWidth="1"/>
    <col min="10513" max="10755" width="25.6640625" style="100"/>
    <col min="10756" max="10756" width="14.109375" style="100" customWidth="1"/>
    <col min="10757" max="10757" width="10.88671875" style="100" customWidth="1"/>
    <col min="10758" max="10759" width="9.33203125" style="100" customWidth="1"/>
    <col min="10760" max="10760" width="10.44140625" style="100" customWidth="1"/>
    <col min="10761" max="10761" width="10.6640625" style="100" customWidth="1"/>
    <col min="10762" max="10762" width="9.6640625" style="100" customWidth="1"/>
    <col min="10763" max="10763" width="10.5546875" style="100" customWidth="1"/>
    <col min="10764" max="10764" width="10.6640625" style="100" customWidth="1"/>
    <col min="10765" max="10765" width="11.33203125" style="100" customWidth="1"/>
    <col min="10766" max="10766" width="10.6640625" style="100" customWidth="1"/>
    <col min="10767" max="10767" width="10.44140625" style="100" customWidth="1"/>
    <col min="10768" max="10768" width="5.109375" style="100" customWidth="1"/>
    <col min="10769" max="11011" width="25.6640625" style="100"/>
    <col min="11012" max="11012" width="14.109375" style="100" customWidth="1"/>
    <col min="11013" max="11013" width="10.88671875" style="100" customWidth="1"/>
    <col min="11014" max="11015" width="9.33203125" style="100" customWidth="1"/>
    <col min="11016" max="11016" width="10.44140625" style="100" customWidth="1"/>
    <col min="11017" max="11017" width="10.6640625" style="100" customWidth="1"/>
    <col min="11018" max="11018" width="9.6640625" style="100" customWidth="1"/>
    <col min="11019" max="11019" width="10.5546875" style="100" customWidth="1"/>
    <col min="11020" max="11020" width="10.6640625" style="100" customWidth="1"/>
    <col min="11021" max="11021" width="11.33203125" style="100" customWidth="1"/>
    <col min="11022" max="11022" width="10.6640625" style="100" customWidth="1"/>
    <col min="11023" max="11023" width="10.44140625" style="100" customWidth="1"/>
    <col min="11024" max="11024" width="5.109375" style="100" customWidth="1"/>
    <col min="11025" max="11267" width="25.6640625" style="100"/>
    <col min="11268" max="11268" width="14.109375" style="100" customWidth="1"/>
    <col min="11269" max="11269" width="10.88671875" style="100" customWidth="1"/>
    <col min="11270" max="11271" width="9.33203125" style="100" customWidth="1"/>
    <col min="11272" max="11272" width="10.44140625" style="100" customWidth="1"/>
    <col min="11273" max="11273" width="10.6640625" style="100" customWidth="1"/>
    <col min="11274" max="11274" width="9.6640625" style="100" customWidth="1"/>
    <col min="11275" max="11275" width="10.5546875" style="100" customWidth="1"/>
    <col min="11276" max="11276" width="10.6640625" style="100" customWidth="1"/>
    <col min="11277" max="11277" width="11.33203125" style="100" customWidth="1"/>
    <col min="11278" max="11278" width="10.6640625" style="100" customWidth="1"/>
    <col min="11279" max="11279" width="10.44140625" style="100" customWidth="1"/>
    <col min="11280" max="11280" width="5.109375" style="100" customWidth="1"/>
    <col min="11281" max="11523" width="25.6640625" style="100"/>
    <col min="11524" max="11524" width="14.109375" style="100" customWidth="1"/>
    <col min="11525" max="11525" width="10.88671875" style="100" customWidth="1"/>
    <col min="11526" max="11527" width="9.33203125" style="100" customWidth="1"/>
    <col min="11528" max="11528" width="10.44140625" style="100" customWidth="1"/>
    <col min="11529" max="11529" width="10.6640625" style="100" customWidth="1"/>
    <col min="11530" max="11530" width="9.6640625" style="100" customWidth="1"/>
    <col min="11531" max="11531" width="10.5546875" style="100" customWidth="1"/>
    <col min="11532" max="11532" width="10.6640625" style="100" customWidth="1"/>
    <col min="11533" max="11533" width="11.33203125" style="100" customWidth="1"/>
    <col min="11534" max="11534" width="10.6640625" style="100" customWidth="1"/>
    <col min="11535" max="11535" width="10.44140625" style="100" customWidth="1"/>
    <col min="11536" max="11536" width="5.109375" style="100" customWidth="1"/>
    <col min="11537" max="11779" width="25.6640625" style="100"/>
    <col min="11780" max="11780" width="14.109375" style="100" customWidth="1"/>
    <col min="11781" max="11781" width="10.88671875" style="100" customWidth="1"/>
    <col min="11782" max="11783" width="9.33203125" style="100" customWidth="1"/>
    <col min="11784" max="11784" width="10.44140625" style="100" customWidth="1"/>
    <col min="11785" max="11785" width="10.6640625" style="100" customWidth="1"/>
    <col min="11786" max="11786" width="9.6640625" style="100" customWidth="1"/>
    <col min="11787" max="11787" width="10.5546875" style="100" customWidth="1"/>
    <col min="11788" max="11788" width="10.6640625" style="100" customWidth="1"/>
    <col min="11789" max="11789" width="11.33203125" style="100" customWidth="1"/>
    <col min="11790" max="11790" width="10.6640625" style="100" customWidth="1"/>
    <col min="11791" max="11791" width="10.44140625" style="100" customWidth="1"/>
    <col min="11792" max="11792" width="5.109375" style="100" customWidth="1"/>
    <col min="11793" max="12035" width="25.6640625" style="100"/>
    <col min="12036" max="12036" width="14.109375" style="100" customWidth="1"/>
    <col min="12037" max="12037" width="10.88671875" style="100" customWidth="1"/>
    <col min="12038" max="12039" width="9.33203125" style="100" customWidth="1"/>
    <col min="12040" max="12040" width="10.44140625" style="100" customWidth="1"/>
    <col min="12041" max="12041" width="10.6640625" style="100" customWidth="1"/>
    <col min="12042" max="12042" width="9.6640625" style="100" customWidth="1"/>
    <col min="12043" max="12043" width="10.5546875" style="100" customWidth="1"/>
    <col min="12044" max="12044" width="10.6640625" style="100" customWidth="1"/>
    <col min="12045" max="12045" width="11.33203125" style="100" customWidth="1"/>
    <col min="12046" max="12046" width="10.6640625" style="100" customWidth="1"/>
    <col min="12047" max="12047" width="10.44140625" style="100" customWidth="1"/>
    <col min="12048" max="12048" width="5.109375" style="100" customWidth="1"/>
    <col min="12049" max="12291" width="25.6640625" style="100"/>
    <col min="12292" max="12292" width="14.109375" style="100" customWidth="1"/>
    <col min="12293" max="12293" width="10.88671875" style="100" customWidth="1"/>
    <col min="12294" max="12295" width="9.33203125" style="100" customWidth="1"/>
    <col min="12296" max="12296" width="10.44140625" style="100" customWidth="1"/>
    <col min="12297" max="12297" width="10.6640625" style="100" customWidth="1"/>
    <col min="12298" max="12298" width="9.6640625" style="100" customWidth="1"/>
    <col min="12299" max="12299" width="10.5546875" style="100" customWidth="1"/>
    <col min="12300" max="12300" width="10.6640625" style="100" customWidth="1"/>
    <col min="12301" max="12301" width="11.33203125" style="100" customWidth="1"/>
    <col min="12302" max="12302" width="10.6640625" style="100" customWidth="1"/>
    <col min="12303" max="12303" width="10.44140625" style="100" customWidth="1"/>
    <col min="12304" max="12304" width="5.109375" style="100" customWidth="1"/>
    <col min="12305" max="12547" width="25.6640625" style="100"/>
    <col min="12548" max="12548" width="14.109375" style="100" customWidth="1"/>
    <col min="12549" max="12549" width="10.88671875" style="100" customWidth="1"/>
    <col min="12550" max="12551" width="9.33203125" style="100" customWidth="1"/>
    <col min="12552" max="12552" width="10.44140625" style="100" customWidth="1"/>
    <col min="12553" max="12553" width="10.6640625" style="100" customWidth="1"/>
    <col min="12554" max="12554" width="9.6640625" style="100" customWidth="1"/>
    <col min="12555" max="12555" width="10.5546875" style="100" customWidth="1"/>
    <col min="12556" max="12556" width="10.6640625" style="100" customWidth="1"/>
    <col min="12557" max="12557" width="11.33203125" style="100" customWidth="1"/>
    <col min="12558" max="12558" width="10.6640625" style="100" customWidth="1"/>
    <col min="12559" max="12559" width="10.44140625" style="100" customWidth="1"/>
    <col min="12560" max="12560" width="5.109375" style="100" customWidth="1"/>
    <col min="12561" max="12803" width="25.6640625" style="100"/>
    <col min="12804" max="12804" width="14.109375" style="100" customWidth="1"/>
    <col min="12805" max="12805" width="10.88671875" style="100" customWidth="1"/>
    <col min="12806" max="12807" width="9.33203125" style="100" customWidth="1"/>
    <col min="12808" max="12808" width="10.44140625" style="100" customWidth="1"/>
    <col min="12809" max="12809" width="10.6640625" style="100" customWidth="1"/>
    <col min="12810" max="12810" width="9.6640625" style="100" customWidth="1"/>
    <col min="12811" max="12811" width="10.5546875" style="100" customWidth="1"/>
    <col min="12812" max="12812" width="10.6640625" style="100" customWidth="1"/>
    <col min="12813" max="12813" width="11.33203125" style="100" customWidth="1"/>
    <col min="12814" max="12814" width="10.6640625" style="100" customWidth="1"/>
    <col min="12815" max="12815" width="10.44140625" style="100" customWidth="1"/>
    <col min="12816" max="12816" width="5.109375" style="100" customWidth="1"/>
    <col min="12817" max="13059" width="25.6640625" style="100"/>
    <col min="13060" max="13060" width="14.109375" style="100" customWidth="1"/>
    <col min="13061" max="13061" width="10.88671875" style="100" customWidth="1"/>
    <col min="13062" max="13063" width="9.33203125" style="100" customWidth="1"/>
    <col min="13064" max="13064" width="10.44140625" style="100" customWidth="1"/>
    <col min="13065" max="13065" width="10.6640625" style="100" customWidth="1"/>
    <col min="13066" max="13066" width="9.6640625" style="100" customWidth="1"/>
    <col min="13067" max="13067" width="10.5546875" style="100" customWidth="1"/>
    <col min="13068" max="13068" width="10.6640625" style="100" customWidth="1"/>
    <col min="13069" max="13069" width="11.33203125" style="100" customWidth="1"/>
    <col min="13070" max="13070" width="10.6640625" style="100" customWidth="1"/>
    <col min="13071" max="13071" width="10.44140625" style="100" customWidth="1"/>
    <col min="13072" max="13072" width="5.109375" style="100" customWidth="1"/>
    <col min="13073" max="13315" width="25.6640625" style="100"/>
    <col min="13316" max="13316" width="14.109375" style="100" customWidth="1"/>
    <col min="13317" max="13317" width="10.88671875" style="100" customWidth="1"/>
    <col min="13318" max="13319" width="9.33203125" style="100" customWidth="1"/>
    <col min="13320" max="13320" width="10.44140625" style="100" customWidth="1"/>
    <col min="13321" max="13321" width="10.6640625" style="100" customWidth="1"/>
    <col min="13322" max="13322" width="9.6640625" style="100" customWidth="1"/>
    <col min="13323" max="13323" width="10.5546875" style="100" customWidth="1"/>
    <col min="13324" max="13324" width="10.6640625" style="100" customWidth="1"/>
    <col min="13325" max="13325" width="11.33203125" style="100" customWidth="1"/>
    <col min="13326" max="13326" width="10.6640625" style="100" customWidth="1"/>
    <col min="13327" max="13327" width="10.44140625" style="100" customWidth="1"/>
    <col min="13328" max="13328" width="5.109375" style="100" customWidth="1"/>
    <col min="13329" max="13571" width="25.6640625" style="100"/>
    <col min="13572" max="13572" width="14.109375" style="100" customWidth="1"/>
    <col min="13573" max="13573" width="10.88671875" style="100" customWidth="1"/>
    <col min="13574" max="13575" width="9.33203125" style="100" customWidth="1"/>
    <col min="13576" max="13576" width="10.44140625" style="100" customWidth="1"/>
    <col min="13577" max="13577" width="10.6640625" style="100" customWidth="1"/>
    <col min="13578" max="13578" width="9.6640625" style="100" customWidth="1"/>
    <col min="13579" max="13579" width="10.5546875" style="100" customWidth="1"/>
    <col min="13580" max="13580" width="10.6640625" style="100" customWidth="1"/>
    <col min="13581" max="13581" width="11.33203125" style="100" customWidth="1"/>
    <col min="13582" max="13582" width="10.6640625" style="100" customWidth="1"/>
    <col min="13583" max="13583" width="10.44140625" style="100" customWidth="1"/>
    <col min="13584" max="13584" width="5.109375" style="100" customWidth="1"/>
    <col min="13585" max="13827" width="25.6640625" style="100"/>
    <col min="13828" max="13828" width="14.109375" style="100" customWidth="1"/>
    <col min="13829" max="13829" width="10.88671875" style="100" customWidth="1"/>
    <col min="13830" max="13831" width="9.33203125" style="100" customWidth="1"/>
    <col min="13832" max="13832" width="10.44140625" style="100" customWidth="1"/>
    <col min="13833" max="13833" width="10.6640625" style="100" customWidth="1"/>
    <col min="13834" max="13834" width="9.6640625" style="100" customWidth="1"/>
    <col min="13835" max="13835" width="10.5546875" style="100" customWidth="1"/>
    <col min="13836" max="13836" width="10.6640625" style="100" customWidth="1"/>
    <col min="13837" max="13837" width="11.33203125" style="100" customWidth="1"/>
    <col min="13838" max="13838" width="10.6640625" style="100" customWidth="1"/>
    <col min="13839" max="13839" width="10.44140625" style="100" customWidth="1"/>
    <col min="13840" max="13840" width="5.109375" style="100" customWidth="1"/>
    <col min="13841" max="14083" width="25.6640625" style="100"/>
    <col min="14084" max="14084" width="14.109375" style="100" customWidth="1"/>
    <col min="14085" max="14085" width="10.88671875" style="100" customWidth="1"/>
    <col min="14086" max="14087" width="9.33203125" style="100" customWidth="1"/>
    <col min="14088" max="14088" width="10.44140625" style="100" customWidth="1"/>
    <col min="14089" max="14089" width="10.6640625" style="100" customWidth="1"/>
    <col min="14090" max="14090" width="9.6640625" style="100" customWidth="1"/>
    <col min="14091" max="14091" width="10.5546875" style="100" customWidth="1"/>
    <col min="14092" max="14092" width="10.6640625" style="100" customWidth="1"/>
    <col min="14093" max="14093" width="11.33203125" style="100" customWidth="1"/>
    <col min="14094" max="14094" width="10.6640625" style="100" customWidth="1"/>
    <col min="14095" max="14095" width="10.44140625" style="100" customWidth="1"/>
    <col min="14096" max="14096" width="5.109375" style="100" customWidth="1"/>
    <col min="14097" max="14339" width="25.6640625" style="100"/>
    <col min="14340" max="14340" width="14.109375" style="100" customWidth="1"/>
    <col min="14341" max="14341" width="10.88671875" style="100" customWidth="1"/>
    <col min="14342" max="14343" width="9.33203125" style="100" customWidth="1"/>
    <col min="14344" max="14344" width="10.44140625" style="100" customWidth="1"/>
    <col min="14345" max="14345" width="10.6640625" style="100" customWidth="1"/>
    <col min="14346" max="14346" width="9.6640625" style="100" customWidth="1"/>
    <col min="14347" max="14347" width="10.5546875" style="100" customWidth="1"/>
    <col min="14348" max="14348" width="10.6640625" style="100" customWidth="1"/>
    <col min="14349" max="14349" width="11.33203125" style="100" customWidth="1"/>
    <col min="14350" max="14350" width="10.6640625" style="100" customWidth="1"/>
    <col min="14351" max="14351" width="10.44140625" style="100" customWidth="1"/>
    <col min="14352" max="14352" width="5.109375" style="100" customWidth="1"/>
    <col min="14353" max="14595" width="25.6640625" style="100"/>
    <col min="14596" max="14596" width="14.109375" style="100" customWidth="1"/>
    <col min="14597" max="14597" width="10.88671875" style="100" customWidth="1"/>
    <col min="14598" max="14599" width="9.33203125" style="100" customWidth="1"/>
    <col min="14600" max="14600" width="10.44140625" style="100" customWidth="1"/>
    <col min="14601" max="14601" width="10.6640625" style="100" customWidth="1"/>
    <col min="14602" max="14602" width="9.6640625" style="100" customWidth="1"/>
    <col min="14603" max="14603" width="10.5546875" style="100" customWidth="1"/>
    <col min="14604" max="14604" width="10.6640625" style="100" customWidth="1"/>
    <col min="14605" max="14605" width="11.33203125" style="100" customWidth="1"/>
    <col min="14606" max="14606" width="10.6640625" style="100" customWidth="1"/>
    <col min="14607" max="14607" width="10.44140625" style="100" customWidth="1"/>
    <col min="14608" max="14608" width="5.109375" style="100" customWidth="1"/>
    <col min="14609" max="14851" width="25.6640625" style="100"/>
    <col min="14852" max="14852" width="14.109375" style="100" customWidth="1"/>
    <col min="14853" max="14853" width="10.88671875" style="100" customWidth="1"/>
    <col min="14854" max="14855" width="9.33203125" style="100" customWidth="1"/>
    <col min="14856" max="14856" width="10.44140625" style="100" customWidth="1"/>
    <col min="14857" max="14857" width="10.6640625" style="100" customWidth="1"/>
    <col min="14858" max="14858" width="9.6640625" style="100" customWidth="1"/>
    <col min="14859" max="14859" width="10.5546875" style="100" customWidth="1"/>
    <col min="14860" max="14860" width="10.6640625" style="100" customWidth="1"/>
    <col min="14861" max="14861" width="11.33203125" style="100" customWidth="1"/>
    <col min="14862" max="14862" width="10.6640625" style="100" customWidth="1"/>
    <col min="14863" max="14863" width="10.44140625" style="100" customWidth="1"/>
    <col min="14864" max="14864" width="5.109375" style="100" customWidth="1"/>
    <col min="14865" max="15107" width="25.6640625" style="100"/>
    <col min="15108" max="15108" width="14.109375" style="100" customWidth="1"/>
    <col min="15109" max="15109" width="10.88671875" style="100" customWidth="1"/>
    <col min="15110" max="15111" width="9.33203125" style="100" customWidth="1"/>
    <col min="15112" max="15112" width="10.44140625" style="100" customWidth="1"/>
    <col min="15113" max="15113" width="10.6640625" style="100" customWidth="1"/>
    <col min="15114" max="15114" width="9.6640625" style="100" customWidth="1"/>
    <col min="15115" max="15115" width="10.5546875" style="100" customWidth="1"/>
    <col min="15116" max="15116" width="10.6640625" style="100" customWidth="1"/>
    <col min="15117" max="15117" width="11.33203125" style="100" customWidth="1"/>
    <col min="15118" max="15118" width="10.6640625" style="100" customWidth="1"/>
    <col min="15119" max="15119" width="10.44140625" style="100" customWidth="1"/>
    <col min="15120" max="15120" width="5.109375" style="100" customWidth="1"/>
    <col min="15121" max="15363" width="25.6640625" style="100"/>
    <col min="15364" max="15364" width="14.109375" style="100" customWidth="1"/>
    <col min="15365" max="15365" width="10.88671875" style="100" customWidth="1"/>
    <col min="15366" max="15367" width="9.33203125" style="100" customWidth="1"/>
    <col min="15368" max="15368" width="10.44140625" style="100" customWidth="1"/>
    <col min="15369" max="15369" width="10.6640625" style="100" customWidth="1"/>
    <col min="15370" max="15370" width="9.6640625" style="100" customWidth="1"/>
    <col min="15371" max="15371" width="10.5546875" style="100" customWidth="1"/>
    <col min="15372" max="15372" width="10.6640625" style="100" customWidth="1"/>
    <col min="15373" max="15373" width="11.33203125" style="100" customWidth="1"/>
    <col min="15374" max="15374" width="10.6640625" style="100" customWidth="1"/>
    <col min="15375" max="15375" width="10.44140625" style="100" customWidth="1"/>
    <col min="15376" max="15376" width="5.109375" style="100" customWidth="1"/>
    <col min="15377" max="15619" width="25.6640625" style="100"/>
    <col min="15620" max="15620" width="14.109375" style="100" customWidth="1"/>
    <col min="15621" max="15621" width="10.88671875" style="100" customWidth="1"/>
    <col min="15622" max="15623" width="9.33203125" style="100" customWidth="1"/>
    <col min="15624" max="15624" width="10.44140625" style="100" customWidth="1"/>
    <col min="15625" max="15625" width="10.6640625" style="100" customWidth="1"/>
    <col min="15626" max="15626" width="9.6640625" style="100" customWidth="1"/>
    <col min="15627" max="15627" width="10.5546875" style="100" customWidth="1"/>
    <col min="15628" max="15628" width="10.6640625" style="100" customWidth="1"/>
    <col min="15629" max="15629" width="11.33203125" style="100" customWidth="1"/>
    <col min="15630" max="15630" width="10.6640625" style="100" customWidth="1"/>
    <col min="15631" max="15631" width="10.44140625" style="100" customWidth="1"/>
    <col min="15632" max="15632" width="5.109375" style="100" customWidth="1"/>
    <col min="15633" max="15875" width="25.6640625" style="100"/>
    <col min="15876" max="15876" width="14.109375" style="100" customWidth="1"/>
    <col min="15877" max="15877" width="10.88671875" style="100" customWidth="1"/>
    <col min="15878" max="15879" width="9.33203125" style="100" customWidth="1"/>
    <col min="15880" max="15880" width="10.44140625" style="100" customWidth="1"/>
    <col min="15881" max="15881" width="10.6640625" style="100" customWidth="1"/>
    <col min="15882" max="15882" width="9.6640625" style="100" customWidth="1"/>
    <col min="15883" max="15883" width="10.5546875" style="100" customWidth="1"/>
    <col min="15884" max="15884" width="10.6640625" style="100" customWidth="1"/>
    <col min="15885" max="15885" width="11.33203125" style="100" customWidth="1"/>
    <col min="15886" max="15886" width="10.6640625" style="100" customWidth="1"/>
    <col min="15887" max="15887" width="10.44140625" style="100" customWidth="1"/>
    <col min="15888" max="15888" width="5.109375" style="100" customWidth="1"/>
    <col min="15889" max="16131" width="25.6640625" style="100"/>
    <col min="16132" max="16132" width="14.109375" style="100" customWidth="1"/>
    <col min="16133" max="16133" width="10.88671875" style="100" customWidth="1"/>
    <col min="16134" max="16135" width="9.33203125" style="100" customWidth="1"/>
    <col min="16136" max="16136" width="10.44140625" style="100" customWidth="1"/>
    <col min="16137" max="16137" width="10.6640625" style="100" customWidth="1"/>
    <col min="16138" max="16138" width="9.6640625" style="100" customWidth="1"/>
    <col min="16139" max="16139" width="10.5546875" style="100" customWidth="1"/>
    <col min="16140" max="16140" width="10.6640625" style="100" customWidth="1"/>
    <col min="16141" max="16141" width="11.33203125" style="100" customWidth="1"/>
    <col min="16142" max="16142" width="10.6640625" style="100" customWidth="1"/>
    <col min="16143" max="16143" width="10.44140625" style="100" customWidth="1"/>
    <col min="16144" max="16144" width="5.109375" style="100" customWidth="1"/>
    <col min="16145" max="16384" width="25.6640625" style="100"/>
  </cols>
  <sheetData>
    <row r="1" spans="1:17" ht="13.5" customHeight="1" x14ac:dyDescent="0.2">
      <c r="A1" s="545" t="s">
        <v>1</v>
      </c>
      <c r="B1" s="551" t="s">
        <v>582</v>
      </c>
      <c r="C1" s="377"/>
      <c r="D1" s="377"/>
      <c r="E1" s="377"/>
      <c r="F1" s="377"/>
      <c r="G1" s="553" t="s">
        <v>132</v>
      </c>
      <c r="H1" s="553"/>
      <c r="I1" s="553"/>
      <c r="J1" s="553"/>
      <c r="K1" s="553"/>
      <c r="L1" s="378"/>
      <c r="M1" s="378"/>
      <c r="N1" s="554" t="s">
        <v>549</v>
      </c>
      <c r="O1" s="545" t="s">
        <v>550</v>
      </c>
      <c r="P1" s="545" t="s">
        <v>551</v>
      </c>
      <c r="Q1" s="545" t="s">
        <v>134</v>
      </c>
    </row>
    <row r="2" spans="1:17" ht="42.75" customHeight="1" x14ac:dyDescent="0.2">
      <c r="A2" s="556"/>
      <c r="B2" s="557"/>
      <c r="C2" s="418" t="s">
        <v>579</v>
      </c>
      <c r="D2" s="418" t="s">
        <v>580</v>
      </c>
      <c r="E2" s="418" t="s">
        <v>581</v>
      </c>
      <c r="F2" s="418" t="s">
        <v>122</v>
      </c>
      <c r="G2" s="417" t="s">
        <v>615</v>
      </c>
      <c r="H2" s="419" t="s">
        <v>137</v>
      </c>
      <c r="I2" s="419" t="s">
        <v>616</v>
      </c>
      <c r="J2" s="419" t="s">
        <v>525</v>
      </c>
      <c r="K2" s="417" t="s">
        <v>136</v>
      </c>
      <c r="L2" s="417"/>
      <c r="M2" s="417"/>
      <c r="N2" s="558"/>
      <c r="O2" s="556"/>
      <c r="P2" s="556"/>
      <c r="Q2" s="556"/>
    </row>
    <row r="3" spans="1:17" x14ac:dyDescent="0.2">
      <c r="A3" s="385" t="s">
        <v>143</v>
      </c>
      <c r="B3" s="386">
        <f>+B4+B51</f>
        <v>149442976415.96631</v>
      </c>
      <c r="C3" s="386">
        <f>+C4+C51</f>
        <v>11652196585.492001</v>
      </c>
      <c r="D3" s="386">
        <f>+D4+D51</f>
        <v>5825593490.4099998</v>
      </c>
      <c r="E3" s="386">
        <f>+E4+E51</f>
        <v>12047212793.608629</v>
      </c>
      <c r="F3" s="386"/>
      <c r="G3" s="386">
        <f>G4+G56</f>
        <v>35678457181</v>
      </c>
      <c r="H3" s="386"/>
      <c r="I3" s="386">
        <f>I4+I56</f>
        <v>7712286460</v>
      </c>
      <c r="J3" s="386"/>
      <c r="K3" s="386">
        <f>+K4+K51</f>
        <v>13037543654.271999</v>
      </c>
      <c r="L3" s="386"/>
      <c r="M3" s="386"/>
      <c r="N3" s="386">
        <f>+N4+N51</f>
        <v>11381976946</v>
      </c>
      <c r="O3" s="386">
        <f>+O4+O51</f>
        <v>6440648177</v>
      </c>
      <c r="P3" s="386">
        <f>P4+P56+P52</f>
        <v>1840891261.5</v>
      </c>
      <c r="Q3" s="386">
        <f>+B3-C3-D3-E3-G3-I3-K3-N3-O3-P3</f>
        <v>43826169866.68367</v>
      </c>
    </row>
    <row r="4" spans="1:17" x14ac:dyDescent="0.2">
      <c r="A4" s="385" t="s">
        <v>5</v>
      </c>
      <c r="B4" s="386">
        <f>+B5+B9</f>
        <v>148938601096.13751</v>
      </c>
      <c r="C4" s="386">
        <f>+C5+C9</f>
        <v>11652196585.492001</v>
      </c>
      <c r="D4" s="386">
        <f>+D5+D9</f>
        <v>5825593490.4099998</v>
      </c>
      <c r="E4" s="386">
        <f>+E5+E9</f>
        <v>11996775261.62575</v>
      </c>
      <c r="F4" s="387"/>
      <c r="G4" s="386">
        <f>+G5+G9</f>
        <v>35678457181</v>
      </c>
      <c r="H4" s="386">
        <f>H5+H21</f>
        <v>0</v>
      </c>
      <c r="I4" s="386">
        <f>+I5+I9</f>
        <v>7712286460</v>
      </c>
      <c r="J4" s="386"/>
      <c r="K4" s="386">
        <f>+K5+K9</f>
        <v>13037543654.271999</v>
      </c>
      <c r="L4" s="386"/>
      <c r="M4" s="386"/>
      <c r="N4" s="386">
        <f>+N5+N9</f>
        <v>11373626660</v>
      </c>
      <c r="O4" s="386">
        <f>+O5+O9</f>
        <v>6440648177</v>
      </c>
      <c r="P4" s="386">
        <f>+P5+P9</f>
        <v>1840891261.5</v>
      </c>
      <c r="Q4" s="386">
        <f>+B4-C4-D4-E4-G4-I4-K4-N4-O4-P4</f>
        <v>43380582364.837753</v>
      </c>
    </row>
    <row r="5" spans="1:17" x14ac:dyDescent="0.2">
      <c r="A5" s="385" t="s">
        <v>144</v>
      </c>
      <c r="B5" s="386">
        <f>+B6</f>
        <v>21494000000.037502</v>
      </c>
      <c r="C5" s="386"/>
      <c r="D5" s="386"/>
      <c r="E5" s="386">
        <f>+E6</f>
        <v>2149400000.0037503</v>
      </c>
      <c r="F5" s="387"/>
      <c r="G5" s="386">
        <f t="shared" ref="G5:H5" si="0">G6</f>
        <v>0</v>
      </c>
      <c r="H5" s="386">
        <f t="shared" si="0"/>
        <v>0</v>
      </c>
      <c r="I5" s="386"/>
      <c r="J5" s="386"/>
      <c r="K5" s="386">
        <f>+K6</f>
        <v>0</v>
      </c>
      <c r="L5" s="386"/>
      <c r="M5" s="386"/>
      <c r="N5" s="386">
        <f>+N6</f>
        <v>271882450</v>
      </c>
      <c r="O5" s="386"/>
      <c r="P5" s="386"/>
      <c r="Q5" s="386">
        <f t="shared" ref="Q5:Q60" si="1">+B5-C5-D5-E5-G5-I5-K5-N5-O5-P5</f>
        <v>19072717550.033752</v>
      </c>
    </row>
    <row r="6" spans="1:17" x14ac:dyDescent="0.2">
      <c r="A6" s="388" t="s">
        <v>145</v>
      </c>
      <c r="B6" s="389">
        <f>+B7+B8</f>
        <v>21494000000.037502</v>
      </c>
      <c r="C6" s="389"/>
      <c r="D6" s="389"/>
      <c r="E6" s="389">
        <f>+B6*10%</f>
        <v>2149400000.0037503</v>
      </c>
      <c r="F6" s="390">
        <v>0.1</v>
      </c>
      <c r="G6" s="389"/>
      <c r="H6" s="389"/>
      <c r="I6" s="389"/>
      <c r="J6" s="389"/>
      <c r="K6" s="389"/>
      <c r="L6" s="389">
        <f>+B6-G6-H6-K6</f>
        <v>21494000000.037502</v>
      </c>
      <c r="M6" s="391">
        <f>+L6/$L$61</f>
        <v>0.23108426515743233</v>
      </c>
      <c r="N6" s="389">
        <v>271882450</v>
      </c>
      <c r="O6" s="389"/>
      <c r="P6" s="389"/>
      <c r="Q6" s="389">
        <f t="shared" si="1"/>
        <v>19072717550.033752</v>
      </c>
    </row>
    <row r="7" spans="1:17" x14ac:dyDescent="0.2">
      <c r="A7" s="385" t="s">
        <v>575</v>
      </c>
      <c r="B7" s="386">
        <f>+'Proyeccion Ingresos 2024-2027'!B8</f>
        <v>17242301572</v>
      </c>
      <c r="C7" s="386"/>
      <c r="D7" s="386"/>
      <c r="E7" s="386"/>
      <c r="F7" s="387"/>
      <c r="G7" s="386"/>
      <c r="H7" s="386"/>
      <c r="I7" s="386"/>
      <c r="J7" s="386"/>
      <c r="K7" s="386"/>
      <c r="L7" s="386"/>
      <c r="M7" s="392"/>
      <c r="N7" s="386"/>
      <c r="O7" s="386"/>
      <c r="P7" s="386"/>
      <c r="Q7" s="386">
        <f t="shared" si="1"/>
        <v>17242301572</v>
      </c>
    </row>
    <row r="8" spans="1:17" x14ac:dyDescent="0.2">
      <c r="A8" s="385" t="s">
        <v>576</v>
      </c>
      <c r="B8" s="386">
        <f>+'Proyeccion Ingresos 2024-2027'!B9</f>
        <v>4251698428.0375009</v>
      </c>
      <c r="C8" s="386"/>
      <c r="D8" s="386"/>
      <c r="E8" s="386"/>
      <c r="F8" s="387"/>
      <c r="G8" s="386"/>
      <c r="H8" s="386"/>
      <c r="I8" s="386"/>
      <c r="J8" s="386"/>
      <c r="K8" s="386"/>
      <c r="L8" s="386"/>
      <c r="M8" s="392"/>
      <c r="N8" s="386"/>
      <c r="O8" s="386"/>
      <c r="P8" s="386"/>
      <c r="Q8" s="386">
        <f t="shared" si="1"/>
        <v>4251698428.0375009</v>
      </c>
    </row>
    <row r="9" spans="1:17" x14ac:dyDescent="0.2">
      <c r="A9" s="388" t="s">
        <v>17</v>
      </c>
      <c r="B9" s="389">
        <f>+B10+B21+B42+B46</f>
        <v>127444601096.10001</v>
      </c>
      <c r="C9" s="389">
        <f>+C10+C21+C42+C46</f>
        <v>11652196585.492001</v>
      </c>
      <c r="D9" s="389">
        <f>+D10+D21+D42+D46</f>
        <v>5825593490.4099998</v>
      </c>
      <c r="E9" s="389">
        <f>+E10+E21+E42+E46</f>
        <v>9847375261.6219997</v>
      </c>
      <c r="F9" s="387"/>
      <c r="G9" s="389">
        <f>+G10+G21+G42+G46</f>
        <v>35678457181</v>
      </c>
      <c r="H9" s="389"/>
      <c r="I9" s="389">
        <f>+I10+I21+I42+I46</f>
        <v>7712286460</v>
      </c>
      <c r="J9" s="389"/>
      <c r="K9" s="389">
        <f>+K10+K21+K42+K46</f>
        <v>13037543654.271999</v>
      </c>
      <c r="L9" s="389"/>
      <c r="M9" s="393"/>
      <c r="N9" s="389">
        <f>+N10+N21+N42+N46</f>
        <v>11101744210</v>
      </c>
      <c r="O9" s="389">
        <f>+O10+O21+O42+O46</f>
        <v>6440648177</v>
      </c>
      <c r="P9" s="389">
        <f>+P10+P21+P42+P46</f>
        <v>1840891261.5</v>
      </c>
      <c r="Q9" s="389">
        <f>+B9-C9-D9-E9-G9-I9-K9-N9-O9-P9</f>
        <v>24307864814.804001</v>
      </c>
    </row>
    <row r="10" spans="1:17" x14ac:dyDescent="0.2">
      <c r="A10" s="385" t="s">
        <v>19</v>
      </c>
      <c r="B10" s="386">
        <f>+B11</f>
        <v>17976333808</v>
      </c>
      <c r="C10" s="386">
        <f>+C11</f>
        <v>1797633380.8</v>
      </c>
      <c r="D10" s="386">
        <f>+D11</f>
        <v>3595266761.5999999</v>
      </c>
      <c r="E10" s="386">
        <f>+E11</f>
        <v>0</v>
      </c>
      <c r="F10" s="387"/>
      <c r="G10" s="386"/>
      <c r="H10" s="386"/>
      <c r="I10" s="386">
        <f>+I11</f>
        <v>7712286460</v>
      </c>
      <c r="J10" s="386"/>
      <c r="K10" s="386">
        <f>+K11</f>
        <v>0</v>
      </c>
      <c r="L10" s="386"/>
      <c r="M10" s="394"/>
      <c r="N10" s="386">
        <f>+N11</f>
        <v>57819324</v>
      </c>
      <c r="O10" s="386">
        <f>+O11</f>
        <v>0</v>
      </c>
      <c r="P10" s="386">
        <f>+P11</f>
        <v>1840891261.5</v>
      </c>
      <c r="Q10" s="386">
        <v>0</v>
      </c>
    </row>
    <row r="11" spans="1:17" x14ac:dyDescent="0.2">
      <c r="A11" s="385" t="s">
        <v>146</v>
      </c>
      <c r="B11" s="386">
        <f>+B12+B15+B18</f>
        <v>17976333808</v>
      </c>
      <c r="C11" s="386">
        <f>+C12+C15+C18</f>
        <v>1797633380.8</v>
      </c>
      <c r="D11" s="386">
        <f>+D12+D15+D18</f>
        <v>3595266761.5999999</v>
      </c>
      <c r="E11" s="386">
        <f>+E12+E15+E18</f>
        <v>0</v>
      </c>
      <c r="F11" s="387"/>
      <c r="G11" s="386"/>
      <c r="H11" s="386"/>
      <c r="I11" s="386">
        <f>+I12</f>
        <v>7712286460</v>
      </c>
      <c r="J11" s="386"/>
      <c r="K11" s="386"/>
      <c r="L11" s="386"/>
      <c r="M11" s="394"/>
      <c r="N11" s="386">
        <f>+N12+N15+N18</f>
        <v>57819324</v>
      </c>
      <c r="O11" s="386">
        <f>+O12+O15+O18</f>
        <v>0</v>
      </c>
      <c r="P11" s="386">
        <f>+P12+P15+P18</f>
        <v>1840891261.5</v>
      </c>
      <c r="Q11" s="386">
        <v>0</v>
      </c>
    </row>
    <row r="12" spans="1:17" x14ac:dyDescent="0.2">
      <c r="A12" s="388" t="s">
        <v>163</v>
      </c>
      <c r="B12" s="389">
        <f>+B13+B14</f>
        <v>13673438495</v>
      </c>
      <c r="C12" s="389">
        <f>+B12*10%</f>
        <v>1367343849.5</v>
      </c>
      <c r="D12" s="389">
        <f>+B12*20%</f>
        <v>2734687699</v>
      </c>
      <c r="E12" s="389">
        <f>+B12*0%</f>
        <v>0</v>
      </c>
      <c r="F12" s="390">
        <v>0</v>
      </c>
      <c r="G12" s="389"/>
      <c r="H12" s="389"/>
      <c r="I12" s="389">
        <v>7712286460</v>
      </c>
      <c r="J12" s="389"/>
      <c r="K12" s="389"/>
      <c r="L12" s="389">
        <f>+B12-I12</f>
        <v>5961152035</v>
      </c>
      <c r="M12" s="395">
        <f>+L12/L61</f>
        <v>6.4088975411617372E-2</v>
      </c>
      <c r="N12" s="396">
        <v>18229225</v>
      </c>
      <c r="O12" s="396"/>
      <c r="P12" s="396">
        <f>+B12-C12-D12-E12-I12-N12</f>
        <v>1840891261.5</v>
      </c>
      <c r="Q12" s="396">
        <v>0</v>
      </c>
    </row>
    <row r="13" spans="1:17" x14ac:dyDescent="0.2">
      <c r="A13" s="385" t="s">
        <v>575</v>
      </c>
      <c r="B13" s="386">
        <f>+'Proyeccion Ingresos 2024-2027'!B16</f>
        <v>12083619655</v>
      </c>
      <c r="C13" s="386"/>
      <c r="D13" s="386"/>
      <c r="E13" s="386"/>
      <c r="F13" s="387"/>
      <c r="G13" s="386"/>
      <c r="H13" s="386"/>
      <c r="I13" s="386"/>
      <c r="J13" s="386"/>
      <c r="K13" s="386"/>
      <c r="L13" s="386"/>
      <c r="M13" s="397"/>
      <c r="N13" s="398"/>
      <c r="O13" s="398"/>
      <c r="P13" s="398"/>
      <c r="Q13" s="398">
        <v>0</v>
      </c>
    </row>
    <row r="14" spans="1:17" x14ac:dyDescent="0.2">
      <c r="A14" s="385" t="s">
        <v>576</v>
      </c>
      <c r="B14" s="386">
        <f>+'Proyeccion Ingresos 2024-2027'!B17</f>
        <v>1589818840</v>
      </c>
      <c r="C14" s="386"/>
      <c r="D14" s="386"/>
      <c r="E14" s="386"/>
      <c r="F14" s="387"/>
      <c r="G14" s="386"/>
      <c r="H14" s="386"/>
      <c r="I14" s="386"/>
      <c r="J14" s="386"/>
      <c r="K14" s="386"/>
      <c r="L14" s="386"/>
      <c r="M14" s="397"/>
      <c r="N14" s="398"/>
      <c r="O14" s="398"/>
      <c r="P14" s="398"/>
      <c r="Q14" s="398">
        <v>0</v>
      </c>
    </row>
    <row r="15" spans="1:17" x14ac:dyDescent="0.2">
      <c r="A15" s="388" t="s">
        <v>164</v>
      </c>
      <c r="B15" s="389">
        <f>+B16+B17</f>
        <v>4172895313</v>
      </c>
      <c r="C15" s="389">
        <f>+B15*10%</f>
        <v>417289531.30000001</v>
      </c>
      <c r="D15" s="389">
        <f>+B15*20%</f>
        <v>834579062.60000002</v>
      </c>
      <c r="E15" s="389">
        <f>+B15*0%</f>
        <v>0</v>
      </c>
      <c r="F15" s="390">
        <v>0</v>
      </c>
      <c r="G15" s="389"/>
      <c r="H15" s="389"/>
      <c r="I15" s="389"/>
      <c r="J15" s="389"/>
      <c r="K15" s="389"/>
      <c r="L15" s="389">
        <f>+B15</f>
        <v>4172895313</v>
      </c>
      <c r="M15" s="395">
        <f>+L15/$L$61</f>
        <v>4.4863238437788042E-2</v>
      </c>
      <c r="N15" s="396">
        <v>38155272</v>
      </c>
      <c r="O15" s="396"/>
      <c r="P15" s="396"/>
      <c r="Q15" s="396">
        <v>0</v>
      </c>
    </row>
    <row r="16" spans="1:17" x14ac:dyDescent="0.2">
      <c r="A16" s="385" t="s">
        <v>575</v>
      </c>
      <c r="B16" s="386">
        <f>+'Proyeccion Ingresos 2024-2027'!B19</f>
        <v>2725753043</v>
      </c>
      <c r="C16" s="386"/>
      <c r="D16" s="386"/>
      <c r="E16" s="386"/>
      <c r="F16" s="387"/>
      <c r="G16" s="386"/>
      <c r="H16" s="386"/>
      <c r="I16" s="386"/>
      <c r="J16" s="386"/>
      <c r="K16" s="386"/>
      <c r="L16" s="386"/>
      <c r="M16" s="397"/>
      <c r="N16" s="398"/>
      <c r="O16" s="398"/>
      <c r="P16" s="398"/>
      <c r="Q16" s="398">
        <f t="shared" si="1"/>
        <v>2725753043</v>
      </c>
    </row>
    <row r="17" spans="1:17" x14ac:dyDescent="0.2">
      <c r="A17" s="385" t="s">
        <v>576</v>
      </c>
      <c r="B17" s="386">
        <f>+'Proyeccion Ingresos 2024-2027'!B20</f>
        <v>1447142270</v>
      </c>
      <c r="C17" s="386"/>
      <c r="D17" s="386"/>
      <c r="E17" s="386"/>
      <c r="F17" s="387"/>
      <c r="G17" s="386"/>
      <c r="H17" s="386"/>
      <c r="I17" s="386"/>
      <c r="J17" s="386"/>
      <c r="K17" s="386"/>
      <c r="L17" s="386"/>
      <c r="M17" s="397"/>
      <c r="N17" s="398"/>
      <c r="O17" s="398"/>
      <c r="P17" s="398"/>
      <c r="Q17" s="398">
        <f t="shared" si="1"/>
        <v>1447142270</v>
      </c>
    </row>
    <row r="18" spans="1:17" x14ac:dyDescent="0.2">
      <c r="A18" s="388" t="s">
        <v>577</v>
      </c>
      <c r="B18" s="389">
        <f>+B19+B20</f>
        <v>130000000</v>
      </c>
      <c r="C18" s="389">
        <f>+B18*10%</f>
        <v>13000000</v>
      </c>
      <c r="D18" s="389">
        <f>+B18*20%</f>
        <v>26000000</v>
      </c>
      <c r="E18" s="389">
        <f>+B18*0%</f>
        <v>0</v>
      </c>
      <c r="F18" s="399">
        <v>0</v>
      </c>
      <c r="G18" s="386"/>
      <c r="H18" s="386"/>
      <c r="I18" s="386"/>
      <c r="J18" s="386"/>
      <c r="K18" s="386"/>
      <c r="L18" s="386">
        <f t="shared" ref="L18" si="2">+B18-G18-H18-K18</f>
        <v>130000000</v>
      </c>
      <c r="M18" s="397">
        <f>+L18/$L$61</f>
        <v>1.3976437364108024E-3</v>
      </c>
      <c r="N18" s="398">
        <v>1434827</v>
      </c>
      <c r="O18" s="398"/>
      <c r="P18" s="398"/>
      <c r="Q18" s="398">
        <f t="shared" si="1"/>
        <v>89565173</v>
      </c>
    </row>
    <row r="19" spans="1:17" x14ac:dyDescent="0.2">
      <c r="A19" s="385" t="s">
        <v>575</v>
      </c>
      <c r="B19" s="386">
        <f>+'Proyeccion Ingresos 2024-2027'!B23</f>
        <v>120000000</v>
      </c>
      <c r="C19" s="386"/>
      <c r="D19" s="386"/>
      <c r="E19" s="386"/>
      <c r="F19" s="387"/>
      <c r="G19" s="386"/>
      <c r="H19" s="386"/>
      <c r="I19" s="386"/>
      <c r="J19" s="386"/>
      <c r="K19" s="386"/>
      <c r="L19" s="386"/>
      <c r="M19" s="397"/>
      <c r="N19" s="398"/>
      <c r="O19" s="398"/>
      <c r="P19" s="398"/>
      <c r="Q19" s="398">
        <f t="shared" si="1"/>
        <v>120000000</v>
      </c>
    </row>
    <row r="20" spans="1:17" x14ac:dyDescent="0.2">
      <c r="A20" s="385" t="s">
        <v>576</v>
      </c>
      <c r="B20" s="386">
        <f>+'Proyeccion Ingresos 2024-2027'!B24</f>
        <v>10000000</v>
      </c>
      <c r="C20" s="386"/>
      <c r="D20" s="386"/>
      <c r="E20" s="386"/>
      <c r="F20" s="387"/>
      <c r="G20" s="386"/>
      <c r="H20" s="386"/>
      <c r="I20" s="386"/>
      <c r="J20" s="386"/>
      <c r="K20" s="386"/>
      <c r="L20" s="386"/>
      <c r="M20" s="397"/>
      <c r="N20" s="398"/>
      <c r="O20" s="398"/>
      <c r="P20" s="398"/>
      <c r="Q20" s="398">
        <f t="shared" si="1"/>
        <v>10000000</v>
      </c>
    </row>
    <row r="21" spans="1:17" x14ac:dyDescent="0.2">
      <c r="A21" s="388" t="s">
        <v>147</v>
      </c>
      <c r="B21" s="389">
        <f>+B22+B24+B27+B30+B33+B36+B39</f>
        <v>21947958454.220001</v>
      </c>
      <c r="C21" s="389">
        <f>+C22+C24+C27+C30+C33+C36+C39</f>
        <v>9534785254.2000008</v>
      </c>
      <c r="D21" s="389">
        <f>+D22+D24+D27+D30+D33+D36+D39</f>
        <v>2194795845.4219999</v>
      </c>
      <c r="E21" s="389">
        <f>+E22+E24+E27+E30+E33+E36+E39</f>
        <v>1135375261.622</v>
      </c>
      <c r="F21" s="387"/>
      <c r="G21" s="389">
        <f>+G22+G24+G27+G30+G33+G36</f>
        <v>0</v>
      </c>
      <c r="H21" s="389"/>
      <c r="I21" s="389"/>
      <c r="J21" s="389"/>
      <c r="K21" s="389">
        <f>+K22+K24+K27+K30+K33+K36+K39</f>
        <v>887275261.67199993</v>
      </c>
      <c r="L21" s="389"/>
      <c r="M21" s="393"/>
      <c r="N21" s="389">
        <f>+N22+N24+N27+N30+N33+N36+N39</f>
        <v>147332238</v>
      </c>
      <c r="O21" s="389">
        <f>+O22+O24+O27+O30+O33+O36+O39</f>
        <v>0</v>
      </c>
      <c r="P21" s="389">
        <f>+P22+P24+P27+P30+P33+P36+P39</f>
        <v>0</v>
      </c>
      <c r="Q21" s="389">
        <f>+Q22+Q24+Q27+Q30+Q33+Q36+Q39</f>
        <v>8048394593.3039999</v>
      </c>
    </row>
    <row r="22" spans="1:17" x14ac:dyDescent="0.2">
      <c r="A22" s="388" t="s">
        <v>148</v>
      </c>
      <c r="B22" s="389">
        <f>+B23</f>
        <v>240496823</v>
      </c>
      <c r="C22" s="389">
        <f>+B22*90%</f>
        <v>216447140.70000002</v>
      </c>
      <c r="D22" s="389">
        <f>+B22*10%</f>
        <v>24049682.300000001</v>
      </c>
      <c r="E22" s="389"/>
      <c r="F22" s="387"/>
      <c r="G22" s="386">
        <f t="shared" ref="G22" si="3">SUM(G24:G42)</f>
        <v>0</v>
      </c>
      <c r="H22" s="386"/>
      <c r="I22" s="386"/>
      <c r="J22" s="386"/>
      <c r="K22" s="389">
        <f>+K23</f>
        <v>0</v>
      </c>
      <c r="L22" s="386">
        <f t="shared" ref="L22:L36" si="4">+B22-G22-H22-K22</f>
        <v>240496823</v>
      </c>
      <c r="M22" s="394"/>
      <c r="N22" s="386"/>
      <c r="O22" s="386"/>
      <c r="P22" s="386"/>
      <c r="Q22" s="386">
        <f t="shared" si="1"/>
        <v>-1.862645149230957E-8</v>
      </c>
    </row>
    <row r="23" spans="1:17" x14ac:dyDescent="0.2">
      <c r="A23" s="385" t="s">
        <v>578</v>
      </c>
      <c r="B23" s="386">
        <f>+'Proyeccion Ingresos 2024-2027'!B27</f>
        <v>240496823</v>
      </c>
      <c r="C23" s="386"/>
      <c r="D23" s="386"/>
      <c r="E23" s="386"/>
      <c r="F23" s="387"/>
      <c r="G23" s="386"/>
      <c r="H23" s="386"/>
      <c r="I23" s="386"/>
      <c r="J23" s="386"/>
      <c r="K23" s="386"/>
      <c r="L23" s="386"/>
      <c r="M23" s="394"/>
      <c r="N23" s="386"/>
      <c r="O23" s="386"/>
      <c r="P23" s="386"/>
      <c r="Q23" s="386">
        <f t="shared" si="1"/>
        <v>240496823</v>
      </c>
    </row>
    <row r="24" spans="1:17" x14ac:dyDescent="0.2">
      <c r="A24" s="388" t="s">
        <v>149</v>
      </c>
      <c r="B24" s="389">
        <f>+B25+B26</f>
        <v>2247453257</v>
      </c>
      <c r="C24" s="389">
        <f>+B24*90%</f>
        <v>2022707931.3</v>
      </c>
      <c r="D24" s="389">
        <f>+B24*10%</f>
        <v>224745325.70000002</v>
      </c>
      <c r="E24" s="389"/>
      <c r="F24" s="387"/>
      <c r="G24" s="386"/>
      <c r="H24" s="386"/>
      <c r="I24" s="386"/>
      <c r="J24" s="386"/>
      <c r="K24" s="389">
        <f>+K25+K26</f>
        <v>0</v>
      </c>
      <c r="L24" s="386">
        <f t="shared" si="4"/>
        <v>2247453257</v>
      </c>
      <c r="M24" s="394"/>
      <c r="N24" s="398"/>
      <c r="O24" s="398"/>
      <c r="P24" s="398"/>
      <c r="Q24" s="398">
        <f t="shared" si="1"/>
        <v>2.9802322387695313E-8</v>
      </c>
    </row>
    <row r="25" spans="1:17" x14ac:dyDescent="0.2">
      <c r="A25" s="385" t="s">
        <v>575</v>
      </c>
      <c r="B25" s="386">
        <f>+'Proyeccion Ingresos 2024-2027'!B29</f>
        <v>1926388506</v>
      </c>
      <c r="C25" s="386"/>
      <c r="D25" s="386"/>
      <c r="E25" s="386"/>
      <c r="F25" s="387"/>
      <c r="G25" s="386"/>
      <c r="H25" s="386"/>
      <c r="I25" s="386"/>
      <c r="J25" s="386"/>
      <c r="K25" s="386"/>
      <c r="L25" s="386"/>
      <c r="M25" s="394"/>
      <c r="N25" s="398"/>
      <c r="O25" s="398"/>
      <c r="P25" s="398"/>
      <c r="Q25" s="398">
        <f t="shared" si="1"/>
        <v>1926388506</v>
      </c>
    </row>
    <row r="26" spans="1:17" x14ac:dyDescent="0.2">
      <c r="A26" s="385" t="s">
        <v>576</v>
      </c>
      <c r="B26" s="386">
        <f>+'Proyeccion Ingresos 2024-2027'!B30</f>
        <v>321064751</v>
      </c>
      <c r="C26" s="386"/>
      <c r="D26" s="386"/>
      <c r="E26" s="386"/>
      <c r="F26" s="387"/>
      <c r="G26" s="386"/>
      <c r="H26" s="386"/>
      <c r="I26" s="386"/>
      <c r="J26" s="386"/>
      <c r="K26" s="386"/>
      <c r="L26" s="386"/>
      <c r="M26" s="394"/>
      <c r="N26" s="398"/>
      <c r="O26" s="398"/>
      <c r="P26" s="398"/>
      <c r="Q26" s="398">
        <f t="shared" si="1"/>
        <v>321064751</v>
      </c>
    </row>
    <row r="27" spans="1:17" ht="15.75" customHeight="1" x14ac:dyDescent="0.2">
      <c r="A27" s="400" t="s">
        <v>150</v>
      </c>
      <c r="B27" s="389">
        <f>+B28+B29</f>
        <v>8106255758</v>
      </c>
      <c r="C27" s="389">
        <f>+B27*90%</f>
        <v>7295630182.1999998</v>
      </c>
      <c r="D27" s="389">
        <f>+B27*10%</f>
        <v>810625575.80000007</v>
      </c>
      <c r="E27" s="389"/>
      <c r="F27" s="387"/>
      <c r="G27" s="386">
        <v>0</v>
      </c>
      <c r="H27" s="386"/>
      <c r="I27" s="386"/>
      <c r="J27" s="386"/>
      <c r="K27" s="389">
        <f>+K28+K29</f>
        <v>0</v>
      </c>
      <c r="L27" s="386">
        <f t="shared" si="4"/>
        <v>8106255758</v>
      </c>
      <c r="M27" s="394"/>
      <c r="N27" s="398"/>
      <c r="O27" s="398"/>
      <c r="P27" s="398"/>
      <c r="Q27" s="398">
        <f t="shared" si="1"/>
        <v>1.1920928955078125E-7</v>
      </c>
    </row>
    <row r="28" spans="1:17" ht="15.75" customHeight="1" x14ac:dyDescent="0.2">
      <c r="A28" s="385" t="s">
        <v>575</v>
      </c>
      <c r="B28" s="386">
        <f>+'Proyeccion Ingresos 2024-2027'!B32</f>
        <v>7482697623</v>
      </c>
      <c r="C28" s="386"/>
      <c r="D28" s="386"/>
      <c r="E28" s="386"/>
      <c r="F28" s="387"/>
      <c r="G28" s="386"/>
      <c r="H28" s="386"/>
      <c r="I28" s="386"/>
      <c r="J28" s="386"/>
      <c r="K28" s="386"/>
      <c r="L28" s="386"/>
      <c r="M28" s="394"/>
      <c r="N28" s="398"/>
      <c r="O28" s="398"/>
      <c r="P28" s="398"/>
      <c r="Q28" s="398">
        <v>0</v>
      </c>
    </row>
    <row r="29" spans="1:17" ht="15.75" customHeight="1" x14ac:dyDescent="0.2">
      <c r="A29" s="385" t="s">
        <v>576</v>
      </c>
      <c r="B29" s="386">
        <f>+'Proyeccion Ingresos 2024-2027'!B33</f>
        <v>623558135</v>
      </c>
      <c r="C29" s="386"/>
      <c r="D29" s="386"/>
      <c r="E29" s="386"/>
      <c r="F29" s="387"/>
      <c r="G29" s="386"/>
      <c r="H29" s="386"/>
      <c r="I29" s="386"/>
      <c r="J29" s="386"/>
      <c r="K29" s="386"/>
      <c r="L29" s="386"/>
      <c r="M29" s="394"/>
      <c r="N29" s="398"/>
      <c r="O29" s="398"/>
      <c r="P29" s="398"/>
      <c r="Q29" s="398">
        <v>0</v>
      </c>
    </row>
    <row r="30" spans="1:17" x14ac:dyDescent="0.2">
      <c r="A30" s="388" t="s">
        <v>151</v>
      </c>
      <c r="B30" s="389">
        <f>+B31+B32</f>
        <v>2299999999.5</v>
      </c>
      <c r="C30" s="389"/>
      <c r="D30" s="389">
        <f>+B30*10%</f>
        <v>229999999.95000002</v>
      </c>
      <c r="E30" s="389">
        <f>+B30*10%</f>
        <v>229999999.95000002</v>
      </c>
      <c r="F30" s="390">
        <v>0.1</v>
      </c>
      <c r="G30" s="389">
        <v>0</v>
      </c>
      <c r="H30" s="389"/>
      <c r="I30" s="389"/>
      <c r="J30" s="389"/>
      <c r="K30" s="389">
        <f>+K31+K32</f>
        <v>0</v>
      </c>
      <c r="L30" s="389">
        <f t="shared" si="4"/>
        <v>2299999999.5</v>
      </c>
      <c r="M30" s="401">
        <f>+L30/$L$61</f>
        <v>2.4727543023430953E-2</v>
      </c>
      <c r="N30" s="396">
        <v>33527500</v>
      </c>
      <c r="O30" s="396"/>
      <c r="P30" s="396"/>
      <c r="Q30" s="396">
        <f t="shared" si="1"/>
        <v>1806472499.5999999</v>
      </c>
    </row>
    <row r="31" spans="1:17" x14ac:dyDescent="0.2">
      <c r="A31" s="385" t="s">
        <v>575</v>
      </c>
      <c r="B31" s="386">
        <f>+'Proyeccion Ingresos 2024-2027'!B35</f>
        <v>2241078934</v>
      </c>
      <c r="C31" s="386"/>
      <c r="D31" s="386"/>
      <c r="E31" s="386"/>
      <c r="F31" s="387"/>
      <c r="G31" s="386"/>
      <c r="H31" s="386"/>
      <c r="I31" s="386"/>
      <c r="J31" s="386"/>
      <c r="K31" s="386"/>
      <c r="L31" s="386"/>
      <c r="M31" s="402"/>
      <c r="N31" s="398"/>
      <c r="O31" s="398"/>
      <c r="P31" s="398"/>
      <c r="Q31" s="398">
        <v>0</v>
      </c>
    </row>
    <row r="32" spans="1:17" x14ac:dyDescent="0.2">
      <c r="A32" s="385" t="s">
        <v>576</v>
      </c>
      <c r="B32" s="386">
        <f>+'Proyeccion Ingresos 2024-2027'!B36</f>
        <v>58921065.500000007</v>
      </c>
      <c r="C32" s="386"/>
      <c r="D32" s="386"/>
      <c r="E32" s="386"/>
      <c r="F32" s="387"/>
      <c r="G32" s="386"/>
      <c r="H32" s="386"/>
      <c r="I32" s="386"/>
      <c r="J32" s="386"/>
      <c r="K32" s="386"/>
      <c r="L32" s="386"/>
      <c r="M32" s="402"/>
      <c r="N32" s="398"/>
      <c r="O32" s="398"/>
      <c r="P32" s="398"/>
      <c r="Q32" s="398">
        <v>0</v>
      </c>
    </row>
    <row r="33" spans="1:17" x14ac:dyDescent="0.2">
      <c r="A33" s="388" t="s">
        <v>152</v>
      </c>
      <c r="B33" s="389">
        <f>+B34+B35</f>
        <v>8872752616.7199993</v>
      </c>
      <c r="C33" s="389"/>
      <c r="D33" s="389">
        <f>+B33*10%</f>
        <v>887275261.67199993</v>
      </c>
      <c r="E33" s="389">
        <f>+B33*10%</f>
        <v>887275261.67199993</v>
      </c>
      <c r="F33" s="399">
        <v>0.1</v>
      </c>
      <c r="G33" s="386">
        <v>0</v>
      </c>
      <c r="H33" s="386"/>
      <c r="I33" s="386"/>
      <c r="J33" s="386"/>
      <c r="K33" s="389">
        <f>+K34+K35</f>
        <v>887275261.67199993</v>
      </c>
      <c r="L33" s="389">
        <f>+B33-K33</f>
        <v>7985477355.0479994</v>
      </c>
      <c r="M33" s="401">
        <f>+L33/$L$61</f>
        <v>8.5852710827177992E-2</v>
      </c>
      <c r="N33" s="396">
        <v>111519125</v>
      </c>
      <c r="O33" s="396"/>
      <c r="P33" s="396"/>
      <c r="Q33" s="396">
        <f t="shared" si="1"/>
        <v>6099407706.7039995</v>
      </c>
    </row>
    <row r="34" spans="1:17" x14ac:dyDescent="0.2">
      <c r="A34" s="385" t="s">
        <v>575</v>
      </c>
      <c r="B34" s="386">
        <f>+'Proyeccion Ingresos 2024-2027'!B38</f>
        <v>8729500518.7199993</v>
      </c>
      <c r="C34" s="386"/>
      <c r="D34" s="386"/>
      <c r="E34" s="386"/>
      <c r="F34" s="387"/>
      <c r="G34" s="386"/>
      <c r="H34" s="386"/>
      <c r="I34" s="386"/>
      <c r="J34" s="386"/>
      <c r="K34" s="386">
        <f>+B34*0.1</f>
        <v>872950051.87199998</v>
      </c>
      <c r="L34" s="386"/>
      <c r="M34" s="402"/>
      <c r="N34" s="398"/>
      <c r="O34" s="398"/>
      <c r="P34" s="398"/>
      <c r="Q34" s="398">
        <v>0</v>
      </c>
    </row>
    <row r="35" spans="1:17" x14ac:dyDescent="0.2">
      <c r="A35" s="385" t="s">
        <v>576</v>
      </c>
      <c r="B35" s="386">
        <f>+'Proyeccion Ingresos 2024-2027'!B39</f>
        <v>143252098</v>
      </c>
      <c r="C35" s="386"/>
      <c r="D35" s="386"/>
      <c r="E35" s="386"/>
      <c r="F35" s="387"/>
      <c r="G35" s="386"/>
      <c r="H35" s="386"/>
      <c r="I35" s="386"/>
      <c r="J35" s="386"/>
      <c r="K35" s="386">
        <f>+B35*0.1</f>
        <v>14325209.800000001</v>
      </c>
      <c r="L35" s="386"/>
      <c r="M35" s="402"/>
      <c r="N35" s="398"/>
      <c r="O35" s="398"/>
      <c r="P35" s="398"/>
      <c r="Q35" s="398">
        <v>0</v>
      </c>
    </row>
    <row r="36" spans="1:17" x14ac:dyDescent="0.2">
      <c r="A36" s="388" t="s">
        <v>153</v>
      </c>
      <c r="B36" s="389">
        <f>+B37+B38</f>
        <v>180000000</v>
      </c>
      <c r="C36" s="389"/>
      <c r="D36" s="389">
        <f>+B36*10%</f>
        <v>18000000</v>
      </c>
      <c r="E36" s="389">
        <f>+B36*10%</f>
        <v>18000000</v>
      </c>
      <c r="F36" s="399">
        <v>0.1</v>
      </c>
      <c r="G36" s="386">
        <v>0</v>
      </c>
      <c r="H36" s="386"/>
      <c r="I36" s="386"/>
      <c r="J36" s="386"/>
      <c r="K36" s="386"/>
      <c r="L36" s="386">
        <f t="shared" si="4"/>
        <v>180000000</v>
      </c>
      <c r="M36" s="402">
        <f>+L36/$L$61</f>
        <v>1.9351990196457265E-3</v>
      </c>
      <c r="N36" s="398">
        <v>2285613</v>
      </c>
      <c r="O36" s="398"/>
      <c r="P36" s="398"/>
      <c r="Q36" s="398">
        <f t="shared" si="1"/>
        <v>141714387</v>
      </c>
    </row>
    <row r="37" spans="1:17" x14ac:dyDescent="0.2">
      <c r="A37" s="385" t="s">
        <v>575</v>
      </c>
      <c r="B37" s="386">
        <f>+'Proyeccion Ingresos 2024-2027'!B41</f>
        <v>174687006</v>
      </c>
      <c r="C37" s="386"/>
      <c r="D37" s="386"/>
      <c r="E37" s="386"/>
      <c r="F37" s="387"/>
      <c r="G37" s="386"/>
      <c r="H37" s="386"/>
      <c r="I37" s="386"/>
      <c r="J37" s="386"/>
      <c r="K37" s="386"/>
      <c r="L37" s="386"/>
      <c r="M37" s="402"/>
      <c r="N37" s="398"/>
      <c r="O37" s="398"/>
      <c r="P37" s="398"/>
      <c r="Q37" s="398">
        <v>0</v>
      </c>
    </row>
    <row r="38" spans="1:17" x14ac:dyDescent="0.2">
      <c r="A38" s="385" t="s">
        <v>576</v>
      </c>
      <c r="B38" s="386">
        <f>+'Proyeccion Ingresos 2024-2027'!B42</f>
        <v>5312994</v>
      </c>
      <c r="C38" s="386"/>
      <c r="D38" s="386"/>
      <c r="E38" s="386"/>
      <c r="F38" s="387"/>
      <c r="G38" s="386"/>
      <c r="H38" s="386"/>
      <c r="I38" s="386"/>
      <c r="J38" s="386"/>
      <c r="K38" s="386"/>
      <c r="L38" s="386"/>
      <c r="M38" s="402"/>
      <c r="N38" s="398"/>
      <c r="O38" s="398"/>
      <c r="P38" s="398"/>
      <c r="Q38" s="398">
        <v>0</v>
      </c>
    </row>
    <row r="39" spans="1:17" x14ac:dyDescent="0.2">
      <c r="A39" s="388" t="s">
        <v>601</v>
      </c>
      <c r="B39" s="386">
        <f>+B40+B41</f>
        <v>1000000</v>
      </c>
      <c r="C39" s="386"/>
      <c r="D39" s="386">
        <f>+B39*0.1</f>
        <v>100000</v>
      </c>
      <c r="E39" s="386">
        <f>+B39*0.1</f>
        <v>100000</v>
      </c>
      <c r="F39" s="387"/>
      <c r="G39" s="386"/>
      <c r="H39" s="386"/>
      <c r="I39" s="386"/>
      <c r="J39" s="386"/>
      <c r="K39" s="386"/>
      <c r="L39" s="386"/>
      <c r="M39" s="402"/>
      <c r="N39" s="398"/>
      <c r="O39" s="398"/>
      <c r="P39" s="398"/>
      <c r="Q39" s="398">
        <f>+B39-D39-E39</f>
        <v>800000</v>
      </c>
    </row>
    <row r="40" spans="1:17" x14ac:dyDescent="0.2">
      <c r="A40" s="385" t="s">
        <v>575</v>
      </c>
      <c r="B40" s="386">
        <f>+'Proyeccion Ingresos 2024-2027'!B44</f>
        <v>1000000</v>
      </c>
      <c r="C40" s="386"/>
      <c r="D40" s="386"/>
      <c r="E40" s="386"/>
      <c r="F40" s="387"/>
      <c r="G40" s="386"/>
      <c r="H40" s="386"/>
      <c r="I40" s="386"/>
      <c r="J40" s="386"/>
      <c r="K40" s="386"/>
      <c r="L40" s="386"/>
      <c r="M40" s="402"/>
      <c r="N40" s="398"/>
      <c r="O40" s="398"/>
      <c r="P40" s="398"/>
      <c r="Q40" s="398">
        <v>0</v>
      </c>
    </row>
    <row r="41" spans="1:17" x14ac:dyDescent="0.2">
      <c r="A41" s="385" t="s">
        <v>576</v>
      </c>
      <c r="B41" s="386">
        <v>0</v>
      </c>
      <c r="C41" s="386"/>
      <c r="D41" s="386">
        <v>0</v>
      </c>
      <c r="E41" s="386">
        <v>0</v>
      </c>
      <c r="F41" s="387"/>
      <c r="G41" s="386"/>
      <c r="H41" s="386"/>
      <c r="I41" s="386"/>
      <c r="J41" s="386"/>
      <c r="K41" s="386"/>
      <c r="L41" s="386"/>
      <c r="M41" s="402"/>
      <c r="N41" s="398">
        <v>0</v>
      </c>
      <c r="O41" s="398">
        <v>0</v>
      </c>
      <c r="P41" s="398">
        <v>0</v>
      </c>
      <c r="Q41" s="398">
        <v>0</v>
      </c>
    </row>
    <row r="42" spans="1:17" x14ac:dyDescent="0.2">
      <c r="A42" s="388" t="s">
        <v>154</v>
      </c>
      <c r="B42" s="389">
        <f>+B43</f>
        <v>355308833.88000011</v>
      </c>
      <c r="C42" s="389">
        <f>+B42*90%</f>
        <v>319777950.4920001</v>
      </c>
      <c r="D42" s="389">
        <f>+B42*10%</f>
        <v>35530883.388000011</v>
      </c>
      <c r="E42" s="389"/>
      <c r="F42" s="387"/>
      <c r="G42" s="386"/>
      <c r="H42" s="386"/>
      <c r="I42" s="386"/>
      <c r="J42" s="386"/>
      <c r="K42" s="386"/>
      <c r="L42" s="386"/>
      <c r="M42" s="394"/>
      <c r="N42" s="398">
        <f>+N43</f>
        <v>0</v>
      </c>
      <c r="O42" s="398"/>
      <c r="P42" s="398"/>
      <c r="Q42" s="398">
        <v>0</v>
      </c>
    </row>
    <row r="43" spans="1:17" x14ac:dyDescent="0.2">
      <c r="A43" s="388" t="s">
        <v>155</v>
      </c>
      <c r="B43" s="389">
        <f>+B44+B45</f>
        <v>355308833.88000011</v>
      </c>
      <c r="C43" s="389"/>
      <c r="D43" s="389"/>
      <c r="E43" s="389"/>
      <c r="F43" s="387"/>
      <c r="G43" s="386"/>
      <c r="H43" s="386"/>
      <c r="I43" s="386"/>
      <c r="J43" s="386"/>
      <c r="K43" s="386"/>
      <c r="L43" s="386">
        <f>+B43-G43-H43-K43</f>
        <v>355308833.88000011</v>
      </c>
      <c r="M43" s="394"/>
      <c r="N43" s="386"/>
      <c r="O43" s="386"/>
      <c r="P43" s="386"/>
      <c r="Q43" s="386">
        <f t="shared" si="1"/>
        <v>355308833.88000011</v>
      </c>
    </row>
    <row r="44" spans="1:17" x14ac:dyDescent="0.2">
      <c r="A44" s="385" t="s">
        <v>575</v>
      </c>
      <c r="B44" s="386">
        <f>+'Proyeccion Ingresos 2024-2027'!B49</f>
        <v>300645936.36000007</v>
      </c>
      <c r="C44" s="386"/>
      <c r="D44" s="386"/>
      <c r="E44" s="386"/>
      <c r="F44" s="387"/>
      <c r="G44" s="386"/>
      <c r="H44" s="386"/>
      <c r="I44" s="386"/>
      <c r="J44" s="386"/>
      <c r="K44" s="386"/>
      <c r="L44" s="386"/>
      <c r="M44" s="394"/>
      <c r="N44" s="386"/>
      <c r="O44" s="386"/>
      <c r="P44" s="386"/>
      <c r="Q44" s="398">
        <v>0</v>
      </c>
    </row>
    <row r="45" spans="1:17" x14ac:dyDescent="0.2">
      <c r="A45" s="385" t="s">
        <v>576</v>
      </c>
      <c r="B45" s="386">
        <f>+'Proyeccion Ingresos 2024-2027'!B50</f>
        <v>54662897.520000011</v>
      </c>
      <c r="C45" s="386"/>
      <c r="D45" s="386"/>
      <c r="E45" s="386"/>
      <c r="F45" s="387"/>
      <c r="G45" s="386"/>
      <c r="H45" s="386"/>
      <c r="I45" s="386"/>
      <c r="J45" s="386"/>
      <c r="K45" s="386"/>
      <c r="L45" s="386"/>
      <c r="M45" s="394"/>
      <c r="N45" s="386"/>
      <c r="O45" s="386"/>
      <c r="P45" s="386"/>
      <c r="Q45" s="398">
        <v>0</v>
      </c>
    </row>
    <row r="46" spans="1:17" x14ac:dyDescent="0.2">
      <c r="A46" s="385" t="s">
        <v>156</v>
      </c>
      <c r="B46" s="386">
        <f>+B47+B50</f>
        <v>87165000000</v>
      </c>
      <c r="C46" s="386"/>
      <c r="D46" s="386"/>
      <c r="E46" s="386">
        <f>+E47+E50</f>
        <v>8712000000</v>
      </c>
      <c r="F46" s="387"/>
      <c r="G46" s="386">
        <f>+G47</f>
        <v>35678457181</v>
      </c>
      <c r="H46" s="386"/>
      <c r="I46" s="386"/>
      <c r="J46" s="386"/>
      <c r="K46" s="386">
        <f>+K47+K50</f>
        <v>12150268392.6</v>
      </c>
      <c r="L46" s="386"/>
      <c r="M46" s="394"/>
      <c r="N46" s="398">
        <f>+N47</f>
        <v>10896592648</v>
      </c>
      <c r="O46" s="386">
        <f>+O47+O50</f>
        <v>6440648177</v>
      </c>
      <c r="P46" s="398"/>
      <c r="Q46" s="398">
        <f t="shared" si="1"/>
        <v>13287033601.400002</v>
      </c>
    </row>
    <row r="47" spans="1:17" x14ac:dyDescent="0.2">
      <c r="A47" s="388" t="s">
        <v>157</v>
      </c>
      <c r="B47" s="389">
        <f>+B48+B49</f>
        <v>87120000000</v>
      </c>
      <c r="C47" s="389"/>
      <c r="D47" s="389"/>
      <c r="E47" s="389">
        <f>+B47*10%</f>
        <v>8712000000</v>
      </c>
      <c r="F47" s="403">
        <v>0.1</v>
      </c>
      <c r="G47" s="386">
        <f>+G48+G49</f>
        <v>35678457181</v>
      </c>
      <c r="H47" s="386"/>
      <c r="I47" s="386"/>
      <c r="J47" s="386"/>
      <c r="K47" s="386">
        <f>+K48+K49</f>
        <v>12150268392.6</v>
      </c>
      <c r="L47" s="386">
        <f>+B47-G47-K47</f>
        <v>39291274426.400002</v>
      </c>
      <c r="M47" s="402">
        <f>+L47/$L$61</f>
        <v>0.4224246430588916</v>
      </c>
      <c r="N47" s="398">
        <f>+N48+N49</f>
        <v>10896592648</v>
      </c>
      <c r="O47" s="389">
        <f>+O48+O49</f>
        <v>6440648177</v>
      </c>
      <c r="P47" s="398"/>
      <c r="Q47" s="398">
        <f>+B47-C47-D47-E47-G47-I47-K47-N47-O47-P47</f>
        <v>13242033601.400002</v>
      </c>
    </row>
    <row r="48" spans="1:17" x14ac:dyDescent="0.2">
      <c r="A48" s="385" t="s">
        <v>575</v>
      </c>
      <c r="B48" s="386">
        <f>+'Proyeccion Ingresos 2024-2027'!B55</f>
        <v>81001789284</v>
      </c>
      <c r="C48" s="386"/>
      <c r="D48" s="386"/>
      <c r="E48" s="386"/>
      <c r="F48" s="387"/>
      <c r="G48" s="386">
        <f>35678457181-6118210716</f>
        <v>29560246465</v>
      </c>
      <c r="H48" s="386"/>
      <c r="I48" s="386"/>
      <c r="J48" s="386"/>
      <c r="K48" s="386">
        <f>+B48*0.15</f>
        <v>12150268392.6</v>
      </c>
      <c r="L48" s="386"/>
      <c r="M48" s="402"/>
      <c r="N48" s="398">
        <f>566969070+10329623578</f>
        <v>10896592648</v>
      </c>
      <c r="O48" s="398">
        <f>(+(B48*0.5)-G48)-4500000000</f>
        <v>6440648177</v>
      </c>
      <c r="P48" s="398"/>
      <c r="Q48" s="398">
        <f>+B48-G48-K48-N48-O48</f>
        <v>21954033601.400002</v>
      </c>
    </row>
    <row r="49" spans="1:17" x14ac:dyDescent="0.2">
      <c r="A49" s="385" t="s">
        <v>576</v>
      </c>
      <c r="B49" s="386">
        <f>+'Proyeccion Ingresos 2024-2027'!B56</f>
        <v>6118210716</v>
      </c>
      <c r="C49" s="386"/>
      <c r="D49" s="386"/>
      <c r="E49" s="386"/>
      <c r="F49" s="387"/>
      <c r="G49" s="386">
        <v>6118210716</v>
      </c>
      <c r="H49" s="386"/>
      <c r="I49" s="386"/>
      <c r="J49" s="386"/>
      <c r="K49" s="386">
        <v>0</v>
      </c>
      <c r="L49" s="386"/>
      <c r="M49" s="402"/>
      <c r="N49" s="398">
        <v>0</v>
      </c>
      <c r="O49" s="398">
        <v>0</v>
      </c>
      <c r="P49" s="398"/>
      <c r="Q49" s="398">
        <f>+B49-G49-K49-N49-O49</f>
        <v>0</v>
      </c>
    </row>
    <row r="50" spans="1:17" x14ac:dyDescent="0.2">
      <c r="A50" s="388" t="s">
        <v>158</v>
      </c>
      <c r="B50" s="389">
        <f>+'Proyeccion Ingresos 2024-2027'!B57</f>
        <v>45000000</v>
      </c>
      <c r="C50" s="389"/>
      <c r="D50" s="389"/>
      <c r="E50" s="389"/>
      <c r="F50" s="387"/>
      <c r="G50" s="386"/>
      <c r="H50" s="386"/>
      <c r="I50" s="386"/>
      <c r="J50" s="386"/>
      <c r="K50" s="386"/>
      <c r="L50" s="386">
        <f>+B50</f>
        <v>45000000</v>
      </c>
      <c r="M50" s="386"/>
      <c r="N50" s="398">
        <v>0</v>
      </c>
      <c r="O50" s="398"/>
      <c r="P50" s="398"/>
      <c r="Q50" s="398">
        <f t="shared" si="1"/>
        <v>45000000</v>
      </c>
    </row>
    <row r="51" spans="1:17" x14ac:dyDescent="0.2">
      <c r="A51" s="385" t="s">
        <v>86</v>
      </c>
      <c r="B51" s="386">
        <f>+B52+B54+B56</f>
        <v>504375319.82880008</v>
      </c>
      <c r="C51" s="386"/>
      <c r="D51" s="386"/>
      <c r="E51" s="386">
        <f>+E52+E54</f>
        <v>50437531.982880011</v>
      </c>
      <c r="F51" s="387"/>
      <c r="G51" s="386"/>
      <c r="H51" s="386"/>
      <c r="I51" s="386"/>
      <c r="J51" s="386"/>
      <c r="K51" s="386"/>
      <c r="L51" s="386">
        <f>+L52+L54+L56</f>
        <v>0</v>
      </c>
      <c r="M51" s="386"/>
      <c r="N51" s="386">
        <f t="shared" ref="N51:Q51" si="5">+N52+N54</f>
        <v>8350286</v>
      </c>
      <c r="O51" s="386">
        <f t="shared" si="5"/>
        <v>0</v>
      </c>
      <c r="P51" s="386">
        <f t="shared" si="5"/>
        <v>0</v>
      </c>
      <c r="Q51" s="386">
        <f t="shared" si="5"/>
        <v>445587501.84592009</v>
      </c>
    </row>
    <row r="52" spans="1:17" x14ac:dyDescent="0.2">
      <c r="A52" s="385" t="s">
        <v>88</v>
      </c>
      <c r="B52" s="386">
        <f>+B53</f>
        <v>504375319.82880008</v>
      </c>
      <c r="C52" s="386"/>
      <c r="D52" s="386"/>
      <c r="E52" s="386">
        <f>+E53</f>
        <v>50437531.982880011</v>
      </c>
      <c r="F52" s="387"/>
      <c r="G52" s="386"/>
      <c r="H52" s="386"/>
      <c r="I52" s="386"/>
      <c r="J52" s="386"/>
      <c r="K52" s="386"/>
      <c r="L52" s="386"/>
      <c r="M52" s="404"/>
      <c r="N52" s="398">
        <f>+N53</f>
        <v>8350286</v>
      </c>
      <c r="O52" s="398"/>
      <c r="P52" s="398"/>
      <c r="Q52" s="398">
        <f>+Q53</f>
        <v>445587501.84592009</v>
      </c>
    </row>
    <row r="53" spans="1:17" x14ac:dyDescent="0.2">
      <c r="A53" s="385" t="s">
        <v>159</v>
      </c>
      <c r="B53" s="386">
        <f>+'Proyeccion Ingresos 2024-2027'!B61</f>
        <v>504375319.82880008</v>
      </c>
      <c r="C53" s="386"/>
      <c r="D53" s="386"/>
      <c r="E53" s="386">
        <f>+B53*10%</f>
        <v>50437531.982880011</v>
      </c>
      <c r="F53" s="403">
        <v>0.1</v>
      </c>
      <c r="G53" s="386"/>
      <c r="H53" s="386"/>
      <c r="I53" s="386"/>
      <c r="J53" s="386"/>
      <c r="K53" s="386"/>
      <c r="L53" s="386">
        <f>+B53</f>
        <v>504375319.82880008</v>
      </c>
      <c r="M53" s="402">
        <f>+L53/$L$61</f>
        <v>5.4225923581455206E-3</v>
      </c>
      <c r="N53" s="398">
        <v>8350286</v>
      </c>
      <c r="O53" s="398"/>
      <c r="P53" s="398"/>
      <c r="Q53" s="398">
        <f>+B53-E53-N53</f>
        <v>445587501.84592009</v>
      </c>
    </row>
    <row r="54" spans="1:17" hidden="1" x14ac:dyDescent="0.2">
      <c r="A54" s="385" t="s">
        <v>160</v>
      </c>
      <c r="B54" s="386">
        <f>+B55</f>
        <v>0</v>
      </c>
      <c r="C54" s="386"/>
      <c r="D54" s="386"/>
      <c r="E54" s="386"/>
      <c r="F54" s="387"/>
      <c r="G54" s="386"/>
      <c r="H54" s="386"/>
      <c r="I54" s="386"/>
      <c r="J54" s="386"/>
      <c r="K54" s="386"/>
      <c r="L54" s="386">
        <f>+L55</f>
        <v>0</v>
      </c>
      <c r="M54" s="386"/>
      <c r="N54" s="398">
        <v>0</v>
      </c>
      <c r="O54" s="398"/>
      <c r="P54" s="398"/>
      <c r="Q54" s="398">
        <f t="shared" si="1"/>
        <v>0</v>
      </c>
    </row>
    <row r="55" spans="1:17" hidden="1" x14ac:dyDescent="0.2">
      <c r="A55" s="385" t="s">
        <v>161</v>
      </c>
      <c r="B55" s="386">
        <f>+'INGRESOS 2024'!Q64</f>
        <v>0</v>
      </c>
      <c r="C55" s="386"/>
      <c r="D55" s="386"/>
      <c r="E55" s="386"/>
      <c r="F55" s="387"/>
      <c r="G55" s="386"/>
      <c r="H55" s="386"/>
      <c r="I55" s="386"/>
      <c r="J55" s="386">
        <f>+B55</f>
        <v>0</v>
      </c>
      <c r="K55" s="386"/>
      <c r="L55" s="386"/>
      <c r="M55" s="386"/>
      <c r="N55" s="398"/>
      <c r="O55" s="398"/>
      <c r="P55" s="398"/>
      <c r="Q55" s="398">
        <f t="shared" si="1"/>
        <v>0</v>
      </c>
    </row>
    <row r="56" spans="1:17" hidden="1" x14ac:dyDescent="0.2">
      <c r="A56" s="385" t="s">
        <v>162</v>
      </c>
      <c r="B56" s="386">
        <f>+'INGRESOS 2024'!Q62</f>
        <v>0</v>
      </c>
      <c r="C56" s="386"/>
      <c r="D56" s="386"/>
      <c r="E56" s="386"/>
      <c r="F56" s="387"/>
      <c r="G56" s="386">
        <f t="shared" ref="G56:N56" si="6">SUM(G57:G58)</f>
        <v>0</v>
      </c>
      <c r="H56" s="386"/>
      <c r="I56" s="386"/>
      <c r="J56" s="386"/>
      <c r="K56" s="386"/>
      <c r="L56" s="386">
        <f>+'INGRESOS 2024'!V62</f>
        <v>0</v>
      </c>
      <c r="M56" s="386"/>
      <c r="N56" s="386">
        <f t="shared" si="6"/>
        <v>0</v>
      </c>
      <c r="O56" s="386"/>
      <c r="P56" s="386"/>
      <c r="Q56" s="386">
        <f t="shared" si="1"/>
        <v>0</v>
      </c>
    </row>
    <row r="57" spans="1:17" hidden="1" x14ac:dyDescent="0.2">
      <c r="A57" s="385"/>
      <c r="B57" s="386"/>
      <c r="C57" s="386"/>
      <c r="D57" s="386"/>
      <c r="E57" s="386"/>
      <c r="F57" s="387"/>
      <c r="G57" s="386"/>
      <c r="H57" s="386"/>
      <c r="I57" s="386"/>
      <c r="J57" s="386"/>
      <c r="K57" s="386"/>
      <c r="L57" s="386"/>
      <c r="M57" s="386"/>
      <c r="N57" s="398"/>
      <c r="O57" s="398"/>
      <c r="P57" s="398"/>
      <c r="Q57" s="398">
        <f t="shared" si="1"/>
        <v>0</v>
      </c>
    </row>
    <row r="58" spans="1:17" x14ac:dyDescent="0.2">
      <c r="A58" s="388" t="s">
        <v>101</v>
      </c>
      <c r="B58" s="389">
        <f>+B59+B60</f>
        <v>2311989800</v>
      </c>
      <c r="C58" s="389">
        <f>+C59</f>
        <v>2311989800</v>
      </c>
      <c r="D58" s="389"/>
      <c r="E58" s="389"/>
      <c r="F58" s="387"/>
      <c r="G58" s="386"/>
      <c r="H58" s="386"/>
      <c r="I58" s="386"/>
      <c r="J58" s="386"/>
      <c r="K58" s="386"/>
      <c r="L58" s="386">
        <f>+L59+L60</f>
        <v>0</v>
      </c>
      <c r="M58" s="386"/>
      <c r="N58" s="398"/>
      <c r="O58" s="398"/>
      <c r="P58" s="398"/>
      <c r="Q58" s="398">
        <f t="shared" si="1"/>
        <v>0</v>
      </c>
    </row>
    <row r="59" spans="1:17" x14ac:dyDescent="0.2">
      <c r="A59" s="385" t="s">
        <v>138</v>
      </c>
      <c r="B59" s="386">
        <f>+'Proyeccion Ingresos 2024-2027'!B70</f>
        <v>2311989800</v>
      </c>
      <c r="C59" s="386">
        <f>+B59</f>
        <v>2311989800</v>
      </c>
      <c r="D59" s="386"/>
      <c r="E59" s="386"/>
      <c r="F59" s="387"/>
      <c r="G59" s="386"/>
      <c r="H59" s="386"/>
      <c r="I59" s="386"/>
      <c r="J59" s="386"/>
      <c r="K59" s="386"/>
      <c r="L59" s="386"/>
      <c r="M59" s="386"/>
      <c r="N59" s="398"/>
      <c r="O59" s="398"/>
      <c r="P59" s="398"/>
      <c r="Q59" s="398">
        <v>0</v>
      </c>
    </row>
    <row r="60" spans="1:17" x14ac:dyDescent="0.2">
      <c r="A60" s="385" t="s">
        <v>139</v>
      </c>
      <c r="B60" s="386"/>
      <c r="C60" s="386"/>
      <c r="D60" s="386"/>
      <c r="E60" s="386"/>
      <c r="F60" s="387"/>
      <c r="G60" s="405"/>
      <c r="H60" s="405"/>
      <c r="I60" s="405"/>
      <c r="J60" s="405"/>
      <c r="K60" s="405"/>
      <c r="L60" s="386"/>
      <c r="M60" s="405"/>
      <c r="N60" s="398"/>
      <c r="O60" s="398"/>
      <c r="P60" s="398"/>
      <c r="Q60" s="398">
        <f t="shared" si="1"/>
        <v>0</v>
      </c>
    </row>
    <row r="61" spans="1:17" x14ac:dyDescent="0.2">
      <c r="A61" s="414" t="s">
        <v>140</v>
      </c>
      <c r="B61" s="415">
        <f>+B58+B3</f>
        <v>151754966215.96631</v>
      </c>
      <c r="C61" s="415">
        <f>+C58+C3</f>
        <v>13964186385.492001</v>
      </c>
      <c r="D61" s="415">
        <f>+D58+D3</f>
        <v>5825593490.4099998</v>
      </c>
      <c r="E61" s="415">
        <f>+E58+E3</f>
        <v>12047212793.608629</v>
      </c>
      <c r="F61" s="416"/>
      <c r="G61" s="415">
        <f>G3</f>
        <v>35678457181</v>
      </c>
      <c r="H61" s="415">
        <f>+H12</f>
        <v>0</v>
      </c>
      <c r="I61" s="415">
        <f>+I12</f>
        <v>7712286460</v>
      </c>
      <c r="J61" s="415">
        <f>+J55</f>
        <v>0</v>
      </c>
      <c r="K61" s="415">
        <f>+K33+K47</f>
        <v>13037543654.271999</v>
      </c>
      <c r="L61" s="415">
        <f>SUM(L3:L58)</f>
        <v>93013689120.694305</v>
      </c>
      <c r="M61" s="415"/>
      <c r="N61" s="415">
        <f>+N58+N3</f>
        <v>11381976946</v>
      </c>
      <c r="O61" s="415">
        <f>+O58+O3</f>
        <v>6440648177</v>
      </c>
      <c r="P61" s="415">
        <f>+P58+P3</f>
        <v>1840891261.5</v>
      </c>
      <c r="Q61" s="415">
        <f>+Q58+Q3</f>
        <v>43826169866.68367</v>
      </c>
    </row>
    <row r="62" spans="1:17" ht="11.25" customHeight="1" x14ac:dyDescent="0.2">
      <c r="B62" s="115"/>
      <c r="C62" s="115"/>
      <c r="D62" s="115"/>
      <c r="E62" s="115"/>
      <c r="F62" s="115"/>
      <c r="G62" s="547" t="s">
        <v>141</v>
      </c>
      <c r="H62" s="548"/>
      <c r="I62" s="548"/>
      <c r="J62" s="548"/>
      <c r="K62" s="549"/>
      <c r="L62" s="127"/>
      <c r="M62" s="127"/>
      <c r="N62" s="117"/>
      <c r="O62" s="117"/>
      <c r="P62" s="117"/>
      <c r="Q62" s="109"/>
    </row>
    <row r="63" spans="1:17" ht="52.5" hidden="1" customHeight="1" x14ac:dyDescent="0.2">
      <c r="A63" s="118" t="s">
        <v>142</v>
      </c>
      <c r="B63" s="119" t="e">
        <f>SUM(#REF!+#REF!)</f>
        <v>#REF!</v>
      </c>
      <c r="C63" s="119"/>
      <c r="D63" s="119"/>
      <c r="E63" s="119"/>
      <c r="F63" s="119"/>
      <c r="G63" s="120"/>
      <c r="H63" s="120"/>
      <c r="I63" s="120"/>
      <c r="J63" s="120"/>
    </row>
    <row r="64" spans="1:17" ht="11.25" customHeight="1" x14ac:dyDescent="0.2">
      <c r="B64" s="122"/>
      <c r="C64" s="122"/>
      <c r="D64" s="122"/>
      <c r="E64" s="122"/>
      <c r="F64" s="122"/>
      <c r="L64" s="126"/>
      <c r="Q64" s="291"/>
    </row>
    <row r="65" spans="2:17" hidden="1" x14ac:dyDescent="0.2">
      <c r="Q65" s="291"/>
    </row>
    <row r="66" spans="2:17" hidden="1" x14ac:dyDescent="0.2">
      <c r="N66" s="121" t="s">
        <v>128</v>
      </c>
      <c r="Q66" s="291"/>
    </row>
    <row r="67" spans="2:17" hidden="1" x14ac:dyDescent="0.2">
      <c r="N67" s="121" t="s">
        <v>540</v>
      </c>
      <c r="Q67" s="291"/>
    </row>
    <row r="68" spans="2:17" hidden="1" x14ac:dyDescent="0.2">
      <c r="Q68" s="291"/>
    </row>
    <row r="69" spans="2:17" hidden="1" x14ac:dyDescent="0.2">
      <c r="Q69" s="291"/>
    </row>
    <row r="70" spans="2:17" hidden="1" x14ac:dyDescent="0.2">
      <c r="Q70" s="291"/>
    </row>
    <row r="71" spans="2:17" hidden="1" x14ac:dyDescent="0.2">
      <c r="N71" s="121" t="s">
        <v>542</v>
      </c>
      <c r="Q71" s="291"/>
    </row>
    <row r="72" spans="2:17" x14ac:dyDescent="0.2">
      <c r="G72" s="126"/>
      <c r="Q72" s="291"/>
    </row>
    <row r="73" spans="2:17" x14ac:dyDescent="0.2">
      <c r="L73" s="126"/>
      <c r="Q73" s="291">
        <f>+Q61+P61+O61+N61+K61+I61+G61+E61+D61+C61</f>
        <v>151754966215.96631</v>
      </c>
    </row>
    <row r="74" spans="2:17" x14ac:dyDescent="0.2">
      <c r="B74" s="109">
        <f>+C61+D61</f>
        <v>19789779875.902</v>
      </c>
      <c r="D74" s="351"/>
      <c r="E74" s="351"/>
      <c r="F74" s="351"/>
      <c r="G74" s="352">
        <v>35678457181</v>
      </c>
      <c r="L74" s="126"/>
      <c r="Q74" s="291"/>
    </row>
    <row r="75" spans="2:17" x14ac:dyDescent="0.2">
      <c r="D75" s="351">
        <f>+'RESUMEN PRESUPUESTAL '!AA9</f>
        <v>3957791223.8999996</v>
      </c>
      <c r="E75" s="351"/>
      <c r="F75" s="351"/>
      <c r="G75" s="352">
        <v>37107595468</v>
      </c>
      <c r="L75" s="126"/>
      <c r="Q75" s="291"/>
    </row>
    <row r="76" spans="2:17" x14ac:dyDescent="0.2">
      <c r="B76" s="359"/>
      <c r="D76" s="351"/>
      <c r="E76" s="351"/>
      <c r="F76" s="351"/>
      <c r="G76" s="360">
        <v>38589819286</v>
      </c>
      <c r="Q76" s="292"/>
    </row>
    <row r="77" spans="2:17" x14ac:dyDescent="0.2">
      <c r="G77" s="360">
        <v>40133412058</v>
      </c>
    </row>
    <row r="78" spans="2:17" x14ac:dyDescent="0.2">
      <c r="G78" s="352">
        <f>SUM(G74:G77)</f>
        <v>151509283993</v>
      </c>
      <c r="Q78" s="231"/>
    </row>
    <row r="86" spans="16:17" x14ac:dyDescent="0.2">
      <c r="P86" s="121" t="s">
        <v>128</v>
      </c>
      <c r="Q86" s="126">
        <f>+Q61+P61+O61+N61+K61+I61+G61</f>
        <v>119917973546.45567</v>
      </c>
    </row>
    <row r="88" spans="16:17" x14ac:dyDescent="0.2">
      <c r="Q88" s="126">
        <f>+Q61+N61+K61+I61+H61+G61+J61</f>
        <v>111636434107.95567</v>
      </c>
    </row>
    <row r="89" spans="16:17" x14ac:dyDescent="0.2">
      <c r="Q89" s="207">
        <f>+'INGRESOS 2024'!O70</f>
        <v>12363481377.636566</v>
      </c>
    </row>
    <row r="90" spans="16:17" x14ac:dyDescent="0.2">
      <c r="Q90" s="126">
        <f>+Q88+Q89</f>
        <v>123999915485.59224</v>
      </c>
    </row>
    <row r="91" spans="16:17" x14ac:dyDescent="0.2">
      <c r="Q91" s="111"/>
    </row>
    <row r="93" spans="16:17" x14ac:dyDescent="0.2">
      <c r="Q93" s="231">
        <f>+'[3]RESUMEN 2024'!$D$4</f>
        <v>11143805251.200001</v>
      </c>
    </row>
    <row r="94" spans="16:17" x14ac:dyDescent="0.2">
      <c r="P94" s="121" t="s">
        <v>552</v>
      </c>
      <c r="Q94" s="207">
        <f>+'INGRESOS 2024'!O70</f>
        <v>12363481377.636566</v>
      </c>
    </row>
    <row r="95" spans="16:17" x14ac:dyDescent="0.2">
      <c r="P95" s="121" t="s">
        <v>553</v>
      </c>
      <c r="Q95" s="126">
        <f>+Q86+Q94</f>
        <v>132281454924.09224</v>
      </c>
    </row>
    <row r="96" spans="16:17" x14ac:dyDescent="0.2">
      <c r="Q96" s="126"/>
    </row>
    <row r="97" spans="15:17" x14ac:dyDescent="0.2">
      <c r="O97" s="550" t="s">
        <v>561</v>
      </c>
      <c r="P97" s="241" t="s">
        <v>554</v>
      </c>
      <c r="Q97" s="242">
        <f>+G61</f>
        <v>35678457181</v>
      </c>
    </row>
    <row r="98" spans="15:17" x14ac:dyDescent="0.2">
      <c r="O98" s="550"/>
      <c r="P98" s="241" t="s">
        <v>555</v>
      </c>
      <c r="Q98" s="242">
        <f>+I61</f>
        <v>7712286460</v>
      </c>
    </row>
    <row r="99" spans="15:17" x14ac:dyDescent="0.2">
      <c r="O99" s="550"/>
      <c r="P99" s="241" t="s">
        <v>556</v>
      </c>
      <c r="Q99" s="242">
        <f>+K61</f>
        <v>13037543654.271999</v>
      </c>
    </row>
    <row r="100" spans="15:17" x14ac:dyDescent="0.2">
      <c r="O100" s="550"/>
      <c r="P100" s="241" t="s">
        <v>557</v>
      </c>
      <c r="Q100" s="242">
        <f>+N61</f>
        <v>11381976946</v>
      </c>
    </row>
    <row r="101" spans="15:17" x14ac:dyDescent="0.2">
      <c r="O101" s="550"/>
      <c r="P101" s="241" t="s">
        <v>558</v>
      </c>
      <c r="Q101" s="242">
        <f>+O61</f>
        <v>6440648177</v>
      </c>
    </row>
    <row r="102" spans="15:17" x14ac:dyDescent="0.2">
      <c r="O102" s="550"/>
      <c r="P102" s="241" t="s">
        <v>559</v>
      </c>
      <c r="Q102" s="242">
        <f>+P61</f>
        <v>1840891261.5</v>
      </c>
    </row>
    <row r="103" spans="15:17" x14ac:dyDescent="0.2">
      <c r="O103" s="550"/>
      <c r="P103" s="241" t="s">
        <v>560</v>
      </c>
      <c r="Q103" s="242">
        <f>+Q61+Q94</f>
        <v>56189651244.320236</v>
      </c>
    </row>
    <row r="104" spans="15:17" x14ac:dyDescent="0.2">
      <c r="O104" s="243"/>
      <c r="P104" s="243"/>
      <c r="Q104" s="242">
        <f>SUM(Q97:Q103)</f>
        <v>132281454924.09224</v>
      </c>
    </row>
    <row r="105" spans="15:17" x14ac:dyDescent="0.2">
      <c r="O105" s="243"/>
      <c r="P105" s="243"/>
      <c r="Q105" s="244"/>
    </row>
    <row r="106" spans="15:17" x14ac:dyDescent="0.2">
      <c r="O106" s="241" t="s">
        <v>562</v>
      </c>
      <c r="P106" s="241"/>
      <c r="Q106" s="242">
        <f>+Q104-Q99</f>
        <v>119243911269.82024</v>
      </c>
    </row>
    <row r="109" spans="15:17" x14ac:dyDescent="0.2">
      <c r="Q109" s="126">
        <f>+Q106-Q100</f>
        <v>107861934323.82024</v>
      </c>
    </row>
  </sheetData>
  <mergeCells count="9">
    <mergeCell ref="Q1:Q2"/>
    <mergeCell ref="G62:K62"/>
    <mergeCell ref="O97:O103"/>
    <mergeCell ref="A1:A2"/>
    <mergeCell ref="B1:B2"/>
    <mergeCell ref="G1:K1"/>
    <mergeCell ref="N1:N2"/>
    <mergeCell ref="O1:O2"/>
    <mergeCell ref="P1:P2"/>
  </mergeCells>
  <pageMargins left="0.7" right="0.7" top="0.75" bottom="0.75" header="0.3" footer="0.3"/>
  <ignoredErrors>
    <ignoredError sqref="Q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INGRESOS REDISEÑO </vt:lpstr>
      <vt:lpstr>INGRESOS 2024</vt:lpstr>
      <vt:lpstr>REAJUSTE DE INGRESOS 2024</vt:lpstr>
      <vt:lpstr>REAJUSTE DE INGRESOS 2024 (2)</vt:lpstr>
      <vt:lpstr>INGRESOS 2024 (3)</vt:lpstr>
      <vt:lpstr>COMPARATIVO 1</vt:lpstr>
      <vt:lpstr>Proyeccion Ingresos 2024-2027</vt:lpstr>
      <vt:lpstr>DESTINACIONES ACUMULADAS</vt:lpstr>
      <vt:lpstr>DESTINACIONES 2024 </vt:lpstr>
      <vt:lpstr>DESTINACIONES 2025</vt:lpstr>
      <vt:lpstr>DESTINACIONES 2026</vt:lpstr>
      <vt:lpstr>DESTINACIONES 2027</vt:lpstr>
      <vt:lpstr>COMPARATIVO 2</vt:lpstr>
      <vt:lpstr>RESUMEN PRESUPUESTAL </vt:lpstr>
      <vt:lpstr>DESTINACIONES </vt:lpstr>
      <vt:lpstr>PLAN DE INVERSIONES </vt:lpstr>
      <vt:lpstr>GASTOS DE FTO 2024 - 2027 </vt:lpstr>
      <vt:lpstr>GOIS </vt:lpstr>
      <vt:lpstr>RESUMEN GASTOS TOTAL 2024-2027</vt:lpstr>
      <vt:lpstr>AJUSTE PRESUPUESTO</vt:lpstr>
      <vt:lpstr>COMPARATIVO 2022 - 2023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Jermán Orlando Bohorquez Camargo</dc:creator>
  <cp:lastModifiedBy>Rafael Moreno</cp:lastModifiedBy>
  <cp:lastPrinted>2023-11-21T21:44:18Z</cp:lastPrinted>
  <dcterms:created xsi:type="dcterms:W3CDTF">2022-10-03T16:39:13Z</dcterms:created>
  <dcterms:modified xsi:type="dcterms:W3CDTF">2024-07-02T19:43:46Z</dcterms:modified>
</cp:coreProperties>
</file>