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mariajosem./Documents/CRA /Plan de Acción 2020-2023/CONSOLIDACIÓN PAC 2020 2023/VF PAI CRA 2020-2023/Versión definitiva PAI/Anexos PAI/"/>
    </mc:Choice>
  </mc:AlternateContent>
  <xr:revisionPtr revIDLastSave="0" documentId="13_ncr:1_{C9FCDA9B-6201-E14B-B42F-5DB288B949FB}" xr6:coauthVersionLast="40" xr6:coauthVersionMax="45" xr10:uidLastSave="{00000000-0000-0000-0000-000000000000}"/>
  <bookViews>
    <workbookView xWindow="0" yWindow="460" windowWidth="28800" windowHeight="16080" xr2:uid="{AD30B753-9DD5-46EF-B4DB-9257F962343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37" i="1" l="1"/>
  <c r="S137" i="1"/>
  <c r="R137" i="1"/>
  <c r="Q137" i="1"/>
  <c r="T110" i="1"/>
  <c r="S110" i="1"/>
  <c r="R110" i="1"/>
  <c r="Q110" i="1"/>
  <c r="T185" i="1" l="1"/>
  <c r="S185" i="1"/>
  <c r="R185" i="1"/>
  <c r="T186" i="1"/>
  <c r="Q185" i="1"/>
  <c r="T184" i="1"/>
  <c r="S184" i="1"/>
  <c r="R184" i="1"/>
  <c r="Q184" i="1"/>
  <c r="T183" i="1"/>
  <c r="S183" i="1"/>
  <c r="R183" i="1"/>
  <c r="Q183" i="1"/>
  <c r="T182" i="1"/>
  <c r="S182" i="1"/>
  <c r="R182" i="1"/>
  <c r="Q182" i="1"/>
  <c r="Q181" i="1"/>
  <c r="T181" i="1"/>
  <c r="S181" i="1"/>
  <c r="R181" i="1"/>
  <c r="P177" i="1" l="1"/>
  <c r="P118" i="1" l="1"/>
  <c r="T20" i="1" l="1"/>
  <c r="S20" i="1"/>
  <c r="R20" i="1"/>
  <c r="Q20" i="1"/>
  <c r="U20" i="1" s="1"/>
  <c r="V37" i="1" l="1"/>
  <c r="Z210" i="1" l="1"/>
  <c r="Z218" i="1"/>
  <c r="Z216" i="1"/>
  <c r="Z219" i="1" s="1"/>
  <c r="Y41" i="1" l="1"/>
  <c r="W41" i="1" l="1"/>
  <c r="X41" i="1"/>
  <c r="X39" i="1"/>
  <c r="V41" i="1"/>
  <c r="V7" i="1"/>
  <c r="Z207" i="1" l="1"/>
  <c r="Z205" i="1"/>
  <c r="Z209" i="1" s="1"/>
  <c r="Z211" i="1" s="1"/>
  <c r="Y43" i="1" l="1"/>
  <c r="X43" i="1"/>
  <c r="W43" i="1"/>
  <c r="V43" i="1"/>
  <c r="Z41" i="1"/>
  <c r="Z40" i="1"/>
  <c r="Z37" i="1"/>
  <c r="Y36" i="1"/>
  <c r="Y200" i="1" s="1"/>
  <c r="X36" i="1"/>
  <c r="W36" i="1"/>
  <c r="W200" i="1" s="1"/>
  <c r="V36"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9"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31" i="1"/>
  <c r="Z132" i="1"/>
  <c r="Z133" i="1"/>
  <c r="Z135" i="1"/>
  <c r="Z136" i="1"/>
  <c r="Z137" i="1"/>
  <c r="Z138" i="1"/>
  <c r="Z140" i="1"/>
  <c r="Z141" i="1"/>
  <c r="Z142" i="1"/>
  <c r="Z143" i="1"/>
  <c r="Z144" i="1"/>
  <c r="Z145" i="1"/>
  <c r="Z146" i="1"/>
  <c r="Z147" i="1"/>
  <c r="Z148" i="1"/>
  <c r="Z149" i="1"/>
  <c r="Z150" i="1"/>
  <c r="Z151" i="1"/>
  <c r="Z152" i="1"/>
  <c r="Z155" i="1"/>
  <c r="Z156" i="1"/>
  <c r="Z157" i="1"/>
  <c r="Z158" i="1"/>
  <c r="Z159" i="1"/>
  <c r="Z162" i="1"/>
  <c r="Z163" i="1"/>
  <c r="Z164" i="1"/>
  <c r="Z166" i="1"/>
  <c r="Z170" i="1"/>
  <c r="Z172" i="1"/>
  <c r="Z173" i="1"/>
  <c r="Z177" i="1"/>
  <c r="Z178" i="1"/>
  <c r="Z179" i="1"/>
  <c r="Z180" i="1"/>
  <c r="Z184" i="1"/>
  <c r="Z185" i="1"/>
  <c r="Z186" i="1"/>
  <c r="Z188" i="1"/>
  <c r="Z191" i="1"/>
  <c r="Z192" i="1"/>
  <c r="Z194" i="1"/>
  <c r="Z195" i="1"/>
  <c r="Z196" i="1"/>
  <c r="Z197" i="1"/>
  <c r="Z198" i="1"/>
  <c r="Z199" i="1"/>
  <c r="Z7" i="1"/>
  <c r="V200" i="1" l="1"/>
  <c r="V201" i="1" s="1"/>
  <c r="AA205" i="1" s="1"/>
  <c r="X200" i="1"/>
  <c r="Z224" i="1"/>
  <c r="Z227" i="1"/>
  <c r="Z225" i="1"/>
  <c r="Z43" i="1"/>
  <c r="Z223" i="1" s="1"/>
  <c r="Z226" i="1"/>
  <c r="X201" i="1"/>
  <c r="AA207" i="1" s="1"/>
  <c r="T145" i="1"/>
  <c r="S145" i="1"/>
  <c r="R145" i="1"/>
  <c r="Q145" i="1"/>
  <c r="T144" i="1"/>
  <c r="S144" i="1"/>
  <c r="R144" i="1"/>
  <c r="Q144" i="1"/>
  <c r="T139" i="1"/>
  <c r="S139" i="1"/>
  <c r="R139" i="1"/>
  <c r="Q139" i="1"/>
  <c r="T138" i="1"/>
  <c r="S138" i="1"/>
  <c r="R138" i="1"/>
  <c r="Q138" i="1"/>
  <c r="T135" i="1"/>
  <c r="S135" i="1"/>
  <c r="R135" i="1"/>
  <c r="Q135" i="1"/>
  <c r="T134" i="1"/>
  <c r="S134" i="1"/>
  <c r="R134" i="1"/>
  <c r="Q134" i="1"/>
  <c r="T133" i="1"/>
  <c r="S133" i="1"/>
  <c r="R133" i="1"/>
  <c r="Q133" i="1"/>
  <c r="T129" i="1"/>
  <c r="T130" i="1"/>
  <c r="S129" i="1"/>
  <c r="S130" i="1"/>
  <c r="R129" i="1"/>
  <c r="R130" i="1"/>
  <c r="Q129" i="1"/>
  <c r="Q130" i="1"/>
  <c r="T128" i="1"/>
  <c r="S128" i="1"/>
  <c r="R128" i="1"/>
  <c r="Q128" i="1"/>
  <c r="T126" i="1"/>
  <c r="S126" i="1"/>
  <c r="R126" i="1"/>
  <c r="Q126" i="1"/>
  <c r="T125" i="1"/>
  <c r="S125" i="1"/>
  <c r="R125" i="1"/>
  <c r="Q125" i="1"/>
  <c r="T124" i="1"/>
  <c r="S124" i="1"/>
  <c r="R124" i="1"/>
  <c r="Q124" i="1"/>
  <c r="T119" i="1"/>
  <c r="S119" i="1"/>
  <c r="R119" i="1"/>
  <c r="Q119" i="1"/>
  <c r="T117" i="1"/>
  <c r="S117" i="1"/>
  <c r="R117" i="1"/>
  <c r="Q117" i="1"/>
  <c r="T115" i="1"/>
  <c r="S115" i="1"/>
  <c r="R115" i="1"/>
  <c r="Q115" i="1"/>
  <c r="T112" i="1"/>
  <c r="S112" i="1"/>
  <c r="R112" i="1"/>
  <c r="Q112" i="1"/>
  <c r="P108" i="1"/>
  <c r="Q108" i="1" s="1"/>
  <c r="P109" i="1"/>
  <c r="S109" i="1" s="1"/>
  <c r="P111" i="1"/>
  <c r="T111" i="1" s="1"/>
  <c r="P113" i="1"/>
  <c r="S113" i="1" s="1"/>
  <c r="P114" i="1"/>
  <c r="S114" i="1" s="1"/>
  <c r="P116" i="1"/>
  <c r="S116" i="1" s="1"/>
  <c r="S118" i="1"/>
  <c r="P120" i="1"/>
  <c r="Q120" i="1" s="1"/>
  <c r="P121" i="1"/>
  <c r="R121" i="1" s="1"/>
  <c r="P122" i="1"/>
  <c r="T122" i="1" s="1"/>
  <c r="P123" i="1"/>
  <c r="R123" i="1" s="1"/>
  <c r="P127" i="1"/>
  <c r="T127" i="1" s="1"/>
  <c r="P131" i="1"/>
  <c r="S131" i="1" s="1"/>
  <c r="P132" i="1"/>
  <c r="S132" i="1" s="1"/>
  <c r="P136" i="1"/>
  <c r="T136" i="1" s="1"/>
  <c r="P140" i="1"/>
  <c r="S140" i="1" s="1"/>
  <c r="P141" i="1"/>
  <c r="S141" i="1" s="1"/>
  <c r="P142" i="1"/>
  <c r="Q142" i="1" s="1"/>
  <c r="P143" i="1"/>
  <c r="S143" i="1" s="1"/>
  <c r="P146" i="1"/>
  <c r="S146" i="1" s="1"/>
  <c r="P107" i="1"/>
  <c r="S107" i="1" s="1"/>
  <c r="P106" i="1"/>
  <c r="S106" i="1" s="1"/>
  <c r="Z200" i="1" l="1"/>
  <c r="Z228" i="1"/>
  <c r="T116" i="1"/>
  <c r="Q122" i="1"/>
  <c r="R109" i="1"/>
  <c r="R107" i="1"/>
  <c r="T109" i="1"/>
  <c r="R114" i="1"/>
  <c r="Q121" i="1"/>
  <c r="R122" i="1"/>
  <c r="Q141" i="1"/>
  <c r="Q106" i="1"/>
  <c r="T107" i="1"/>
  <c r="T114" i="1"/>
  <c r="S121" i="1"/>
  <c r="U125" i="1"/>
  <c r="Q131" i="1"/>
  <c r="R141" i="1"/>
  <c r="Q107" i="1"/>
  <c r="Q114" i="1"/>
  <c r="T131" i="1"/>
  <c r="T106" i="1"/>
  <c r="Q109" i="1"/>
  <c r="Q116" i="1"/>
  <c r="T121" i="1"/>
  <c r="R131" i="1"/>
  <c r="T141" i="1"/>
  <c r="Q111" i="1"/>
  <c r="R106" i="1"/>
  <c r="R111" i="1"/>
  <c r="R116" i="1"/>
  <c r="Q118" i="1"/>
  <c r="S122" i="1"/>
  <c r="S123" i="1"/>
  <c r="Q136" i="1"/>
  <c r="S136" i="1"/>
  <c r="R142" i="1"/>
  <c r="S111" i="1"/>
  <c r="T118" i="1"/>
  <c r="T123" i="1"/>
  <c r="R140" i="1"/>
  <c r="T140" i="1"/>
  <c r="S142" i="1"/>
  <c r="R118" i="1"/>
  <c r="Q123" i="1"/>
  <c r="R136" i="1"/>
  <c r="T142" i="1"/>
  <c r="Q140" i="1"/>
  <c r="Q143" i="1"/>
  <c r="T143" i="1"/>
  <c r="R143" i="1"/>
  <c r="S108" i="1"/>
  <c r="R108" i="1"/>
  <c r="T108" i="1"/>
  <c r="R132" i="1"/>
  <c r="T132" i="1"/>
  <c r="Q132" i="1"/>
  <c r="Q113" i="1"/>
  <c r="R113" i="1"/>
  <c r="T113" i="1"/>
  <c r="R127" i="1"/>
  <c r="Q127" i="1"/>
  <c r="S127" i="1"/>
  <c r="Q146" i="1"/>
  <c r="R146" i="1"/>
  <c r="T146" i="1"/>
  <c r="T120" i="1"/>
  <c r="S120" i="1"/>
  <c r="R120" i="1"/>
  <c r="Q104" i="1" l="1"/>
  <c r="T104" i="1"/>
  <c r="S104" i="1"/>
  <c r="R104" i="1"/>
  <c r="T87" i="1"/>
  <c r="S87" i="1"/>
  <c r="R87" i="1"/>
  <c r="Q87" i="1"/>
  <c r="P85" i="1"/>
  <c r="T85" i="1" s="1"/>
  <c r="P77" i="1"/>
  <c r="S77" i="1" s="1"/>
  <c r="P78" i="1"/>
  <c r="Q78" i="1" s="1"/>
  <c r="P79" i="1"/>
  <c r="T79" i="1" s="1"/>
  <c r="P80" i="1"/>
  <c r="S80" i="1" s="1"/>
  <c r="P81" i="1"/>
  <c r="Q81" i="1" s="1"/>
  <c r="P82" i="1"/>
  <c r="Q82" i="1" s="1"/>
  <c r="P83" i="1"/>
  <c r="Q83" i="1" s="1"/>
  <c r="P84" i="1"/>
  <c r="T84" i="1" s="1"/>
  <c r="P86" i="1"/>
  <c r="T86" i="1" s="1"/>
  <c r="P88" i="1"/>
  <c r="T88" i="1" s="1"/>
  <c r="P89" i="1"/>
  <c r="T89" i="1" s="1"/>
  <c r="P90" i="1"/>
  <c r="T90" i="1" s="1"/>
  <c r="P91" i="1"/>
  <c r="T91" i="1" s="1"/>
  <c r="P92" i="1"/>
  <c r="R92" i="1" s="1"/>
  <c r="P93" i="1"/>
  <c r="S93" i="1" s="1"/>
  <c r="P94" i="1"/>
  <c r="S94" i="1" s="1"/>
  <c r="P95" i="1"/>
  <c r="R95" i="1" s="1"/>
  <c r="P96" i="1"/>
  <c r="R96" i="1" s="1"/>
  <c r="P97" i="1"/>
  <c r="Q97" i="1" s="1"/>
  <c r="P98" i="1"/>
  <c r="R98" i="1" s="1"/>
  <c r="P99" i="1"/>
  <c r="Q99" i="1" s="1"/>
  <c r="P100" i="1"/>
  <c r="S100" i="1" s="1"/>
  <c r="P101" i="1"/>
  <c r="R101" i="1" s="1"/>
  <c r="P102" i="1"/>
  <c r="Q102" i="1" s="1"/>
  <c r="P103" i="1"/>
  <c r="Q103" i="1" s="1"/>
  <c r="P105" i="1"/>
  <c r="Q105" i="1" s="1"/>
  <c r="P76" i="1"/>
  <c r="T76" i="1" s="1"/>
  <c r="P75" i="1"/>
  <c r="Q75" i="1" s="1"/>
  <c r="R81" i="1" l="1"/>
  <c r="T94" i="1"/>
  <c r="Q84" i="1"/>
  <c r="S98" i="1"/>
  <c r="Q86" i="1"/>
  <c r="R99" i="1"/>
  <c r="R75" i="1"/>
  <c r="Q91" i="1"/>
  <c r="R103" i="1"/>
  <c r="Q79" i="1"/>
  <c r="R83" i="1"/>
  <c r="R97" i="1"/>
  <c r="Q76" i="1"/>
  <c r="R79" i="1"/>
  <c r="T93" i="1"/>
  <c r="R76" i="1"/>
  <c r="S79" i="1"/>
  <c r="Q89" i="1"/>
  <c r="Q101" i="1"/>
  <c r="S76" i="1"/>
  <c r="Q85" i="1"/>
  <c r="Q90" i="1"/>
  <c r="S95" i="1"/>
  <c r="T102" i="1"/>
  <c r="U104" i="1"/>
  <c r="R82" i="1"/>
  <c r="S75" i="1"/>
  <c r="R77" i="1"/>
  <c r="T77" i="1"/>
  <c r="S78" i="1"/>
  <c r="R80" i="1"/>
  <c r="T80" i="1"/>
  <c r="S83" i="1"/>
  <c r="S81" i="1"/>
  <c r="S82" i="1"/>
  <c r="R84" i="1"/>
  <c r="R85" i="1"/>
  <c r="R86" i="1"/>
  <c r="R88" i="1"/>
  <c r="R91" i="1"/>
  <c r="R89" i="1"/>
  <c r="R90" i="1"/>
  <c r="Q94" i="1"/>
  <c r="Q93" i="1"/>
  <c r="T92" i="1"/>
  <c r="T98" i="1"/>
  <c r="T96" i="1"/>
  <c r="T95" i="1"/>
  <c r="S97" i="1"/>
  <c r="S99" i="1"/>
  <c r="Q100" i="1"/>
  <c r="S102" i="1"/>
  <c r="T101" i="1"/>
  <c r="S105" i="1"/>
  <c r="S103" i="1"/>
  <c r="R78" i="1"/>
  <c r="S96" i="1"/>
  <c r="T78" i="1"/>
  <c r="T83" i="1"/>
  <c r="T81" i="1"/>
  <c r="T82" i="1"/>
  <c r="S84" i="1"/>
  <c r="S85" i="1"/>
  <c r="S86" i="1"/>
  <c r="S88" i="1"/>
  <c r="S91" i="1"/>
  <c r="S89" i="1"/>
  <c r="S90" i="1"/>
  <c r="R94" i="1"/>
  <c r="R93" i="1"/>
  <c r="Q92" i="1"/>
  <c r="Q98" i="1"/>
  <c r="Q96" i="1"/>
  <c r="Q95" i="1"/>
  <c r="T97" i="1"/>
  <c r="T99" i="1"/>
  <c r="R102" i="1"/>
  <c r="S101" i="1"/>
  <c r="T100" i="1"/>
  <c r="T105" i="1"/>
  <c r="T103" i="1"/>
  <c r="Q88" i="1"/>
  <c r="S92" i="1"/>
  <c r="R100" i="1"/>
  <c r="R105" i="1"/>
  <c r="T75" i="1"/>
  <c r="Q77" i="1"/>
  <c r="Q80" i="1"/>
  <c r="P74" i="1"/>
  <c r="T74" i="1" s="1"/>
  <c r="P46" i="1"/>
  <c r="T46" i="1" s="1"/>
  <c r="P47" i="1"/>
  <c r="S47" i="1" s="1"/>
  <c r="P48" i="1"/>
  <c r="S48" i="1" s="1"/>
  <c r="P49" i="1"/>
  <c r="T49" i="1" s="1"/>
  <c r="P50" i="1"/>
  <c r="T50" i="1" s="1"/>
  <c r="P51" i="1"/>
  <c r="S51" i="1" s="1"/>
  <c r="P52" i="1"/>
  <c r="Q52" i="1" s="1"/>
  <c r="P53" i="1"/>
  <c r="T53" i="1" s="1"/>
  <c r="P54" i="1"/>
  <c r="Q54" i="1" s="1"/>
  <c r="P55" i="1"/>
  <c r="T55" i="1" s="1"/>
  <c r="P56" i="1"/>
  <c r="T56" i="1" s="1"/>
  <c r="P57" i="1"/>
  <c r="T57" i="1" s="1"/>
  <c r="P58" i="1"/>
  <c r="T58" i="1" s="1"/>
  <c r="P59" i="1"/>
  <c r="T59" i="1" s="1"/>
  <c r="P60" i="1"/>
  <c r="T60" i="1" s="1"/>
  <c r="P61" i="1"/>
  <c r="T61" i="1" s="1"/>
  <c r="P62" i="1"/>
  <c r="S62" i="1" s="1"/>
  <c r="P63" i="1"/>
  <c r="S63" i="1" s="1"/>
  <c r="P64" i="1"/>
  <c r="S64" i="1" s="1"/>
  <c r="P65" i="1"/>
  <c r="R65" i="1" s="1"/>
  <c r="P66" i="1"/>
  <c r="Q66" i="1" s="1"/>
  <c r="P67" i="1"/>
  <c r="T67" i="1" s="1"/>
  <c r="P68" i="1"/>
  <c r="R68" i="1" s="1"/>
  <c r="P69" i="1"/>
  <c r="R69" i="1" s="1"/>
  <c r="P70" i="1"/>
  <c r="T70" i="1" s="1"/>
  <c r="P71" i="1"/>
  <c r="S71" i="1" s="1"/>
  <c r="P72" i="1"/>
  <c r="S72" i="1" s="1"/>
  <c r="P73" i="1"/>
  <c r="R73" i="1" s="1"/>
  <c r="P45" i="1"/>
  <c r="S45" i="1" s="1"/>
  <c r="P44" i="1"/>
  <c r="T44" i="1" s="1"/>
  <c r="U96" i="1" l="1"/>
  <c r="T51" i="1"/>
  <c r="Q67" i="1"/>
  <c r="S67" i="1"/>
  <c r="Q71" i="1"/>
  <c r="S74" i="1"/>
  <c r="R47" i="1"/>
  <c r="Q59" i="1"/>
  <c r="Q65" i="1"/>
  <c r="S65" i="1"/>
  <c r="T73" i="1"/>
  <c r="T47" i="1"/>
  <c r="S59" i="1"/>
  <c r="Q61" i="1"/>
  <c r="S61" i="1"/>
  <c r="T71" i="1"/>
  <c r="R51" i="1"/>
  <c r="Q69" i="1"/>
  <c r="S69" i="1"/>
  <c r="Q73" i="1"/>
  <c r="R74" i="1"/>
  <c r="U90" i="1"/>
  <c r="U82" i="1"/>
  <c r="Q46" i="1"/>
  <c r="S46" i="1"/>
  <c r="S50" i="1"/>
  <c r="Q58" i="1"/>
  <c r="R62" i="1"/>
  <c r="T66" i="1"/>
  <c r="Q70" i="1"/>
  <c r="R72" i="1"/>
  <c r="U93" i="1"/>
  <c r="R45" i="1"/>
  <c r="R48" i="1"/>
  <c r="T45" i="1"/>
  <c r="T48" i="1"/>
  <c r="Q51" i="1"/>
  <c r="R50" i="1"/>
  <c r="T52" i="1"/>
  <c r="R54" i="1"/>
  <c r="R58" i="1"/>
  <c r="R59" i="1"/>
  <c r="Q68" i="1"/>
  <c r="Q62" i="1"/>
  <c r="R67" i="1"/>
  <c r="R61" i="1"/>
  <c r="S66" i="1"/>
  <c r="T69" i="1"/>
  <c r="T65" i="1"/>
  <c r="R70" i="1"/>
  <c r="Q72" i="1"/>
  <c r="R71" i="1"/>
  <c r="T72" i="1"/>
  <c r="S73" i="1"/>
  <c r="Q48" i="1"/>
  <c r="S58" i="1"/>
  <c r="T62" i="1"/>
  <c r="Q50" i="1"/>
  <c r="S52" i="1"/>
  <c r="S54" i="1"/>
  <c r="R66" i="1"/>
  <c r="T68" i="1"/>
  <c r="S70" i="1"/>
  <c r="Q47" i="1"/>
  <c r="R46" i="1"/>
  <c r="R52" i="1"/>
  <c r="T54" i="1"/>
  <c r="S68" i="1"/>
  <c r="Q74" i="1"/>
  <c r="Q45" i="1"/>
  <c r="T63" i="1"/>
  <c r="R63" i="1"/>
  <c r="Q63" i="1"/>
  <c r="Q64" i="1"/>
  <c r="R64" i="1"/>
  <c r="T64" i="1"/>
  <c r="S60" i="1"/>
  <c r="Q60" i="1"/>
  <c r="R60" i="1"/>
  <c r="Q57" i="1"/>
  <c r="R57" i="1"/>
  <c r="S57" i="1"/>
  <c r="R56" i="1"/>
  <c r="Q56" i="1"/>
  <c r="S56" i="1"/>
  <c r="R55" i="1"/>
  <c r="Q55" i="1"/>
  <c r="S55" i="1"/>
  <c r="R53" i="1"/>
  <c r="Q53" i="1"/>
  <c r="S53" i="1"/>
  <c r="R44" i="1"/>
  <c r="S44" i="1"/>
  <c r="Q44" i="1"/>
  <c r="Q49" i="1"/>
  <c r="R49" i="1"/>
  <c r="S49" i="1"/>
  <c r="Q29" i="1" l="1"/>
  <c r="T29" i="1"/>
  <c r="S29" i="1"/>
  <c r="R29" i="1"/>
  <c r="T27" i="1"/>
  <c r="T26" i="1"/>
  <c r="S27" i="1"/>
  <c r="S26" i="1"/>
  <c r="R27" i="1"/>
  <c r="R26" i="1"/>
  <c r="Q27" i="1"/>
  <c r="Q26" i="1"/>
  <c r="P8" i="1"/>
  <c r="R8" i="1" s="1"/>
  <c r="P9" i="1"/>
  <c r="T9" i="1" s="1"/>
  <c r="P10" i="1"/>
  <c r="T10" i="1" s="1"/>
  <c r="P11" i="1"/>
  <c r="T11" i="1" s="1"/>
  <c r="P12" i="1"/>
  <c r="R12" i="1" s="1"/>
  <c r="P13" i="1"/>
  <c r="S13" i="1" s="1"/>
  <c r="P14" i="1"/>
  <c r="T14" i="1" s="1"/>
  <c r="P15" i="1"/>
  <c r="T15" i="1" s="1"/>
  <c r="P16" i="1"/>
  <c r="S16" i="1" s="1"/>
  <c r="P17" i="1"/>
  <c r="T17" i="1" s="1"/>
  <c r="P18" i="1"/>
  <c r="T18" i="1" s="1"/>
  <c r="P19" i="1"/>
  <c r="R19" i="1" s="1"/>
  <c r="P21" i="1"/>
  <c r="S21" i="1" s="1"/>
  <c r="P22" i="1"/>
  <c r="S22" i="1" s="1"/>
  <c r="P23" i="1"/>
  <c r="T23" i="1" s="1"/>
  <c r="P24" i="1"/>
  <c r="S24" i="1" s="1"/>
  <c r="P25" i="1"/>
  <c r="S25" i="1" s="1"/>
  <c r="P28" i="1"/>
  <c r="Q28" i="1" s="1"/>
  <c r="P30" i="1"/>
  <c r="Q30" i="1" s="1"/>
  <c r="P31" i="1"/>
  <c r="T31" i="1" s="1"/>
  <c r="P32" i="1"/>
  <c r="Q32" i="1" s="1"/>
  <c r="P33" i="1"/>
  <c r="S33" i="1" s="1"/>
  <c r="P34" i="1"/>
  <c r="S34" i="1" s="1"/>
  <c r="P35" i="1"/>
  <c r="T35" i="1" s="1"/>
  <c r="P36" i="1"/>
  <c r="T36" i="1" s="1"/>
  <c r="P37" i="1"/>
  <c r="R37" i="1" s="1"/>
  <c r="P38" i="1"/>
  <c r="R38" i="1" s="1"/>
  <c r="P39" i="1"/>
  <c r="Q39" i="1" s="1"/>
  <c r="P40" i="1"/>
  <c r="R40" i="1" s="1"/>
  <c r="P41" i="1"/>
  <c r="T41" i="1" s="1"/>
  <c r="P42" i="1"/>
  <c r="S42" i="1" s="1"/>
  <c r="P43" i="1"/>
  <c r="R43" i="1" s="1"/>
  <c r="P7" i="1"/>
  <c r="S7" i="1" s="1"/>
  <c r="R14" i="1" l="1"/>
  <c r="S14" i="1"/>
  <c r="Q8" i="1"/>
  <c r="Q18" i="1"/>
  <c r="S8" i="1"/>
  <c r="R10" i="1"/>
  <c r="S10" i="1"/>
  <c r="Q16" i="1"/>
  <c r="R18" i="1"/>
  <c r="S18" i="1"/>
  <c r="T16" i="1"/>
  <c r="Q10" i="1"/>
  <c r="R16" i="1"/>
  <c r="Q14" i="1"/>
  <c r="Q15" i="1"/>
  <c r="Q9" i="1"/>
  <c r="T8" i="1"/>
  <c r="R15" i="1"/>
  <c r="R9" i="1"/>
  <c r="S15" i="1"/>
  <c r="S9" i="1"/>
  <c r="S19" i="1"/>
  <c r="T21" i="1"/>
  <c r="Q22" i="1"/>
  <c r="R22" i="1"/>
  <c r="T25" i="1"/>
  <c r="R28" i="1"/>
  <c r="R34" i="1"/>
  <c r="R30" i="1"/>
  <c r="S32" i="1"/>
  <c r="T34" i="1"/>
  <c r="T30" i="1"/>
  <c r="R39" i="1"/>
  <c r="Q35" i="1"/>
  <c r="Q31" i="1"/>
  <c r="S38" i="1"/>
  <c r="S37" i="1"/>
  <c r="Q43" i="1"/>
  <c r="R42" i="1"/>
  <c r="S41" i="1"/>
  <c r="Q19" i="1"/>
  <c r="T19" i="1"/>
  <c r="Q21" i="1"/>
  <c r="Q25" i="1"/>
  <c r="R25" i="1"/>
  <c r="T24" i="1"/>
  <c r="S28" i="1"/>
  <c r="R33" i="1"/>
  <c r="S35" i="1"/>
  <c r="S31" i="1"/>
  <c r="T33" i="1"/>
  <c r="R36" i="1"/>
  <c r="S39" i="1"/>
  <c r="Q34" i="1"/>
  <c r="Q36" i="1"/>
  <c r="T38" i="1"/>
  <c r="T37" i="1"/>
  <c r="Q42" i="1"/>
  <c r="R41" i="1"/>
  <c r="T43" i="1"/>
  <c r="Q17" i="1"/>
  <c r="Q11" i="1"/>
  <c r="R17" i="1"/>
  <c r="R11" i="1"/>
  <c r="S17" i="1"/>
  <c r="S11" i="1"/>
  <c r="R21" i="1"/>
  <c r="Q24" i="1"/>
  <c r="R24" i="1"/>
  <c r="T22" i="1"/>
  <c r="T28" i="1"/>
  <c r="R32" i="1"/>
  <c r="S30" i="1"/>
  <c r="T32" i="1"/>
  <c r="S36" i="1"/>
  <c r="T39" i="1"/>
  <c r="Q33" i="1"/>
  <c r="Q38" i="1"/>
  <c r="Q37" i="1"/>
  <c r="Q41" i="1"/>
  <c r="S43" i="1"/>
  <c r="T42" i="1"/>
  <c r="Q23" i="1"/>
  <c r="R23" i="1"/>
  <c r="R35" i="1"/>
  <c r="R31" i="1"/>
  <c r="S12" i="1"/>
  <c r="T12" i="1"/>
  <c r="Q12" i="1"/>
  <c r="R13" i="1"/>
  <c r="T13" i="1"/>
  <c r="Q13" i="1"/>
  <c r="S23" i="1"/>
  <c r="Q7" i="1"/>
  <c r="R7" i="1"/>
  <c r="T7" i="1"/>
  <c r="Q40" i="1"/>
  <c r="S40" i="1"/>
  <c r="T40" i="1"/>
  <c r="T198" i="1"/>
  <c r="T197" i="1"/>
  <c r="T195" i="1"/>
  <c r="T194" i="1"/>
  <c r="T193" i="1"/>
  <c r="T192" i="1"/>
  <c r="S198" i="1"/>
  <c r="S197" i="1"/>
  <c r="S195" i="1"/>
  <c r="S194" i="1"/>
  <c r="S193" i="1"/>
  <c r="S192" i="1"/>
  <c r="R198" i="1"/>
  <c r="R197" i="1"/>
  <c r="R195" i="1"/>
  <c r="R194" i="1"/>
  <c r="R193" i="1"/>
  <c r="R192" i="1"/>
  <c r="Q198" i="1"/>
  <c r="Q197" i="1"/>
  <c r="Q195" i="1"/>
  <c r="Q194" i="1"/>
  <c r="Q193" i="1"/>
  <c r="Q192" i="1"/>
  <c r="U38" i="1" l="1"/>
  <c r="T191" i="1"/>
  <c r="S191" i="1"/>
  <c r="R191" i="1"/>
  <c r="Q191" i="1"/>
  <c r="T187" i="1"/>
  <c r="S187" i="1"/>
  <c r="R187" i="1"/>
  <c r="Q187" i="1"/>
  <c r="S186" i="1"/>
  <c r="R186" i="1"/>
  <c r="Q186" i="1"/>
  <c r="T179" i="1"/>
  <c r="S179" i="1"/>
  <c r="R179" i="1"/>
  <c r="Q179" i="1"/>
  <c r="T178" i="1"/>
  <c r="S178" i="1"/>
  <c r="R178" i="1"/>
  <c r="Q178" i="1"/>
  <c r="T174" i="1"/>
  <c r="T173" i="1"/>
  <c r="S174" i="1"/>
  <c r="S173" i="1"/>
  <c r="Q174" i="1"/>
  <c r="R174" i="1"/>
  <c r="R173" i="1"/>
  <c r="Q173" i="1"/>
  <c r="T171" i="1"/>
  <c r="S171" i="1"/>
  <c r="R171" i="1"/>
  <c r="Q171" i="1"/>
  <c r="T164" i="1" l="1"/>
  <c r="S164" i="1"/>
  <c r="R164" i="1"/>
  <c r="Q164" i="1"/>
  <c r="T160" i="1"/>
  <c r="S160" i="1"/>
  <c r="R160" i="1"/>
  <c r="Q160" i="1"/>
  <c r="U171" i="1"/>
  <c r="U173" i="1"/>
  <c r="U174" i="1"/>
  <c r="U178" i="1"/>
  <c r="U179" i="1"/>
  <c r="U186" i="1"/>
  <c r="U187" i="1"/>
  <c r="U191" i="1"/>
  <c r="U192" i="1"/>
  <c r="U193" i="1"/>
  <c r="U194" i="1"/>
  <c r="U195" i="1"/>
  <c r="U197" i="1"/>
  <c r="U198" i="1"/>
  <c r="T149" i="1"/>
  <c r="S149" i="1"/>
  <c r="R149" i="1"/>
  <c r="Q149" i="1"/>
  <c r="P167" i="1"/>
  <c r="T167" i="1" s="1"/>
  <c r="P163" i="1"/>
  <c r="T163" i="1" s="1"/>
  <c r="P162" i="1"/>
  <c r="R162" i="1" s="1"/>
  <c r="P148" i="1"/>
  <c r="T148" i="1" s="1"/>
  <c r="P150" i="1"/>
  <c r="T150" i="1" s="1"/>
  <c r="P151" i="1"/>
  <c r="T151" i="1" s="1"/>
  <c r="P152" i="1"/>
  <c r="R152" i="1" s="1"/>
  <c r="P153" i="1"/>
  <c r="T153" i="1" s="1"/>
  <c r="P154" i="1"/>
  <c r="T154" i="1" s="1"/>
  <c r="P155" i="1"/>
  <c r="S155" i="1" s="1"/>
  <c r="P156" i="1"/>
  <c r="S156" i="1" s="1"/>
  <c r="P157" i="1"/>
  <c r="T157" i="1" s="1"/>
  <c r="P158" i="1"/>
  <c r="T158" i="1" s="1"/>
  <c r="P159" i="1"/>
  <c r="R159" i="1" s="1"/>
  <c r="P161" i="1"/>
  <c r="S161" i="1" s="1"/>
  <c r="P165" i="1"/>
  <c r="T165" i="1" s="1"/>
  <c r="P166" i="1"/>
  <c r="T166" i="1" s="1"/>
  <c r="P168" i="1"/>
  <c r="S168" i="1" s="1"/>
  <c r="P169" i="1"/>
  <c r="R169" i="1" s="1"/>
  <c r="P170" i="1"/>
  <c r="P172" i="1"/>
  <c r="P175" i="1"/>
  <c r="P176" i="1"/>
  <c r="P180" i="1"/>
  <c r="P188" i="1"/>
  <c r="P189" i="1"/>
  <c r="P190" i="1"/>
  <c r="P196" i="1"/>
  <c r="P199" i="1"/>
  <c r="P147" i="1"/>
  <c r="R147" i="1" s="1"/>
  <c r="U9" i="1"/>
  <c r="U10" i="1"/>
  <c r="U11" i="1"/>
  <c r="U12" i="1"/>
  <c r="U13" i="1"/>
  <c r="U14" i="1"/>
  <c r="U15" i="1"/>
  <c r="U16" i="1"/>
  <c r="U17" i="1"/>
  <c r="U18" i="1"/>
  <c r="U19" i="1"/>
  <c r="U21" i="1"/>
  <c r="U22" i="1"/>
  <c r="U23" i="1"/>
  <c r="U24" i="1"/>
  <c r="U25" i="1"/>
  <c r="U26" i="1"/>
  <c r="U27" i="1"/>
  <c r="U28" i="1"/>
  <c r="U29" i="1"/>
  <c r="U30" i="1"/>
  <c r="U31" i="1"/>
  <c r="U32" i="1"/>
  <c r="U33" i="1"/>
  <c r="U34" i="1"/>
  <c r="U35" i="1"/>
  <c r="U36" i="1"/>
  <c r="U37"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3" i="1"/>
  <c r="U84" i="1"/>
  <c r="U85" i="1"/>
  <c r="U86" i="1"/>
  <c r="U87" i="1"/>
  <c r="U88" i="1"/>
  <c r="U89" i="1"/>
  <c r="U91" i="1"/>
  <c r="U92" i="1"/>
  <c r="U94" i="1"/>
  <c r="U95"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6" i="1"/>
  <c r="U127" i="1"/>
  <c r="U128" i="1"/>
  <c r="U129" i="1"/>
  <c r="U130" i="1"/>
  <c r="U131" i="1"/>
  <c r="U132" i="1"/>
  <c r="U133" i="1"/>
  <c r="U134" i="1"/>
  <c r="U135" i="1"/>
  <c r="U136" i="1"/>
  <c r="U137" i="1"/>
  <c r="U138" i="1"/>
  <c r="U139" i="1"/>
  <c r="U140" i="1"/>
  <c r="U141" i="1"/>
  <c r="U142" i="1"/>
  <c r="U143" i="1"/>
  <c r="U144" i="1"/>
  <c r="U145" i="1"/>
  <c r="U146" i="1"/>
  <c r="U8" i="1"/>
  <c r="U7" i="1"/>
  <c r="S157" i="1" l="1"/>
  <c r="Q148" i="1"/>
  <c r="Q166" i="1"/>
  <c r="U149" i="1"/>
  <c r="Q151" i="1"/>
  <c r="R158" i="1"/>
  <c r="Q167" i="1"/>
  <c r="S147" i="1"/>
  <c r="Q157" i="1"/>
  <c r="R163" i="1"/>
  <c r="R168" i="1"/>
  <c r="Q150" i="1"/>
  <c r="T147" i="1"/>
  <c r="R151" i="1"/>
  <c r="S165" i="1"/>
  <c r="R167" i="1"/>
  <c r="Q159" i="1"/>
  <c r="S150" i="1"/>
  <c r="Q154" i="1"/>
  <c r="S154" i="1"/>
  <c r="Q162" i="1"/>
  <c r="Q165" i="1"/>
  <c r="S163" i="1"/>
  <c r="R166" i="1"/>
  <c r="S167" i="1"/>
  <c r="S162" i="1"/>
  <c r="T162" i="1"/>
  <c r="Q147" i="1"/>
  <c r="U147" i="1" s="1"/>
  <c r="S148" i="1"/>
  <c r="Q153" i="1"/>
  <c r="S153" i="1"/>
  <c r="Q163" i="1"/>
  <c r="S166" i="1"/>
  <c r="T188" i="1"/>
  <c r="R188" i="1"/>
  <c r="S188" i="1"/>
  <c r="Q188" i="1"/>
  <c r="R176" i="1"/>
  <c r="T176" i="1"/>
  <c r="S176" i="1"/>
  <c r="Q176" i="1"/>
  <c r="R156" i="1"/>
  <c r="T156" i="1"/>
  <c r="T152" i="1"/>
  <c r="R161" i="1"/>
  <c r="R196" i="1"/>
  <c r="Q196" i="1"/>
  <c r="T196" i="1"/>
  <c r="S196" i="1"/>
  <c r="S151" i="1"/>
  <c r="T155" i="1"/>
  <c r="Q161" i="1"/>
  <c r="R190" i="1"/>
  <c r="T190" i="1"/>
  <c r="Q190" i="1"/>
  <c r="S190" i="1"/>
  <c r="T180" i="1"/>
  <c r="R180" i="1"/>
  <c r="Q180" i="1"/>
  <c r="S180" i="1"/>
  <c r="R172" i="1"/>
  <c r="Q172" i="1"/>
  <c r="T172" i="1"/>
  <c r="S172" i="1"/>
  <c r="R150" i="1"/>
  <c r="Q156" i="1"/>
  <c r="Q152" i="1"/>
  <c r="R154" i="1"/>
  <c r="S152" i="1"/>
  <c r="S158" i="1"/>
  <c r="S159" i="1"/>
  <c r="T161" i="1"/>
  <c r="R165" i="1"/>
  <c r="Q168" i="1"/>
  <c r="S169" i="1"/>
  <c r="T168" i="1"/>
  <c r="R199" i="1"/>
  <c r="Q199" i="1"/>
  <c r="T199" i="1"/>
  <c r="S199" i="1"/>
  <c r="S175" i="1"/>
  <c r="Q175" i="1"/>
  <c r="R175" i="1"/>
  <c r="T175" i="1"/>
  <c r="R155" i="1"/>
  <c r="T159" i="1"/>
  <c r="Q169" i="1"/>
  <c r="T169" i="1"/>
  <c r="S189" i="1"/>
  <c r="Q189" i="1"/>
  <c r="R189" i="1"/>
  <c r="T189" i="1"/>
  <c r="S177" i="1"/>
  <c r="Q177" i="1"/>
  <c r="T177" i="1"/>
  <c r="R177" i="1"/>
  <c r="S170" i="1"/>
  <c r="Q170" i="1"/>
  <c r="R170" i="1"/>
  <c r="T170" i="1"/>
  <c r="R148" i="1"/>
  <c r="Q155" i="1"/>
  <c r="Q158" i="1"/>
  <c r="R157" i="1"/>
  <c r="U157" i="1" s="1"/>
  <c r="R153" i="1"/>
  <c r="U164" i="1"/>
  <c r="U160" i="1"/>
  <c r="U151" i="1"/>
  <c r="U166" i="1" l="1"/>
  <c r="U150" i="1"/>
  <c r="T200" i="1"/>
  <c r="R200" i="1"/>
  <c r="Q200" i="1"/>
  <c r="S200" i="1"/>
  <c r="U155" i="1"/>
  <c r="U177" i="1"/>
  <c r="U189" i="1"/>
  <c r="U168" i="1"/>
  <c r="U158" i="1"/>
  <c r="U156" i="1"/>
  <c r="U170" i="1"/>
  <c r="U153" i="1"/>
  <c r="U165" i="1"/>
  <c r="U167" i="1"/>
  <c r="U162" i="1"/>
  <c r="U163" i="1"/>
  <c r="U176" i="1"/>
  <c r="U188" i="1"/>
  <c r="U154" i="1"/>
  <c r="U161" i="1"/>
  <c r="U169" i="1"/>
  <c r="U185" i="1"/>
  <c r="U159" i="1"/>
  <c r="U152" i="1"/>
  <c r="U180" i="1"/>
  <c r="U190" i="1"/>
  <c r="U184" i="1"/>
  <c r="U175" i="1"/>
  <c r="U182" i="1"/>
  <c r="U199" i="1"/>
  <c r="U172" i="1"/>
  <c r="U181" i="1"/>
  <c r="U183" i="1"/>
  <c r="U148" i="1"/>
  <c r="U196" i="1"/>
  <c r="U200" i="1" l="1"/>
</calcChain>
</file>

<file path=xl/sharedStrings.xml><?xml version="1.0" encoding="utf-8"?>
<sst xmlns="http://schemas.openxmlformats.org/spreadsheetml/2006/main" count="699" uniqueCount="688">
  <si>
    <t>1.3.1.1. Identificar y caracterizar la Vulnerabilidad de los ecosistemas claves para la regulación Hídrica e inventariar los riesgos sobre infraestructuras de abastecimiento de agua.</t>
  </si>
  <si>
    <t>1.3.1.2. Diseñar e Implementar medidas de adaptación a los efectos del cambio climático asociados al recurso Hídrico (Reconformación de taludes y/o diques de protección)</t>
  </si>
  <si>
    <t>1.3.1.3. Construir la Canalización para la Recuperación Paisajística y ambiental del Arroyo el Salao Ubicado en el Municipio de Soledad.</t>
  </si>
  <si>
    <t>1.3.1.4. Realizar seguimiento ambiental a la Canalización para la Recuperación Paisajística y ambiental del Arroyo el Salao Ubicado en el Municipio de Soledad.</t>
  </si>
  <si>
    <t xml:space="preserve">1.3.1.5. Realizar seguimiento ambiental a las Obras de canalización de los arroyos del Distrito de Barranquilla. </t>
  </si>
  <si>
    <t xml:space="preserve">1.2.3.2. Reducir los aportes de contaminación puntual a los cuerpos de agua a través de sistemas de tratamiento de agua residuales. </t>
  </si>
  <si>
    <t>1.2.3.1. Realizar control, seguimiento y evaluación de los vertimientos, que permita conocer el estado de los cuerpos de agua receptores.</t>
  </si>
  <si>
    <t>1.3.1. GENERACIÓN DE CONOCIMIENTO Y REDUCCIÓN DEL RIESGO ASOCIADO AL RECURSO HÍDRICO</t>
  </si>
  <si>
    <t>1.2.3. REDUCCIÓN DE LA CONTAMINACIÓN DEL RECURSO HÍDRICO</t>
  </si>
  <si>
    <t>1.3.  GESTIÓN INTEGRAL DE LOS RIESGOS ASOCIADOS AL RECURSO HÍDRICO</t>
  </si>
  <si>
    <t>1.2.2.6. Realizar inventario de los corregimientos que carecen de Saneamiento Básico en todo el departamento.</t>
  </si>
  <si>
    <t>1.2.2.7. Realizar seguimiento a los vertimientos de los corregimientos del departamento del Atlántico.</t>
  </si>
  <si>
    <t>1.2.2.3. Monitorear la Calidad del Recurso Hídrico de las aguas Marinas (18 puntos establecidos en la REDCAM).</t>
  </si>
  <si>
    <t>1.2.2.2. Monitorear la Calidad del Recurso Hídrico de las Aguas Continentales</t>
  </si>
  <si>
    <t xml:space="preserve">1.2.2.1. Realizar inventario y registro de usuario (Legales y por legalizar) del recurso Hídrico, en relación con las aguas superficiales y subterráneas. </t>
  </si>
  <si>
    <t>1.2.1.3. Elaborar e Implementar Proyectos para las zonas priorizadas como zonas abastecedora de recurso Hídrico.</t>
  </si>
  <si>
    <t xml:space="preserve">1.2.1.2. Realizar seguimiento a la implementación de los Programas de Ahorro y uso eficiente del agua de los usuarios del Recurso Hídrico. </t>
  </si>
  <si>
    <t>1.2.1.1. Incrementar el número de usuarios del recurso hídrico con Planes de Ahorro y Uso eficiente del Agua.</t>
  </si>
  <si>
    <t>1.2.1. USO EFICIENTE Y SOSTENIBLE DEL AGUA</t>
  </si>
  <si>
    <t>1.1.3.5.  Realizar repoblamientos anuales como estrategia de implementación de recuperación de poblaciones naturales de especies nativas asociadas al recurso hidrobiológico en los humedales del departamento.</t>
  </si>
  <si>
    <t xml:space="preserve">1.1.3.1. Realizar el mantenimiento a las compuertas de Villa Rosa y el Porvenir que regulan el Embalse del Guájaro. </t>
  </si>
  <si>
    <t>1.1.3. RECUPERACIÓN Y MANEJO DE LOS HUMEDALES DEL DEPARTAMENTO DEL ATLÁNTICO</t>
  </si>
  <si>
    <t>1.2.2. CONTROL Y PREVENCION DE LA CONTAMINACIÓN DEL RECURSO HÍDRICO</t>
  </si>
  <si>
    <t>1.2. CARACTERIZACIÓN, CUANTIFICACIÓN Y RECUPERACIÓN DEL RECURSO AGUA COMO ARTICULADOR DE LOS BIENES Y SERVICIOS AMBIENTALES</t>
  </si>
  <si>
    <t>1.1.2.2. Implementar los cuatro Consejos de Cuenca (Mallorquin, Canal del Dique, Rio Magdalena y Caribe) como mecanismo de participación efectiva de los usuarios en la Planeación, Administración, Vigilancia y Monitoreo del recurso Hídrico.</t>
  </si>
  <si>
    <t>1.1.2.1. Conformar un Equipo de Trabajo fortalecido con herramientas e insumos necesarios para llevar a cabo la Planificación, Administración y Gestión del recurso hídrico.</t>
  </si>
  <si>
    <t>1.1.2. FORTALECIMIENTO DE LA GESTIÓN INSTITUCIONAL Y SOCIAL PARA LA PLANIFICACIÓN, ADMINISTRACIÓN Y  GESTIÓN DEL RECURSO HÍDRICO</t>
  </si>
  <si>
    <t>1.1.1.4. Implementar el Plan de Ordenación y Manejo de Cuencas Hidrográficas del Complejo de Humedades del Río Magdalena.</t>
  </si>
  <si>
    <t>1.1.1.3. Implementar el Plan de Ordenación y Manejo de Cuencas Hidrográficas de la Ciénaga de Mallorquín y los Arroyos Grande y León.</t>
  </si>
  <si>
    <t>1.1.1.2. Adoptar los Planes de Ordenación y Manejo de: Cuencas Hidrográficas del Canal del Dique, Cuenca del complejo de humedades del Rio Magdalena y Cuenca de los Arroyos directos al Mar Caribe.</t>
  </si>
  <si>
    <t xml:space="preserve">1.1.1.1. Iniciar el proceso de formulación del Plan de Ordenación y Manejo de Cuencas Hidrográfica de la cuenca de Mar Caribe. </t>
  </si>
  <si>
    <t>1.1.1. REGULACIÓN Y REGLAMENTACIÓN DEL RECURSO HÍDRICO</t>
  </si>
  <si>
    <t>1.1. PLANIFICACIÓN, ADMINISTRACIÓN Y GESTIÓN DEL RECURSO HÍDRICO PARA LA PROTECCIÓN DE LOS ECOSISTEMAS</t>
  </si>
  <si>
    <t>LÍNEA ESTRATÉGICA</t>
  </si>
  <si>
    <t>PROGRAMA</t>
  </si>
  <si>
    <t>PROYECTO</t>
  </si>
  <si>
    <t>ACCIÓN ESTRATÉGICA</t>
  </si>
  <si>
    <t>POND.</t>
  </si>
  <si>
    <t>2.1.1.1 Implementar el Plan de Acción Regional de Lucha contra la Desertificación y la Sequia que  contribuya a la restauración de ecosistemas en zonas secas</t>
  </si>
  <si>
    <t>2.1.1.2 Producir 150.000 plantulas, adecuar el sitio y fortalecer técnica y ambientalmente la producción de plantulas en los viveros  de la CRA con fines de restauración y recuperación de suelos.</t>
  </si>
  <si>
    <t xml:space="preserve">2.1.1.3 Implementar un programa de deforestación evitada que incluya al menos las siguientes lineas de acción: articulación con sectores o entes territoriales para incentivar modelos agroambientales, alternativas de eficiencia energetica en hogares y restaurantes y educación ambiental para disminuir la extracción de leña y carbon vegetal </t>
  </si>
  <si>
    <t>2.1.1.4. Ejecutar un programa comunitario de medidas de adoptación al cambio climático basadas en la conservación de los ecosistemas estrategicos (bosque seco y manglar) y enfocadas a la reconverción hacia sistemas sostenibles de producción</t>
  </si>
  <si>
    <t>2.1.2.1.Realizar el diagnóstico de las especies invasoras del departamento y diseñar una estrategia regional para el control de especies invasoras, exóticas y trasplantadas</t>
  </si>
  <si>
    <t>2.1.2.3. Implementar proyectos comunitarios  para la conservación y uso sostenible de especies amenazadas priorizadas para el departamento del Atlántico.</t>
  </si>
  <si>
    <t>2.1.2.4. Actualizar el inventario de Fauna y Flora Silvestre del Departamento del Atlántico</t>
  </si>
  <si>
    <t>2.1.2.5. Diseñar  y ejecutar acciones de conservación y manejo para 6 especies amanezadas</t>
  </si>
  <si>
    <t>2.2.1.1. Adoptar e implementar el Plan de Ordenación y Manejo-POMIUAC  de la Unidad Ambiental Costera-UAC del Rio Magdalena</t>
  </si>
  <si>
    <t>2.2.1.2. Adelantar e implentar acciones encaminadas a impulsar el ecoturismo sostenible en zonas de la franja costera del departamento del Atlántico.</t>
  </si>
  <si>
    <t>2.2.2.1. Definir e implementar acciones para controlar y mitigar el estado de la Erosión Costera en el Departamento del Atlàntico.</t>
  </si>
  <si>
    <t>2.2.3.1. Diseñar  y ejecutar un  programa educativo  dirigido a  la conservación de la Biodiversidad Marino-Costera del departamento del Atlántico, con enfasis en el cumplimiento de las leyes y orientado a controlar la destrucción de barreras naturales de protección de las costas, tales como manglares, arrecifes coralinos, islas de barrera y otras características geomorfológicas de protección.</t>
  </si>
  <si>
    <t>2.2.3.2. Establecer un  Programa de  Control y Monitoreo de la Unidad Ambiental Costera</t>
  </si>
  <si>
    <t xml:space="preserve">2.3.1.1. Actualizar y ejecutar los  Planes de Manejo Ambiental de las Áreas Protegidas del Departamento </t>
  </si>
  <si>
    <t xml:space="preserve">2.3.1.2. Establecer acciones para promover la conservación efectiva y el cumplimiento del plan de manejo de las áreas protegidas declaradas. </t>
  </si>
  <si>
    <t xml:space="preserve">2.3.1.3. Implementar proyectos de restauraciòn  y conectividad del  Bosque Seco enmarcadas en el SIRAP, SIDAP, SILAP, en el Atlántico.  </t>
  </si>
  <si>
    <t xml:space="preserve">2.3.1.4. Adquirir predios privados localizados al interior de las Áreas protegidas </t>
  </si>
  <si>
    <t>2.3.1.5. Declarar nuevas Áreas Protegidas en el Departamento con registro ante el RUNAP</t>
  </si>
  <si>
    <t xml:space="preserve">2.3.1.6. Formular y ejecutar Programas de asistencia técnica para la implementación de estrategias educativo ambientales y de participación encaminadas a la conservación de las áreas protegidas declaradas en el departamento del Atlántico. </t>
  </si>
  <si>
    <t>2.3.1.7. Formular e implementar activiades de protección y recuperación de las zonas de acuiferos ubicadas en las áreas protegidas, para prevenir y mitigar el impacto negativo en en el recurso hídrico</t>
  </si>
  <si>
    <t>2.3.1.8. Desarrollar estrategias de participación efectiva dirigidas a  los propietarios de predios privados y comunidades de las áreas protegidas enfocadas a la conservación y a la implementación de sistemas productivos sostenibles como medida de adaptación al cambio climático</t>
  </si>
  <si>
    <t>2.3.1.9. Formular e implementar  proyectos Ecoturísticos  de acuerdo con los lineamientos establecidos por la Unidad Administrativa de Parques Nacionales de Colombia (UASPNN), como alternativa sostenible en las áreas protegidas y sus zonas aledañas</t>
  </si>
  <si>
    <t>2.3.1.10. Desarrollar  e implementar estudios técnicos que definan la capacidad de carga para el control de ingreso e impactos ambientales generados por los visitantes de las áreas protegidas en el Atlántico</t>
  </si>
  <si>
    <t>2.3.1.11. Gestión del riesgo de desastre por incendio de cobertura vegetal en áreas declaradas como áreas protegidas.</t>
  </si>
  <si>
    <t>2.3.2.1. Actualizar  la  ventanilla nodo de negocios verdes creada para el departamento del Atlántico.</t>
  </si>
  <si>
    <t>2.3.2.2.  Diseñar la Asistencia técnica que permita la consolidación, fortalecimiento  de los Negocios Verdes en el Atlántico</t>
  </si>
  <si>
    <t>2.3.2.3. Desarrollar Ferias para la promoción, divulgaciòn y realización de Negocios Verdes en el departamento del Atlántico.</t>
  </si>
  <si>
    <t xml:space="preserve">2.3.2.4. Celebrar Convenios de Cooperación o alianzas con el sector público o privado nacional o internacional que permita fortalecer la oferta de asitencia técnica y de marketing de los Negocios Verdes existentes en el departamento del Atlántico. </t>
  </si>
  <si>
    <t>2.3.3.1. Estructurar e implementar la primera fase del Programa Regional de compensaciones ambientales agrupadas denominado Bolsa Verde Atlántico, con el objetivo de preservar y restaurar las áreas prioritarias de conservación de la biodiversidad del Atlántico</t>
  </si>
  <si>
    <t>2.1.2. GESTIÓN DE ESPECIES</t>
  </si>
  <si>
    <t>2.2.1. ORDENACIÓN Y MANEJO DE LA UNIDAD AMBIENTAL COSTERA</t>
  </si>
  <si>
    <t>2.2.2. MITIGACIÓN DE RIESGO COSTEROS</t>
  </si>
  <si>
    <t>2.2.3. CONSERVACIÓN DE ECOSISTEMAS MARINOS Y COSTEROS</t>
  </si>
  <si>
    <t>2.3.1. ÁREAS PROTEGIDAS</t>
  </si>
  <si>
    <t>2.3.2. NEGOCIOS VERDES</t>
  </si>
  <si>
    <t>2.3.3. BOLSA VERDE ATLÁNTICO</t>
  </si>
  <si>
    <t>2.1. BIODIVERSIDAD Y RIQUEZA DE LOS ECOSISTEMAS TERRESTRES</t>
  </si>
  <si>
    <t>2.2. BIODIVERSIDAD Y RIQUEZA DE LOS ECOSISTEMAS MARINO COSTERO</t>
  </si>
  <si>
    <t>2.3. ESTRATEGIAS REGIONALES DE CONSERVACIÓN</t>
  </si>
  <si>
    <t xml:space="preserve">1. SOSTENIBILIDAD DEL RECURSO HÍDRICO </t>
  </si>
  <si>
    <t>2. SOSTENIBILIDAD DEL RECURSO NATURAL</t>
  </si>
  <si>
    <t>2.1.1. DESARROLLO FORESTAL SOSTENIBLE</t>
  </si>
  <si>
    <t>3. SOSTENIBILIDAD DEMOCRÁTICA</t>
  </si>
  <si>
    <t xml:space="preserve">4.1.1.1. Implementar Convenios de Producción más Limpia con los sectores de equipamiento urbano </t>
  </si>
  <si>
    <t>4.2.1.1. Fomentar el conocimiento sobre el Potencial energético de la generación de biogás a partir de residuos pecuarios en el Departamento del Atlántico</t>
  </si>
  <si>
    <t xml:space="preserve">4.2.2.1. Impulsar proyectos de generación de Fuentes No convencionales de Energía Renovable-FNCER, cogeneración a partir de la misma generación distribuida y de gestión eficiente de la energía. </t>
  </si>
  <si>
    <t>4.2.3.1. Conocer el potencial de energía eólica en el Departamento del Atlántico</t>
  </si>
  <si>
    <t xml:space="preserve">4.3.1.1. Asesorar a los municipios del Dpto. en la inclusión del componente ambiental en los procesos de planificación y ordenamiento territorial, con énfasis en la incorporación de las determinantes ambientales </t>
  </si>
  <si>
    <t>4.3.1.2. Construir el Plan de Gestión Regional. Ambiental - PGAR para la vigencia 2023-2032</t>
  </si>
  <si>
    <t xml:space="preserve">4.3.2.1. Asistir a los municipios en la implementación y seguimiento de esquemas de pago por servicios ambientales </t>
  </si>
  <si>
    <t>4.3.3.1. Ejecutar acciones orientadas a actualizar la información ambiental en el marco del ordenamiento ambiental y territorial que sirvan de insumo para la elaboración de los POT.</t>
  </si>
  <si>
    <t>4.3.4.1. Ejecutar acciones orientadas a implementar la Política Integral del Salud Ambiental en la jurisdicción de la CRA</t>
  </si>
  <si>
    <t>4.4.1.6. Estimar las emisiones de Gases de Efecto Invernadero (GEI) sectorial en el Departamento del Atlántico.</t>
  </si>
  <si>
    <t>4.4.1.7. Elaborar el Inventario de emisiones atmosféricas aplicando la Guía para la elaboración de Inventario de Emisiones Atmosféricas</t>
  </si>
  <si>
    <t xml:space="preserve">4.4.2.1. Controlar las actividades productoras de olores ofensivos en el Departamento </t>
  </si>
  <si>
    <t>4.4.3.1. Actualizar  los mapas de ruido diurno y nocturno en los municipios con más de 100.000 habitantes del Departamento</t>
  </si>
  <si>
    <t>4.4.3.2. Promover la adecuada gestión ambiental de las actividades generadoras de emisiones de ruido en el Departamento del Atlántico</t>
  </si>
  <si>
    <t>4.4.3.3. Proporcionar apoyo técnico a los municipios del Departamento del Atlántico en las mediciones de emisión de ruido</t>
  </si>
  <si>
    <t>4.4.4.1. Fomentar el aprovechamiento local del plástico y otros materiales reciclables en los municipios costeros del Departamento del Atlántico</t>
  </si>
  <si>
    <t>4.4.4.2. Realizar seguimiento a la  implementación del PGIRS  municipios de la jurisdicción de la CRA.</t>
  </si>
  <si>
    <t>4.5.1.1. Promover la eficiencia en la evaluación, seguimiento y control de  trámites ambientales</t>
  </si>
  <si>
    <t xml:space="preserve">4.5.1.2. Atender oportuna y eficazmente las quejas ambientales y procesos sancionatorios </t>
  </si>
  <si>
    <t>4.5.1.3. Realizar seguimiento a medidas de compensación</t>
  </si>
  <si>
    <t>4.5.1.4. Promover instrumentos de formalización minera  para identificar  actividades ilegales en los Sectores productivos de alto impacto</t>
  </si>
  <si>
    <t>4.5.1.5. Promover instrumentos de formalización minera  para identificar y monitorear actividades ilegales en los Sectores productivos de alto impacto</t>
  </si>
  <si>
    <t>4.5.1.6. Atender oportuna y eficazmente las quejas ambientales</t>
  </si>
  <si>
    <t xml:space="preserve">4.5.1.7.  Controlar el tráfico ilegal de especies de Fauna y Flora en el Atlántico </t>
  </si>
  <si>
    <t>4.5.1.8 Atender oportuna y eficazmente las quejas ambientales</t>
  </si>
  <si>
    <t>4.5.2.1. Implementar instrumentos económicos dependiendo de la actividad y su afectación al ambiente</t>
  </si>
  <si>
    <t>4.6.1.1. Elaborar estudios técnicos para el conocimiento y reducción del riesgo e incorporación de la gestión del riesgo en el ordenamiento territorial de los municipios</t>
  </si>
  <si>
    <t>4.6.1.2. Actualizar estudios técnicos para el conocimiento y reducción del riesgo elaborados e incorporación de la gestión del riesgo en el ordenamiento territorial de los municipios</t>
  </si>
  <si>
    <t>4.6.1.3. Promover asesorías para el conocimiento y reducción del riesgo de desastres  e incorporación de la gestión del riesgo en el ordenamiento territorial de los municipios</t>
  </si>
  <si>
    <t>4.6.1.4. Brindar acompañamiento y asistencia a las entidades territoriales del Departamento del Atlántico, susceptibles de amenazas por incendios de cobertura vegetal</t>
  </si>
  <si>
    <t>4.1.1. PRODUCCIÓN MÁS LIMPIA</t>
  </si>
  <si>
    <t>4.2.1. ENERGÍA DE BIOGÁS-BIOMASA</t>
  </si>
  <si>
    <t>4.2.2. ENERGÍA SOLAR</t>
  </si>
  <si>
    <t>4.2.3. ENERGÍA EÓLICA</t>
  </si>
  <si>
    <t>4.3.1. INSTRUMENTOS DE PLANIFICACIÓN</t>
  </si>
  <si>
    <t>4.3.2. ESQUEMAS DE PAGO POR SERVICIOS AMBIENTALES</t>
  </si>
  <si>
    <t>4.3.3. DETERMINANTES AMBIENTALES</t>
  </si>
  <si>
    <t>4.3.4. SALUD AMBIENTAL</t>
  </si>
  <si>
    <t>4.4.1. AIRE</t>
  </si>
  <si>
    <t>4.4.2. OLORES</t>
  </si>
  <si>
    <t>4.4.3. RUIDO</t>
  </si>
  <si>
    <t>4.4.4. RESIDUOS Y ECONOMÍA CIRCULAR</t>
  </si>
  <si>
    <t>4.5.1. EVALUACIÓN, SEGUIMIENTO Y CONTROL AMBIENTAL</t>
  </si>
  <si>
    <t>4.5.2. INSTRUMENTOS ECONÓMICOS</t>
  </si>
  <si>
    <t>4.6.1. CONOCIMIENTO Y ADAPTACIÓN A LA GESTIÓN DEL RIESGO</t>
  </si>
  <si>
    <t>4.7.1. CONOCIMIENTO Y ADAPTACIÓN AL CAMBIO CLIMÁTICO</t>
  </si>
  <si>
    <t>4.4.1.1. Realizar acciones tendientes a actualizar la situación de concentración de contaminantes criterio en la calidad del aire del Departamento del Atlántico</t>
  </si>
  <si>
    <t>4.4.1.2. Realizar un rediseño del sistema de vigilancia de la calidad del aire en el Departamento del Atlántico.</t>
  </si>
  <si>
    <t>4.4.1.3. Realizar informes mensuales para el Sistema de Calidad del Aire -SISAIRE (Resolución 651 de 29 de marzo de 2010).</t>
  </si>
  <si>
    <t>4.4.1.4. Tramitar y obtener certificado de acreditación del Sistema de Vigilancia de la Calidad del Aire acreditado con NTC ISO 17025 por el IDEAM ( Par. 2 del artículo 2.2.8.9.1.5 del Decreto Único 1076 de 2015).</t>
  </si>
  <si>
    <t>4.4.1.5. Realizar evaluación, seguimiento y control ambiental de las emisiones atmosféricas en el Departamento.</t>
  </si>
  <si>
    <t>4.1. EQUIPAMIENTO SOSTENIBLES</t>
  </si>
  <si>
    <t>4.2. POR UN  DEPARTAMENTO CON ENERGÍAS RENOVABLES</t>
  </si>
  <si>
    <t xml:space="preserve">4.3. TERRITORIOS CON PLANIFICACIÓN AMBIENTAL </t>
  </si>
  <si>
    <t>4.4. PREVENCIÓN, CONTROL Y MONITOREO DEL  AIRE Y SUELO</t>
  </si>
  <si>
    <t xml:space="preserve">4.5. INSTRUMENTOS ECONÓMICOS Y DE CONTROL AMBIENTAL </t>
  </si>
  <si>
    <t xml:space="preserve">4.6. COMUNIDADES Y TERRITORIOS CON CONOCIMIENTO Y ADAPTACIÓN A LA GESTIÓN DEL RIESGO </t>
  </si>
  <si>
    <t>4.7. COMUNIDADES Y TERRITORIOS CON CONOCIMIENTO Y ADAPTACIÓN CAMBIO CLIMÁTICO</t>
  </si>
  <si>
    <t>4. SOSTENIBILIDAD SECTORIAL</t>
  </si>
  <si>
    <t>5.1.1.1. Realizar un estudio para el fortalecimiento Institucional de la Entidad encaminado a la ampliación de la planta de personal y la creación de nuevos cargos.</t>
  </si>
  <si>
    <t>5.1.1.2. Garantizar la libre asociación de los funcionarios de la Entidad</t>
  </si>
  <si>
    <t xml:space="preserve">5.1.1.3. Elaborar y ejecutar el programa de capacitación y bienestar social de la Entidad para fortalecer los conocimientos, habilidades y destrezas de los funcionarios de la Corporación teniendo en cuenta los tres ejes del Plan Nacional de Formación y Capacitación: Gobernanza para la paz, Gestión del conocimiento, Creación del valor público. </t>
  </si>
  <si>
    <t>5.2.1.1. Mantener calificación superior a 90 sobre 100 en la  continuidad y mejoramiento del SG-SST (Resolución 312 de 2019 y el decreto 1072 de 2015)</t>
  </si>
  <si>
    <t>5.2.1.2. Realizar diagnostico del perfil sociodemográfico y de las condiciones de salud de los trabajadores</t>
  </si>
  <si>
    <t xml:space="preserve">5.2.1.3. Realizar informes de ejecución de las actividades de medicina preventiva y del trabajo, promoción y prevención y programas de vigilancia epidemiológica </t>
  </si>
  <si>
    <t>5.2.1.4. Realizar reportes periódicos sobre la práctica de exámenes médicos ocupacionales de ingreso, control periódico y retiro de todos los trabajadores y de control periódico para los colaboradores con contratos iguales o superiores a seis meses</t>
  </si>
  <si>
    <t>5.2.1.5. Realizar reportes anuales sobre los funcionarios y trabajadores en misión, los elementos de protección personal y colectiva que se requieren para el desarrollo de una labor segura y los elementos de protección frente a brotes pandémicos generadores de emergencias económicas, sociales y ecológicas</t>
  </si>
  <si>
    <t>5.2.1.6. Garantizar, conforme a la matriz de peligros y riesgos de la CRA la realización de estudios que contengan las mediciones ambientales de iluminación, ruido, agentes biológicos, químicos y demás establecidos en dicha matriz</t>
  </si>
  <si>
    <t>5.2.1.7. Garantizar la capacitación de trabajo en alturas a funcionarios y contratistas de la Corporación para la mejora de la gestión del riesgo de seguridad y salud</t>
  </si>
  <si>
    <t>5.2.2.1. Garantizar el mantenimiento, continuidad y mejora del Plan Estratégico de Seguridad vial de la CRA (Resolución 1565 de 2014, Resolución 1231 de 2016 y Decreto 2106 de 2019, Resolución 0312 de 2019. Decreto 1079 de 2015.)</t>
  </si>
  <si>
    <t>5.3.1.1. Formular el Plan estratégico de Tecnologías de Información PETI 2020-2023.  
Formulación de la Política de Gobierno Digital y el Marco de Referencia de Arquitectura Empresarial</t>
  </si>
  <si>
    <t>5.3.1.2. Garantizar la divulgación y ejecución del Plan de Comunicaciones del PETI</t>
  </si>
  <si>
    <t>5.3.1.3. Diseñar e implementar un sistema de gestión de seguridad de la información basado en la norma ISO 27001</t>
  </si>
  <si>
    <t xml:space="preserve">5.3.2.1. Adquirir, mantener y dar soporte a los equipos de cómputo, periféricos y sistema eléctricos de respaldo a las labores de la Entidad </t>
  </si>
  <si>
    <t xml:space="preserve">5.3.2.2. Implementar servicios de voz, datos corporativos y servidores virtualizados en la entidad </t>
  </si>
  <si>
    <t xml:space="preserve">5.3.2.3. Actualizar el software de base de la Corporación </t>
  </si>
  <si>
    <t>5.3.2.4. Implementar servicios tecnológicos que dinamicen la realización de actividades internas y externas de la entidad</t>
  </si>
  <si>
    <t>5.4.1.1. Diseñar e implementar estrategias  de comunicación para fortalecer la imagen institucional de la CRA</t>
  </si>
  <si>
    <t>5.4.1.2. Aumentar el número de visitas y seguidores en  canales virtuales de la entidad</t>
  </si>
  <si>
    <t>5.4.1.3. Realizar campañas institucionales en medios de comunicación tradicionales y nuevas tecnologías</t>
  </si>
  <si>
    <t>5.4.1.4. Promover la participacion de la comunidad en las actividades de la corporación.</t>
  </si>
  <si>
    <t>5.5.1.1. Gestionar recursos externos nacionales e internacionales  a partir de la formulación y ejecución de proyectos ambientales</t>
  </si>
  <si>
    <t>5.5.1.2. Apoyar la formulación, radicación y evaluación de proyectos ambientales radicados en la entidad.</t>
  </si>
  <si>
    <t xml:space="preserve">5.5.1.3.  Adoptar herramientas para el seguimiento de los Instrumentos de Planeación y Administración de  proyectos en la entidad </t>
  </si>
  <si>
    <t>5.6.1.1. Renovar y licenciar el Software para el desarrollo de las actividades misionales y administrativas de la entidad:</t>
  </si>
  <si>
    <t>5.6.1.2. Mantener la pagina web, intranet y subportales de la Entidad</t>
  </si>
  <si>
    <t xml:space="preserve">5.6.1.3. Implementar Software de soporte para la Oficina Jurídica </t>
  </si>
  <si>
    <t>5.6.1.5. Formular e Implementar la Política de Seguridad y Manejo de la Informacion y  el Marco de Interoperabilidad</t>
  </si>
  <si>
    <t>5.6.2.1. Implementar, mantener y mejorar estrategias para la consolidacion del sistema de informacion geografico ambiental y su articulacion con las diferentes entidades del SINA.</t>
  </si>
  <si>
    <t>5.6.2.2. Dar cumplimiento a la normatividad vigente en materia de Mantenimiento y operación de los subsistemas de SIAC a través de la  entrega de información ambiental en: VITAL, RESPEL, RUA, PCBS, SISAIRE, SNIF, SIRH, SIB, SIAM, SMBYC, SIPGA CAR, SINAP-RUNAP, SIUR</t>
  </si>
  <si>
    <t xml:space="preserve">5.7.1.1. Realizar ciclos de auditoría interna de conformidad con la metodología vigente </t>
  </si>
  <si>
    <t xml:space="preserve">5.7.1.2. Mantener la certificación del sistema de gestión de la calidad según NTC ISO 9001:2015 </t>
  </si>
  <si>
    <t>5.7.1.3. Implementar un sistema de seguridad y salud en el trabajo, según norma NTC 45001:2015</t>
  </si>
  <si>
    <t>5.7.1.4. Implementar un sistema de gestión ambiental según la norma NTC ISO 14001:2015</t>
  </si>
  <si>
    <t>5.7.2.1. Implementar una norma para la calibración de equipos según  ISO 17025: 2017 (Ensayo y Calibración)</t>
  </si>
  <si>
    <t>5.7.3.1. Implementar un modelo integrado de planeación y gestión, de conformidad con el Decreto 1499/17</t>
  </si>
  <si>
    <t xml:space="preserve">5.8.1.1. Disponer de un Archivo Central en condiciones de funcionamiento adecuadas </t>
  </si>
  <si>
    <t>5.8.1.2. Adelantar procesos de digitalización de información sensible y de importancia en la entidad</t>
  </si>
  <si>
    <t>5.8.1.3. Elaborar instrumentos archivísticos y de gestión de la información para la planificación de la gestión documental</t>
  </si>
  <si>
    <t xml:space="preserve"> 5.8.1.4. Revisar y Actualizar los instrumentos archivísticos y de gestión de la información que existen en la entidad</t>
  </si>
  <si>
    <t>5.8.1.5. Garantizar el cumplimiento de la normatividad de la gestión documental en cada uno de los archivos de gestión de la entidad</t>
  </si>
  <si>
    <t>5.8.1.6. Fomentar el saneamiento de expedientes</t>
  </si>
  <si>
    <t>5.9.1.2. Formular e implementar la política de prevención del daño antijurídico.</t>
  </si>
  <si>
    <t xml:space="preserve">5.9.3.1. Atender los trámites procesales contractuales requeridos por la Dirección de la Entidad </t>
  </si>
  <si>
    <t>5.10.1.1. Realizar auditorías energéticas a la CRA para desarrollar un programas de eficiencia energética</t>
  </si>
  <si>
    <t xml:space="preserve">5.10.2.1. Garantizar la funcionalidad de la infraestructura de la Entidad a partir de su mantenimiento preventivo o reposición </t>
  </si>
  <si>
    <t>5.10.2.2. Garantizar el mantenimiento y adecuación  (bienes inmuebles) de la sede principal y otras sedes de la corporación</t>
  </si>
  <si>
    <t>5.10.2.3. Disponer de vehículos para las áreas misionales y administrativas de la entidad.</t>
  </si>
  <si>
    <t>5.2.1. SG-SST</t>
  </si>
  <si>
    <t>5.7.2. NTC 17025</t>
  </si>
  <si>
    <t>5.7.3. MIPG</t>
  </si>
  <si>
    <t>5.8.1. SGD</t>
  </si>
  <si>
    <t>5.9.2. PQRS</t>
  </si>
  <si>
    <t>5.1.1. BIENESTAR SOCIAL</t>
  </si>
  <si>
    <t>5.3.1. ESTRATEGIA Y GOBIERNO TI</t>
  </si>
  <si>
    <t>5.3.2. SERVICIOS TECNOLÓGICOS</t>
  </si>
  <si>
    <t>5.4.1. FORTALECIMIENTO DE LA IMAGEN INSTITUCIONAL</t>
  </si>
  <si>
    <t xml:space="preserve">5.5.1. FORTALECIMIENTO DEL BANCO DE PROYECTOS </t>
  </si>
  <si>
    <t>5.6.1. GESTIÓN DE LA INFORMACIÓN</t>
  </si>
  <si>
    <t>5.6.2. SISTEMAS DE INFORMACIÓN AMBIENTAL (SIAC)</t>
  </si>
  <si>
    <t>5.7.1. SISTEMA DE GESTIÓN DE CALIDAD, AMBIENTAL Y SEGURIDAD Y SALUD EN EL TRABAJO.</t>
  </si>
  <si>
    <t>5.9.1. DEFENSA JURÍDICA</t>
  </si>
  <si>
    <t>5.9.3. CONTRATACIÓN ESTATAL</t>
  </si>
  <si>
    <t>5.10.1. EFICIENCIA ENERGÉTICA</t>
  </si>
  <si>
    <t>5.10.2. MANTENIMIENTO Y ADQUISICIÓN DE NUEVOS ELEMENTOS</t>
  </si>
  <si>
    <t>5.1. GESTIÓN HUMANA (PERSONAL COMPETENTE PARA LA SOSTENIBILIDAD AMBIENTAL EN EL DEPARTAMENTO)</t>
  </si>
  <si>
    <t>5.2. SEGURIDAD Y SALUD EN EL TRABAJO</t>
  </si>
  <si>
    <t>5.3. TECNOLOGÍA (TECNOLOGIA DE PUNTA PARA LA AUTORIDAD AMBIENTAL)</t>
  </si>
  <si>
    <t>5.4. COMUNICACIONES (FORTALECIMIENTO DE LA PRESENCIA INSTITUCIONAL EN MEDIOS DE COMUNICACIÓN)</t>
  </si>
  <si>
    <t>5.5. BANCO DE PROYECTOS (CREATIVIDAD PARA LA EJECUCION DE PROYECTOS AMBIENTALES)</t>
  </si>
  <si>
    <t xml:space="preserve">5.6. SISTEMAS DE INFORMACIÓN AMBIENTAL </t>
  </si>
  <si>
    <t xml:space="preserve">5.7. SISTEMAS DE GESTIÓN INTEGRADOS </t>
  </si>
  <si>
    <t xml:space="preserve">5.8. GESTIÓN DOCUMENTAL Y ARCHIVO </t>
  </si>
  <si>
    <t>5.9. SOPORTE JURIDICO (UNA ENTIDAD QUE CUIDA SUS RECURSOS)</t>
  </si>
  <si>
    <t>5.10. GESTIÓN DE INFRAESTRUCTURA (CONDICIONES ADECUADAS PARA PRESTAR UN MEJOR SERVICIO)</t>
  </si>
  <si>
    <t>5. SOSTENIBILIDAD INSTITUCIONAL</t>
  </si>
  <si>
    <t>5.2.2. PLAN ESTRATÉGICO DE SEGURIDAD VIAL (PESV)</t>
  </si>
  <si>
    <t>5.9.2.1. Atender las PQRS radicadas en la Entidad.</t>
  </si>
  <si>
    <t>5.9.1.1. Atender los trámites jurídico procesales de la Entidad.</t>
  </si>
  <si>
    <t>3.1. LA EDUCACIÓN AMBIENTAL COMO PROCESO DE TRANSFORMACIÓN CULTURAL PARA LA SOSTENIBILIDAD.</t>
  </si>
  <si>
    <t>3.2. LA PARTICIPACIÓN SOCIAL COMO FUNDAMENTO DE LA GESTIÓN AMBIENTAL TERRITORIAL.</t>
  </si>
  <si>
    <t>3.3. LA DIVERSIDAD ETNOCULTURAL DEL DEPARTAMENTO DEL ATLÁNTICO COMO POTENCIAL ESTRATÉGICO PARA LA SOSTENIBILIDAD AMBIENTAL.</t>
  </si>
  <si>
    <t>3.1.1. FORTALECIMIENTO DE LOS COMITES INTERINSTITUCIONALES DE EDUCACIÓN AMBIENTAL-CIDEA</t>
  </si>
  <si>
    <t>3.1.2. INCLUSIÓN DEL TEMA AMBIENTAL EN LA EDUCACIÓN FORMAL</t>
  </si>
  <si>
    <t>3.1.3. INCLUSIÓN DEL TEMA AMBIENTAL EN LA EDUCACIÓN NO FORMAL.</t>
  </si>
  <si>
    <t>3.1.4. IMPULSO DE LAS ESTRATEGIAS EDUCATIVAS PARA LA CONSTRUCCIÓN DE UNA CULTURA DE PREVENCIÓN Y GESTIÓN DEL RIESGO.</t>
  </si>
  <si>
    <t>3.2.1. ESCUELA DE CAPACITACIÓN AMBIENTAL</t>
  </si>
  <si>
    <t>3.2.2 ORGANIZACIONES SOCIALES AL SERVICIO DEL SEGUIMIENTO Y PROTECCIÓN DEL AMBIENTE</t>
  </si>
  <si>
    <t>3.2.3. COMUNICANDO Y DIFUNDIENDO EL CONOCIMIENTO AMBIENTAL SOBRE EL DEPARTAMENTO DEL ATLÁNTICO</t>
  </si>
  <si>
    <t>3.2.4. PROMOCIONANDO LA PERSPECTIVA DE GÉNERO PARA EL DESARROLLO AMBIENTAL DEL DEPARTAMENTO DEL ATLÁNTICO.</t>
  </si>
  <si>
    <t>3.3.1. APRENDIENDO A CUIDAR EL AMBIENTE DE LA MANO DE NUESTRAS ETNIAS.</t>
  </si>
  <si>
    <t>3.4.1. IMPULSO A LA CREACIÓN Y ORGANIZACIÓN DE LOS COMITÉS MUNICIPALES DEL MEDIO AMBIENTE Y LOS GUARDIANES DEL MEDIO AMBIENTE (GUMA) EN EL DEPARTAMENTO</t>
  </si>
  <si>
    <t>3.4.2. IMPLEMENTAR UN SISTEMA DE SEGUIMIENTO Y MONITOREO A ESCALA COMUNITARIA DE LOS OBJETIVOS DE DESARROLLO SOSTENIBLE-ODS EN EL DEPARTAMENTO DEL ATLÁNTICO</t>
  </si>
  <si>
    <t>3.2.1.2. Implementar jornadas pedagógicas a través de las Aulas Ambientales itinerantes para promover una conciencia y cultura ambiental en las comunidades del departamento.</t>
  </si>
  <si>
    <t>3.1.3.1. Brindar apoyo y acompañamiento a los PROCEDA como motivadores de cultura ambiental ciudadana y promotores de la gestión y la resolución de los conflictos socioambientales a nivel local.</t>
  </si>
  <si>
    <t>3.1.3.2.  Desarrollar un programa de capacitación para formar a jóvenes como gestores ambientales urbanos GAU en el departamento</t>
  </si>
  <si>
    <t>3.1.1.1.  Brindar asistencia técnica a los CIDEA municipales para apoyar la formulación del Plan Municipal de Educación Ambiental PMEA</t>
  </si>
  <si>
    <t>3.1.1.2.  Apoyar dos acciones contempladas en los PMEA del CIDEA en cada uno de los 22 municipios</t>
  </si>
  <si>
    <t>3.1.1.3.  Apoyar la realización de acciones coordinadas y aprobadas por el comité técnico del CIDEA Departamental.</t>
  </si>
  <si>
    <t>3.1.2.1.  Brindar asesoría técnica a los Proyectos Ambientales Escolares (PRAE) y apoyar acciones para su implementación.</t>
  </si>
  <si>
    <t>3.1.2.2.  Impulsar la conformación y/o operatividad de Semilleros de Investigación, Grupos Ecológicos o Clubes de Ciencia y dinamizadores ambientales de los municipios del departamento.</t>
  </si>
  <si>
    <t>3.1.2.3.  Establecer alianzas estratégicas con Instituciones de Educación Superior para apoyar la realización de acciones que promuevan la dimensión ambiental.</t>
  </si>
  <si>
    <t>3.1.2.4.  Promover la investigación en educación ambiental en el departamento en el marco de la política nacional de educación ambiental (PNEA).</t>
  </si>
  <si>
    <t>3.1.4.1.  Posicionar el tema de la prevención y gestión del riesgo del desastre desde una visión educativa integradora en los Consejos Municipales de Gestión del Riesgo-CMGR de los municipios del Atlántico</t>
  </si>
  <si>
    <t>3.1.4.2.  Apoyar a las Instituciones Educativas para la formulación y/o actualización de los Planes Escolares de Gestión del Riesgo-PEGR.</t>
  </si>
  <si>
    <t>3.2.1.1.  Brindar el servicio de talleres de educación en temas ambientales relacionados a: Conservación de la biodiversidad, servicios ecosistémicos, manejo y uso sostenible de los ecosistemas marino-costeros, gestión del cambio climático, contaminación de suelo, agua y aire, gestión integral de residuos y Economía Circular, contaminación con metales pesados (mercurio), salud ambiental (COTSA), normatividad ambiental.</t>
  </si>
  <si>
    <t>3.2.2.1.  Apoyar las iniciativas de las ONG´s ambientalistas que coadyuve a gestión ambiental de la Corporación CRA en los municipios del Departamento.</t>
  </si>
  <si>
    <t>3.2.2.2.  Apoyo a proyectos productivos para la seguridad alimentaria de las comunidades de pescadores y agricultores del departamento.</t>
  </si>
  <si>
    <t>3.4.1.1.  Crear los comités municipales de guardianes del medio ambiente -GUMA para apoyar la gestión ambiental de la CRA</t>
  </si>
  <si>
    <t>3.4.2.1.  Elaborar una matriz para realizar el seguimiento a los indicadores sociales, económicos y ambientales articulados a los ODS en los municipios del departamento del atlántico.</t>
  </si>
  <si>
    <t xml:space="preserve">3.2.3.1.  Optimizar el servicio de divulgación de la información que genera la Corporación sobre las iniciativas en las temáticas de educación ambiental y participación y los temas ambientales en general. </t>
  </si>
  <si>
    <t>3.2.3.2.  Desarrollar jornadas anuales, a nivel departamental, de recolección de residuos posconsumo peligrosos, especiales y RAEE (envases y bolsas de agroquímicos, medicamentos vencidos, baterías usadas plomo ácido, bombillas, pilas, computadores y llantas usadas).</t>
  </si>
  <si>
    <t>3.2.3.3.  Promover la utilización de las TICs, a través de la implementación de proyectos virtuales de educación ambiental en busca de innovación, agilidad y cobertura en el acceso a la información y la construcción de conocimiento ambiental.</t>
  </si>
  <si>
    <t>3.2.3.4.  Promocionar escenarios de divulgación e intercambio de conocimientos e iniciativas innovadoras en el marco de la educación ambiental, a nivel regional, nacional e internacional.</t>
  </si>
  <si>
    <t>1.1.1.5. Implementar el Plan de Ordenación y Manejo de Cuencas Hidrográficas del Canal del Dique.</t>
  </si>
  <si>
    <t>1.1.1.6. Formular el Plan de Manejo de la Ciénaga de Mallorquín (delimitación y zonificación del humedal a escala 1:25.000), el cual hace parte de sitio RAMSAR Sistema Delta Estuario Ciénaga Grande de Santa Marta.</t>
  </si>
  <si>
    <t>1.1.1.7. Formular el Plan de Manejo de Acuífero de Sabanalarga - Tubará de acuerdo a la priorización definida en los criterios del Decreto 1640 de 2012.</t>
  </si>
  <si>
    <t>1.1.1.8. Actualizar el índice del Uso de Agua para el Departamento del Atlántico, ya que éste fue construido en el año 2013.</t>
  </si>
  <si>
    <t xml:space="preserve">1.1.1.9. Elaborar una Resolución de Priorización de los cuerpos de agua que requieren ser acotados en el departamento. </t>
  </si>
  <si>
    <t>1.1.1.10. Realizar estudios de Rondas Hídricas de los cuerpos de agua priorizados en el departamento (Malambo y Bahía).</t>
  </si>
  <si>
    <t>1.1.1.11. Elaborar Planes de Ordenamiento del Recurso Hídrico en las Ciénagas Priorizadas del Departamento (Sabanagrande, Santo Tomas, Palmar de Varela, Canal del Dique y Malambo).</t>
  </si>
  <si>
    <t>1.1.1.12. Implementar los Planes de Ordenamiento del Recurso Hídrico que se encuentra elaborados en el departamento (Embalse del Guájaro, la ciénaga de  Luruaco y la ciénaga de Mallorquín).</t>
  </si>
  <si>
    <t xml:space="preserve">2.1.1.5 Implementar un programa de conservación de suelos y promoción de sistemas sostenibles de producción </t>
  </si>
  <si>
    <t>2.1.2.2. Implementar medidas de prevención, control y manejo de las principales especies invasoras del departamento</t>
  </si>
  <si>
    <t>3.4. PARTICIPACIÓN PARA EL SEGUIMIENTOS ODS MUNICIPALES DEL COMPENENTE AMBIENTAL</t>
  </si>
  <si>
    <t xml:space="preserve">5.6.1.4. Implementar Software de soporte para PQRS </t>
  </si>
  <si>
    <t>TOTAL</t>
  </si>
  <si>
    <t>METAS FÍSICAS</t>
  </si>
  <si>
    <t>PESO % POR ACCIÓN ESTRATÉGICA</t>
  </si>
  <si>
    <t>META</t>
  </si>
  <si>
    <t>INDICADOR DE MEDICIÓN</t>
  </si>
  <si>
    <t xml:space="preserve">Un (1) estudio de fortalecimiento Institucional realizado </t>
  </si>
  <si>
    <t xml:space="preserve">No. de estudios realizados </t>
  </si>
  <si>
    <t>Realizar quince (15)  reuniones de Juntas Directivas del Sindicato</t>
  </si>
  <si>
    <t>Numero de actividades desarrolladas por el grupo de funcionarios que pertenecen al sindicato/actividades planeadas</t>
  </si>
  <si>
    <t>Ejecutar anualmente el Plan de Capacitación y Bienestar Social elaborado y ejecutado año a año</t>
  </si>
  <si>
    <t>Porcentaje de Funcionarios de planta capacitados</t>
  </si>
  <si>
    <t>Un (1) informe anual con una calificación superior a 90 sobre 100 demostrando la continuidad y mejoramiento del SG-SST en cumplimiento de la resolución 312 de 2019 y el decreto 1072 de 2015.</t>
  </si>
  <si>
    <t xml:space="preserve">
Numero de Informes (anuales)</t>
  </si>
  <si>
    <t>Numero de Documentos</t>
  </si>
  <si>
    <t>Dos  (2) informes de ejecución de las actividades de medicina preventiva y del trabajo, promoción y prevención y programas de vigilancia epidemiológica ( steomuscular,Biologico, Psicosocial, Prevención consumo de sustancias psicoactivas,  Estilos de vida y Hábitos saludables),</t>
  </si>
  <si>
    <t>No. de Informes de ejecución de actividades</t>
  </si>
  <si>
    <t xml:space="preserve">No. de reportes de Información </t>
  </si>
  <si>
    <t>Un (1) reporte anual con el suministro a los funcionarios y trabajadores en misión, de los elementos de protección personal y colectiva que se requieren para el desarrollo de una labor segura, incluyendo a los brigadista y aquellos elementos de protección frente a brotes pandémicos generadores de emergencias económicas, sociales y ecológicas</t>
  </si>
  <si>
    <t xml:space="preserve">No. de reportes anuales </t>
  </si>
  <si>
    <t>Dos (2) estudios con  mediciones ambientales de iluminación, ruido, agentes biológicos, químicos y demás establecidos en la matriz de peligros y riesgos</t>
  </si>
  <si>
    <t>Realizar una capacitación anual  de trabajo en alturas a funcionarios y contratistas de la Corporación para la mejora de la gestión del riesgo de seguridad y salud</t>
  </si>
  <si>
    <t>No. de capacitaciones realizadas</t>
  </si>
  <si>
    <t xml:space="preserve">Informe anual con una valoración mínima de 90 sobre 100 puntos </t>
  </si>
  <si>
    <t xml:space="preserve">No. de informes con resultado proyectado </t>
  </si>
  <si>
    <t xml:space="preserve">Un (1) Plan formulado </t>
  </si>
  <si>
    <t xml:space="preserve">No. de Planes Formulados </t>
  </si>
  <si>
    <t>Divulgación y ejecución del 100% del Plan de Comunicaciones del PETI</t>
  </si>
  <si>
    <t>Porcentaje de divulgación y ejecución</t>
  </si>
  <si>
    <t>Un (1) sistema de seguridad de la información según la norma ISO 27001 diseñado e implementado</t>
  </si>
  <si>
    <t>Sistema de gestión implementado</t>
  </si>
  <si>
    <t>Reemplazo del 100% de los equipos de computo obsoletos y 100% de mantenimiento y soporte de los equipos, periféricos y sistemas eléctricos funcionales</t>
  </si>
  <si>
    <t xml:space="preserve">Porcentaje de equipos reemplazados y mantenidos </t>
  </si>
  <si>
    <t>Al menos un 90% de la Red de voz y datos corporativos y  servidores virtualizados implementados</t>
  </si>
  <si>
    <t xml:space="preserve">Porcentaje de implementación de servicios tecnológicos </t>
  </si>
  <si>
    <t>100% de actualización del software base de la Corporación (Antivirus, backup, office, máquinas virtuales, sistemas operativos, bases de datos, seguridad informática, entre otros).</t>
  </si>
  <si>
    <t xml:space="preserve">Porcentaje de actualización de software </t>
  </si>
  <si>
    <t>Dos (2) servicios tecnológicos implementados para las actividades internas y externas de la entidad</t>
  </si>
  <si>
    <t>número de servicios  tecnológicos implementados </t>
  </si>
  <si>
    <t>Al menos veinte (20) estrategias  de comunicación, mostrando, entre otros aspectos, los proyectos ejecutados por la entidad</t>
  </si>
  <si>
    <t>No. Estrategias de Comunicación para el fortalecimiento de la imagen institucional</t>
  </si>
  <si>
    <t>Aumentar en un 10%  nuevos seguidores en los diferentes canales virtuales</t>
  </si>
  <si>
    <t>Al menos dieciocho (18) campañas institucionales en medios de comunicación tradicionales y nuevas tecnologías</t>
  </si>
  <si>
    <t>No. de campañas institucionales impulsadas</t>
  </si>
  <si>
    <t>Al menos cinco mil (5000) interacciones de los habitantes del departamento del atlántico con la entidad</t>
  </si>
  <si>
    <t>No. de interacciones con la comunidad a través de redes sociales</t>
  </si>
  <si>
    <t xml:space="preserve">Dos (2)  Proyectos financiados con recursos nacionales o internacionales  </t>
  </si>
  <si>
    <t xml:space="preserve">Número de proyectos con financiación nacional o internacional </t>
  </si>
  <si>
    <t>revisar el 100% de proyectos radicados</t>
  </si>
  <si>
    <t>Porcentaje de proyectos revisados con relación a los radicados</t>
  </si>
  <si>
    <t>Una (1) herramienta para hacer seguimiento a la planeación y administración de los proyectos radicados y generados en la entidad</t>
  </si>
  <si>
    <t xml:space="preserve">Número de herramientas desarrolladas para seguimiento </t>
  </si>
  <si>
    <t xml:space="preserve">100% del Software  para el desarrollo de las actividades misionales y administrativas de la entidad renovado y licenciado </t>
  </si>
  <si>
    <t xml:space="preserve"> % de Renovación y Licenciamiento de Software</t>
  </si>
  <si>
    <t>100% de mantenimiento a las pagina web / intranet y subportales que posee la entidad, así como la inclusión web para minorías de usuarios (Implementación plan de mejoramiento)  y Datos Abiertos (Implementación plan de mejoramiento)</t>
  </si>
  <si>
    <t xml:space="preserve">% de mantenimiento </t>
  </si>
  <si>
    <t xml:space="preserve">Adquirir un (1)  del software de la  Oficina Jurídica </t>
  </si>
  <si>
    <t>(Numero de software adquiridos y/o desarrollados / Numero de software necesario para la gestión institucional)*100))</t>
  </si>
  <si>
    <t xml:space="preserve">Implementación del software para PQRS 
</t>
  </si>
  <si>
    <t>Realizar Un (1) documento Política de Seguridad y Manejo de la Informacion y Marco de Interoperabilidad formulado e implementado</t>
  </si>
  <si>
    <t>Documento de Política Formulado e implementado</t>
  </si>
  <si>
    <t xml:space="preserve">100% de Implementación y mantenimiento de una herramienta de gestion para el fortalecimiento del sistema de información geografico de la entidad </t>
  </si>
  <si>
    <t xml:space="preserve">% de implementación y mantenimiento de la herramienta </t>
  </si>
  <si>
    <t xml:space="preserve">100% de cumplimiento en la actualización y reporte de la información en el SIAC </t>
  </si>
  <si>
    <t>Porcentaje de actualización y reporte de la información en el SIAC (Resolución 667 de 2016)</t>
  </si>
  <si>
    <t>Realizar cuatro (4)  auditoría interna  con su respectiva metodología aplicada</t>
  </si>
  <si>
    <t>Numero de Auditorias internas realizadas al sistema de gestión integrado</t>
  </si>
  <si>
    <t>Garantizar Un (1) Sistema de Gestión Certificado según NTC ISO 9001:2015 (Sistema de Gestión de la Calidad)</t>
  </si>
  <si>
    <t>Número de Sistemas de Gestión certificados y mantenidos</t>
  </si>
  <si>
    <t>Un (1) Sistema de Gestión Implementado según NTC 45001:2018 (Sistema de Gestión de la Seguridad y Salud en el Trabajo)</t>
  </si>
  <si>
    <t>No. de sistemas implementados  según NTC 45001:2018 (Sistema de Gestión de la Seguridad y Salud en el Trabajo)</t>
  </si>
  <si>
    <t>Un (1) Sistema de Gestión Implementado según NTC ISO 14001:2015 (Sistema de Gestión Ambiental )</t>
  </si>
  <si>
    <t>No. de sistemas implementados egún NTC ISO 14001:2015 (Sistema de Gestión Ambiental )</t>
  </si>
  <si>
    <t xml:space="preserve">Una (1)  Norma Implementada para la calibración de  equipos </t>
  </si>
  <si>
    <t xml:space="preserve">Norma ISO Implementada </t>
  </si>
  <si>
    <t xml:space="preserve">Un (1) Modelo Integrado de Planeación y Gestión - MIPG implementado </t>
  </si>
  <si>
    <t xml:space="preserve">No. de modelos implementados </t>
  </si>
  <si>
    <t xml:space="preserve">Al menos un setenta (70% ) de documentos custodiados en condiciones de espacio y  medioambientales adecuadas </t>
  </si>
  <si>
    <t xml:space="preserve"> Porcentaje de Documentos custodiados (correspondientes al archivo central)
</t>
  </si>
  <si>
    <t>Al menos el 70% de la documentación misional y estratégica digitalizada y certificada para  fines probatorios</t>
  </si>
  <si>
    <t xml:space="preserve">Porcentaje de documentos digitalizados (correspondientes a áreas misionales y estratégicas) </t>
  </si>
  <si>
    <t>Elaboración del instrumento archivístico y/o de gestión, tabla de control de acceso a la información</t>
  </si>
  <si>
    <t xml:space="preserve">
Número de Instrumentos archivísticos creados.
</t>
  </si>
  <si>
    <t>Actualización en el periodo del plan de acción de al menos 8 instrumentos archivísticos y/o de gestión (pinar, pgd, tabla de retención documental, cuadro de clasificación documental, inventarios documentales, banco terminológico, sic y la política de gestión documental)</t>
  </si>
  <si>
    <t>Número de Instrumentos archivísticos actualizados.</t>
  </si>
  <si>
    <t>Gestionar el total de los siete archivos de gestión de la entidad de acuerdo a necesidades</t>
  </si>
  <si>
    <t>Número de Archivos Gestionados.</t>
  </si>
  <si>
    <t>Adelantar el Proceso de revisión y actualización de saneamiento de expedientes</t>
  </si>
  <si>
    <t>% de expedientes con saneamiento</t>
  </si>
  <si>
    <t xml:space="preserve">Atender el 100% de los trámites jurídico procesales </t>
  </si>
  <si>
    <t>Porcentaje de atención de  trámites procesales</t>
  </si>
  <si>
    <t>Una (1)  políticas de prevención de daño antijurídico formulada e implementada</t>
  </si>
  <si>
    <t>Implementación y Formulación de las políticas de prevención de daño antijurídico.</t>
  </si>
  <si>
    <t>100% de PQRS atendidas</t>
  </si>
  <si>
    <t>Porcentaje de Atención de las PQRS</t>
  </si>
  <si>
    <t xml:space="preserve">100% de Atención a trámites procesales contractuales requeridos por la Dirección de la entidad </t>
  </si>
  <si>
    <t>Porcentaje de Atención a las necesidades contractuales de cada dependencia.</t>
  </si>
  <si>
    <t>Realizar  dos (2) auditorías energéticas a las edificaciones de la CRA, con el fin de caracterizar los usos finales y consumo de energía, para diseñar, formular y programar la contratación y ejecución de programas de eficiencia energética resultado de las auditorias</t>
  </si>
  <si>
    <t>Numero de auditorias realizadas</t>
  </si>
  <si>
    <t>100% de la infraestructura de la entidad funcional , a través del mantenimiento o reposición (Mobiliarios, aires acondicionados, vehículos, equipos de medición, subestación eléctrica, motobombas, extintores, entre otros).</t>
  </si>
  <si>
    <t xml:space="preserve">100% de mantenimiento a infraestructura </t>
  </si>
  <si>
    <t>100 de mantenimiento (bienes inmuebles) de la sede principal y otras sedes de la corporación</t>
  </si>
  <si>
    <t xml:space="preserve">100% de mantenimiento a inmuebles </t>
  </si>
  <si>
    <t>Disponer de cuatro vehículos para las áreas misionales y administrativas de la entidad.</t>
  </si>
  <si>
    <t>Número de  vehículos disponibles  para las áreas estratégicas, misionales y de apoyo en la entidad.</t>
  </si>
  <si>
    <t>Un (1) documento que establezca las acciones realizadas en marco de la ordenación de la cuenca del Mar Caribe</t>
  </si>
  <si>
    <t>Número de documentos que consolide las acciones realizadas en marco de la ordenación de la cuenca del Mar Caribe</t>
  </si>
  <si>
    <t>Número  de POMCAS Adoptados bajo el Marco Normativo del 1076 del 2015</t>
  </si>
  <si>
    <t>Cuarenta por ciento (40% ) del POMCA Mallorquín Implementado</t>
  </si>
  <si>
    <t>% de avance en la implementación del POMCA Mallorquín Adoptado bajo el marco Normativo del 1076 del 2015</t>
  </si>
  <si>
    <t>Treinta por ciento (30%) del POMCA Rio Magdalena implementado bajo el marco Normativo del 1076 del 2015.</t>
  </si>
  <si>
    <t>% de avance en la implementación del POMCA Rio Magdalena Adoptado bajo el marco Normativo del 1076 del 2015</t>
  </si>
  <si>
    <t>Treinta por ciento (30%) el POMCA Canal del Dique (Atlántico ) implementado bajo el marco Normativo del 1076 del 2015.</t>
  </si>
  <si>
    <t>% de avance de la meta anual de implementación del POMCA Canal del Dique Adoptado bajo el marco Normativo del 1076 del 2015</t>
  </si>
  <si>
    <t xml:space="preserve">Un( 1) Plan de manejo de Humedales (Delimitación y Zonificación del humedal a escala 1:25.000 formulado </t>
  </si>
  <si>
    <t>Número de documentos con el Plan de Manejo de humedales formulado.</t>
  </si>
  <si>
    <t xml:space="preserve">Un (1) Plan de Manejo para un sistema de  acuífero formulado </t>
  </si>
  <si>
    <t>Número de Planes de Manejo de Acuífero.</t>
  </si>
  <si>
    <t xml:space="preserve">Un (1) documento técnico que contenga la actualización del índice de uso de agua formulado </t>
  </si>
  <si>
    <t>Número de Documentos técnicos que contenga la actualización del índice de uso de agua</t>
  </si>
  <si>
    <t>Una  (1) Resolución de priorización de cuerpos de agua que van hacer acotadas su Rondas Hídricas elaborada y adoptada</t>
  </si>
  <si>
    <t>Número de Documentos técnicos que contenga la priorización de cuerpos de agua que van hacer acotada su ronda</t>
  </si>
  <si>
    <t>Dos (2) documentos que contengan el acotamiento de ronda hídrica de los cuerpos de agua priorizados realizados</t>
  </si>
  <si>
    <t>Número de documentos técnicos  con los acotamiento de ronda hídrica definidas.</t>
  </si>
  <si>
    <t>Cinco (5) Planes de Ordenamiento del Recurso Hídrico de acuerdo a priorización de la CRA formulados</t>
  </si>
  <si>
    <t>Número de Documentos técnicos que contenga Planes de ordenamiento del recurso hídrico formulados</t>
  </si>
  <si>
    <t>Implementar siete (7) Planes de Ordenamiento del recurso hídrico.</t>
  </si>
  <si>
    <t>Número de Planes de ordenamiento del recurso Hídrico Implementados</t>
  </si>
  <si>
    <t xml:space="preserve">Un (1) Equipo de Trabajo fortalecido conformado anualmente  </t>
  </si>
  <si>
    <t>Número de equipo Conformado anualmente</t>
  </si>
  <si>
    <t>Cuatro (4) Consejo de cuencas conformados y activos bajo el marco Normativo 1076 del 2015</t>
  </si>
  <si>
    <t>Número  de Consejos de Cuenca conformados y en actividad</t>
  </si>
  <si>
    <t xml:space="preserve">Un (1) mantenimiento anual a las compuertas Villa Rosa y el Porvenir realizado </t>
  </si>
  <si>
    <t>Número de mantenimiento anual a las compuertas Villa Rosa y el Porvenir</t>
  </si>
  <si>
    <t>Un (1) repoblamientos anual de recuperación de poblaciones naturales de especies nativas asociadas al recurso hidrobiológico realizado (bocachico, lisa y lebranche)</t>
  </si>
  <si>
    <t>Número de Repoblamientos anuales para la recupoeración de especies nativas asociadas al recurso hídrico en los humedales</t>
  </si>
  <si>
    <t>Ochenta (80%) de los usuarios registrado en la CRA con planes de ahorro y uso eficiente del agua.</t>
  </si>
  <si>
    <t>% de usuarios del recurso Hídrico con planes de ahorro y uso eficiente del agua.</t>
  </si>
  <si>
    <t>Cien (100%) de los usuarios del recurso hídrico con seguimiento al cumplimiento de los planes de ahorro y uso eficiente del agua</t>
  </si>
  <si>
    <t>% de usuarios del recurso Hídrico con seguimiento anual</t>
  </si>
  <si>
    <t>Dos (2) proyectos para las zonas priorizadas como zonas abastecedora de recurso Hídrico elaborados e implementados</t>
  </si>
  <si>
    <t>Número de proyectos elaborados e implementados para las zonas priorizadas como zonas abastecedora de recurso Hídrico.</t>
  </si>
  <si>
    <t>Tener inventariado el cien por ciento (100%) de los permisos otorgados por la CRA reportados al Sistema de Información del Recurso Hídrico.</t>
  </si>
  <si>
    <t>% de usuarios reportados en el SIRH, producto del inventario de usuarios registrados en la CRA</t>
  </si>
  <si>
    <t>Un  (1) monitoreo anual de la calidad fisicoquímica, microbiológica e hidrobiológica  a las aguas Continentales.</t>
  </si>
  <si>
    <t>Monitoreo anual de la calidad fisicoquímica, microbiológica e hidrobiológica  a las aguas Continentales del departamento</t>
  </si>
  <si>
    <t>Un (1) monitoreo anual de la calidad fisicoquímica, microbiológica a las aguas Marinas.</t>
  </si>
  <si>
    <t>Monitoreo anual de la calidad fisicoquímica, microbiológica a las aguas Marinas.</t>
  </si>
  <si>
    <t>Un (1) Documento con objetivos de calidad hídrica para los cuerpos de agua del Atlántico</t>
  </si>
  <si>
    <t>Documento con el estado de los cuerpos de agua/objetivos de calidad hídrica en el departamento</t>
  </si>
  <si>
    <t>Seguimiento anual a las metas de carga contaminantes</t>
  </si>
  <si>
    <t>Un (1) Inventario georreferenciado de corregimientos que carecen de saneamiento básico.</t>
  </si>
  <si>
    <t>Inventario georreferenciado de corregimientos que carecen de saneamiento básico en el departamento</t>
  </si>
  <si>
    <t>Un (1) Informe anual de seguimiento a los corregimientos que carecen de saneamiento básico.</t>
  </si>
  <si>
    <t>Informe Técnico anual de seguimiento a los corregimientos que carecen de saneamiento básico.</t>
  </si>
  <si>
    <t>Seguimiento anual a las obras de saneamiento ambiental (Planta de tratamiento de aguas residuales) para verificar el cumplimiento de las actividades priorizadas en los PSMV.</t>
  </si>
  <si>
    <t>Cuatro (4) Municipios con apoyo en la implementación de los Planes de Saneamientos de manejo de vertimientos-PSMV</t>
  </si>
  <si>
    <t>Municipios con reducción de los aportes de  contaminantes puntuales a los cuerpos de agua de acuerdo con la implementación de los PSMV</t>
  </si>
  <si>
    <t xml:space="preserve">Cuatro (4) proyectos del Plan Departamental de Agua con apoyo en la implementación de la Planta de tratamiento de aguas residuales-PTARS. </t>
  </si>
  <si>
    <t>Número de proyectos con apoyo en la implemenatción de PTARS</t>
  </si>
  <si>
    <t>Un (1) documento de identificación de la vulnerabilidad de los ecosistemas claves y la infraestructura de abastecimiento de agua elaborado</t>
  </si>
  <si>
    <t xml:space="preserve">Documento técnico con la identificación de ecosistemas claves e inventario de los riesgos sobre infraestructuras de abastecimiento de agua  </t>
  </si>
  <si>
    <t>Número de proyectos de mitigación y adaptación de gestión del riesgo asociado a recurso Hídrico</t>
  </si>
  <si>
    <t>Construcción y canalización de 796 M/L del arroyo El Salao en el municipio de Soledad</t>
  </si>
  <si>
    <t>Metros lineales construidos y canalizados para la recuperación paisajística y ambiental del arroyo</t>
  </si>
  <si>
    <t>Un (1) Informe anual de seguimiento a las Condiciones ambientales del Arroyo Salao</t>
  </si>
  <si>
    <t xml:space="preserve">Documento Técnico de Seguimiento Anual de la recuperación paisajística y ambiental del arroyo </t>
  </si>
  <si>
    <t xml:space="preserve">Un (1) Informe anual de seguimiento a las Obras de canalización de los Arroyos del Distrito de Barranquilla. </t>
  </si>
  <si>
    <t xml:space="preserve">Informe Técnico con el seguimiento  a las obras de canalización de  los arroyos del Distrito de Barranquilla </t>
  </si>
  <si>
    <t xml:space="preserve">Número de hectáreas en restauración, rehabilitación y reforestación
</t>
  </si>
  <si>
    <t xml:space="preserve">Número de Plantulas de maderables y frutales  producidas
</t>
  </si>
  <si>
    <t xml:space="preserve">Número de Municipios y/o  sectores con estrategias de reconversión hacia sistemas sostenibles de producción implementados
</t>
  </si>
  <si>
    <t>Implementar dos (2) de medidas de adaptación al cambio climatico basadas en la conservación de ecosistemas y enfocadas a la reconversión hacia sistemas sostenibles de producción en los Municipios de Santa Lucia, Candelaria  y Juan de Acosta.</t>
  </si>
  <si>
    <t>Número de Medidas de adaptación al cambio climático implementadas</t>
  </si>
  <si>
    <t>100 Hectareas de suelos degradaddos en recuperación o rehabilitación bajo sistemas sostenibles de conservación en el sur del Atlántico: Manati, Suan y Campo de la Cruz (municipios con mayor area de degradación de suelos por erosión servera y moderada, IDEAM, 2011)</t>
  </si>
  <si>
    <t>Número de Hectáreas  de suelos degradados en recuperación o rehabilitación</t>
  </si>
  <si>
    <t>Un (1) Documento que presente el diagnóstico de las especies invasoras del departamento incluyendo el diseñó una estrategia regional para el control de especies invasoras, exóticas y trasplantadas</t>
  </si>
  <si>
    <t>Número de Documentos Diagnóstico realizados</t>
  </si>
  <si>
    <t xml:space="preserve">Seis (6) especies invasoras con medidas de prevención, control y manejo en ejecución </t>
  </si>
  <si>
    <t>Número de especies invasoras con medidas de prevención, control y manejo en ejecución</t>
  </si>
  <si>
    <t>Implemetar cuatro (4) proyectos comunitarios de conservación y uso sostenbible de especies priorizadas para el departamento en los municipios de Baranoa, Ponedera, Galapa y Palmar de Varela</t>
  </si>
  <si>
    <t xml:space="preserve">Número de Proyectos comunitarios implementados </t>
  </si>
  <si>
    <t>Un (1) inventario de Fauna y Flora Silvestre actualizado</t>
  </si>
  <si>
    <t>Número de Inventarios realizados</t>
  </si>
  <si>
    <t xml:space="preserve"> 6 medidas de conservación y manejo en ejecución para especies amenazdas  con especial enfasis en siete (7) municipios del departamento:  Sabanagrande, Sabanlarga, Palmar de Varela, Suan, Campo de la Cruz, Galapa y Manati.</t>
  </si>
  <si>
    <t>Número de Municipios intervenidos para las 6 medidas de conservaciòn de especies amanazadas</t>
  </si>
  <si>
    <t>Adoptar el POMIUAC, según lo establecido por la Comisión Conjunta de la  UAC, y a su vez desarrollar tres acciones de manejo de la Unidad Ambiental Costera.</t>
  </si>
  <si>
    <t>Número de acciones de manejo de la Unidad Ambiental Costera</t>
  </si>
  <si>
    <t>Cuatro (4) Playas con estrategia de manejo sostenible (Municipios de Puerto Colombia, Tubará, Piojó y Juan de Acosta)</t>
  </si>
  <si>
    <t>Número de playas con estrategias de manejo sostenible implementadas</t>
  </si>
  <si>
    <t>Desarrollar tres (3) acciones para controlar y mitigar el estado de la erosión costera en el departamento del Atlántico.
Al menos 3 acciones para evaluar, controlar y mitigar el estado de la erosión costera son implementadas</t>
  </si>
  <si>
    <t xml:space="preserve">Número de Acciones Implementadas </t>
  </si>
  <si>
    <t xml:space="preserve">Cuatro (4)  Programas de educación ejecutados en los municipios de: Puerto Colombia, Juan de Acosta, Tubará y Piojó </t>
  </si>
  <si>
    <t>Número de programas de Educativos dirigidos a la Conservación de la Biodiversidad Marino-Costera ejecutados</t>
  </si>
  <si>
    <t>Operatividad de las estaciones de monitoreo, con el fin de obtener datos sobr el estado de las agua marinos costeras, encaminada a su conservación y protección, así mismo como apoyo a la gestión del riesgo de la zona.</t>
  </si>
  <si>
    <t xml:space="preserve">Número de mantenimientos realizados a la Red de Monitoreo formulada, implementada y con seguimiento 
</t>
  </si>
  <si>
    <t>Tres (3) Planes de Manejo Ambiental actualizados para PNR Los Rosales, PMA DRMI Luriza Y PMA RFP  El Palomar</t>
  </si>
  <si>
    <t xml:space="preserve">Número de Planes de Manejo Actualizados </t>
  </si>
  <si>
    <t>Desarrollar tres (3) acciones en los municipios con presencia de las áreas protegidas para facilitar la implementación de los planes de manejo y promover su conservación</t>
  </si>
  <si>
    <t>Nùmero de Acciones realizadas en el cumplimiento de los planes de manejo de las áreas protegidas</t>
  </si>
  <si>
    <t>Doscientas (200) Hectáreas en proceso de restauración para mejorar la conservación y conectividad de las áreas protegidas</t>
  </si>
  <si>
    <t>Número de hectáreas en proceso de restauración para  conservación de áreas protegidas</t>
  </si>
  <si>
    <t>Cien( 100) Hectáreas adquiridas por la CRA al interior de las áreas protegidas</t>
  </si>
  <si>
    <t xml:space="preserve">Números de hectáreas adquiridas al interior de las áreas protegidas  </t>
  </si>
  <si>
    <t xml:space="preserve">Declarar mil quinientas (1500) hectáreas como nuevas áreas protegidas en el Atlántico y registrarlas en el RUNAP </t>
  </si>
  <si>
    <t>Número de hectáreas protegidas regionales declaradas, homologadas o recategorizadas, inscritas en el RUNAP</t>
  </si>
  <si>
    <t>Cuatro (4) programas  de asistencia técnica educativo-ambiental formulados y ejecutados en comundiades de: Piojó, Luruaco, Usiacurí y Repelón</t>
  </si>
  <si>
    <t>Número de programas formulados y ejecutados en la conservación de las áreas protegidas</t>
  </si>
  <si>
    <t>Cuatro (4) fuentes hdricas intervenidas para su adecuación y buen manejo ubicadas en los municipios (Piojó, Repelón, Luruaco y Usiacurí), acorde con las acciones planteadas en los planes de manejo</t>
  </si>
  <si>
    <t xml:space="preserve"> Número de fuentes hídricas intervenidas </t>
  </si>
  <si>
    <t>Desarrollar cuatro (4)  estrategias dirigidas a los propietarios de predios ubicados en las áreas protegidas (Luruaco, Piojó, Repelón y Usiacurí)</t>
  </si>
  <si>
    <t xml:space="preserve">Número de Estrategias desarrolladas </t>
  </si>
  <si>
    <t>Dos (2) Proyectos Ecoturísticos formulados e implementados como alternativa sostenible en las áreas protegidas y sus zonas aledañas</t>
  </si>
  <si>
    <t xml:space="preserve">Número de proyectos formulados e implemetados </t>
  </si>
  <si>
    <t>Dos  (2) estudios y sus acciones implementadas para amortiguar o evitar el impacto causado por sus visitantes, en el área protegida DRMI Banco Totumo Bijibana y DRMI Palmar del Tití</t>
  </si>
  <si>
    <t xml:space="preserve">Número de estudios realizados </t>
  </si>
  <si>
    <t>Implementar  (4)  protocolos para la atención de incendios en cobertura vegetal en áreas protegidas del departamento.</t>
  </si>
  <si>
    <t>Número de protocolos implementados</t>
  </si>
  <si>
    <t xml:space="preserve">Actualización de la Ventanilla Nodo de Negocios Verdes </t>
  </si>
  <si>
    <t>Nùmero de ventanillas actualizada</t>
  </si>
  <si>
    <t xml:space="preserve">Nùmero de negocios verdes consolidados </t>
  </si>
  <si>
    <t xml:space="preserve">Llevar a cabo dos (2) ferias de Mercados Verdes </t>
  </si>
  <si>
    <t xml:space="preserve">Número de Ferias realizadas </t>
  </si>
  <si>
    <t>Dos (02) convenios que fortalezcan la asistencia técnica en Marketing</t>
  </si>
  <si>
    <t xml:space="preserve">Nùmero de convenios establecidos </t>
  </si>
  <si>
    <t>Estructurar e implementar el Programa Bolsa Verde en los municipios de Tubará y/o Baranoa bajo diferentes instrumentos como declaratoria de áreas protegidas públicas y acuerdos de conservación - producción</t>
  </si>
  <si>
    <t>Seguimiento anual a la implementación del Programa Bolsa Verde</t>
  </si>
  <si>
    <t>150 Hectareas de ecosistemas en zonas secas en restauración ecologica, rehabilitación y recuperación comunitaria en los municipios con alto porcentaje de desertificación y sequia y alto porcentaje de área con acciones de restauración (Ponedera, Sabanalarga,, Repelón - CRA y 4D, 2018 e IDEAM, 2010)</t>
  </si>
  <si>
    <t>4  sectores y/o Municipios, en las cuencas que concentran la mayor tasa de deforestación, implementando estrategias para incentivar modelos agroambientales y alternativas de eficiencia energetica (Ponedera, Manati, Piojó y Tubará).</t>
  </si>
  <si>
    <t xml:space="preserve">150.000 plántulas  de maderables y frutales. </t>
  </si>
  <si>
    <t xml:space="preserve">22 PMEA formulados </t>
  </si>
  <si>
    <t>Número de PMEA formulados</t>
  </si>
  <si>
    <t xml:space="preserve">44 acciones apoyadas y ejecutadas de los 22 PMEA del CIDEA en los municipios del departamento </t>
  </si>
  <si>
    <t xml:space="preserve">Números de acciones ejecutadas en CIDEAS municipales </t>
  </si>
  <si>
    <t xml:space="preserve">Apoyar cuatro (4) acciones del CIDEA Departamental. </t>
  </si>
  <si>
    <t>Número de acciones apoyadas del CIDEA departamental.</t>
  </si>
  <si>
    <t>Asistir técnicamente a los 132 PRAE y apoyar algunas acciones para su implementación en las instituciones educativas del departamento.</t>
  </si>
  <si>
    <t>Números de Proyectos Ambientales Escolares asesorados técnicamente y apoyados en su implementación</t>
  </si>
  <si>
    <t>Fortalecer cincuenta (50) Semilleros de Investigación, Grupos Ecológicos o Clubes de Ciencia y dinamizadores ambientales en los municipios del departamento.</t>
  </si>
  <si>
    <t>Número de Semilleros de Investigación, Grupos Ecológicos o Clubes de Ciencia y dinamizadores ambientales</t>
  </si>
  <si>
    <t xml:space="preserve">Apoyar la realización de cuatro (4) acciones para promover la dimensión ambiental en alianza con las Instituciones de Educación Superior. </t>
  </si>
  <si>
    <t>Número de acciones que promueven la dimensión ambiental con las IES</t>
  </si>
  <si>
    <t>Desarrollar una (1) investigación para conocer el estado del arte de la educación ambiental en el departamento del atlántico.</t>
  </si>
  <si>
    <t>Documento con el estado del arte de la educación ambiental en el departamento</t>
  </si>
  <si>
    <t>Una (1) publicación con los resultados de la investigación</t>
  </si>
  <si>
    <t>Número publicaciones del estado del arte de la educación ambiental</t>
  </si>
  <si>
    <t>Apoyar y/o implementar treinta y tres (33) Proyectos Ciudadanos de Educación Ambiental en el departamento.</t>
  </si>
  <si>
    <t>Número de PROCEDA apoyados y/o implementados.</t>
  </si>
  <si>
    <t xml:space="preserve">Formar 330 jóvenes como gestores ambientales urbanos en el departamento   </t>
  </si>
  <si>
    <t xml:space="preserve">Número de jóvenes como gestores ambientales urbanos </t>
  </si>
  <si>
    <t>Apoyar en la implementación de siete (7) proyectos sobre gestión del riesgo propuestos por los CMGR</t>
  </si>
  <si>
    <t>Número de proyectos implementados.</t>
  </si>
  <si>
    <t>Número de instituciones educativas apoyadas.</t>
  </si>
  <si>
    <t>100% de talleres de capacitación realizados relacionados con temas ambientales solicitados en el departamento.</t>
  </si>
  <si>
    <t>Porcentajes de talleres de capacitación realizados.</t>
  </si>
  <si>
    <t>Realizar veintidós (22) jornadas pedagógicas de conciencia y cultura ambiental a través de las aulas ambientales itinerantes en el departamento.</t>
  </si>
  <si>
    <t xml:space="preserve">Número de jornadas pedagógicas itinerantes realizadas </t>
  </si>
  <si>
    <t>Implementar veinte (20) proyectos educativo ambientales que estén articulados con las metas e indicadores del plan de acción institucional (PAI) de la CRA</t>
  </si>
  <si>
    <t>Número de proyectos educativo ambientales implementados</t>
  </si>
  <si>
    <t>Apoyar cuatro (4) eventos y/o ferias ambientales dirigidas a las ONG ambientalistas del Departamento.</t>
  </si>
  <si>
    <t>Número de eventos y/o ferias realizados.</t>
  </si>
  <si>
    <t xml:space="preserve">Implementar cuatro (4) proyectos productivos para la sostenibilidad alimentaria de las comunidades de pescadores y agricultores del departamento </t>
  </si>
  <si>
    <t>Número de proyectos productivos implementados</t>
  </si>
  <si>
    <t>Desarrollar cuatro (4) estrategias de comunicación y cultura ciudadana sobre separación en la fuente</t>
  </si>
  <si>
    <t>Número de estrategias de comunicación y cultura ciudadana sobre separación en la fuente desarrolladas</t>
  </si>
  <si>
    <t>Desarrollar cuatro (4) campañas de comunicación sobre gestión de cambio climático.</t>
  </si>
  <si>
    <t>Número de campañas de comunicación sobre gestión de cambio climático desarrolladas.</t>
  </si>
  <si>
    <t>Realizar cuatro (4) jornadas de recolección de residuos posconsumo peligrosos, especiales y RAEE realizadas.</t>
  </si>
  <si>
    <t>Número de jornadas de recolección de residuos posconsumo peligrosos, especiales y RAEE realizadas.</t>
  </si>
  <si>
    <t xml:space="preserve">Implementar cuatro (4) proyectos virtuales de educación ambiental </t>
  </si>
  <si>
    <t xml:space="preserve">Número de proyectos virtuales implementados </t>
  </si>
  <si>
    <t>Promover y/o apoyar el desarrollo de dos (2) escenarios de divulgación de la educación ambiental sea a nivel Departamental, Regional, Nacional o Internacional.</t>
  </si>
  <si>
    <t>Número de escenarios realizados o apoyados.</t>
  </si>
  <si>
    <t>Participar en (3) eventos nacionales y/o internacionales en educación ambiental.</t>
  </si>
  <si>
    <t>Número de participación y asistencia a eventos nacionales y/o internacionales en educación ambiental .</t>
  </si>
  <si>
    <t>Apoyar cuatro (4) proyectos que incorporen la perspectiva de género.</t>
  </si>
  <si>
    <t xml:space="preserve">Número de proyectos con perspectivas de géneros </t>
  </si>
  <si>
    <r>
      <t xml:space="preserve">Cuatro (4) programas implementados para la </t>
    </r>
    <r>
      <rPr>
        <sz val="8"/>
        <color rgb="FF000000"/>
        <rFont val="Century"/>
        <family val="1"/>
      </rPr>
      <t>producción plantas medicinales y frutales, hurtas caseras, reforestación, siembra de manglar y piscicultura.</t>
    </r>
  </si>
  <si>
    <t>Número de programas implementados</t>
  </si>
  <si>
    <t>Cuatro (4) acciones para el fortalecimiento de los saberes y prácticas tradicionales ambientales de las comunidades indígenas y Rrom del departamento</t>
  </si>
  <si>
    <t xml:space="preserve">Número de acciones implementadas </t>
  </si>
  <si>
    <t>Cuatro (4) acciones para el fortalecimiento de los saberes y prácticas tradicionales ambientales de las comunidades las comunidades negras, afrocolombianas, raizales y palenqueras NARP del departamento</t>
  </si>
  <si>
    <t>Cuatro (4) iniciativas productivas de las comunidades negras, afrocolombianas, raizales y palenqueras NARP del departamento</t>
  </si>
  <si>
    <t xml:space="preserve">Número de iniciativas productivas implementadas </t>
  </si>
  <si>
    <t>Crear veintitres (23) comités municipales de guardianes del medio ambiente GUMA</t>
  </si>
  <si>
    <t>Números de comités municipales de guardianes del medio ambiente GUMA</t>
  </si>
  <si>
    <t>Preparar, organizar y operativizar setenta (70) guardianes del medio ambiente GUMA para apoyar acciones prácticas de la gestión ambiental de la Corporación CRA</t>
  </si>
  <si>
    <t xml:space="preserve">100% de guardianes ambientales GUMA organizados y apoyando la gestión ambiental de la CRA </t>
  </si>
  <si>
    <t xml:space="preserve">Un documento técnico con él informa anual de seguimiento a los ODS de los municipios del departamento </t>
  </si>
  <si>
    <t>Número de informes anuales de seguimiento a los ODS</t>
  </si>
  <si>
    <t xml:space="preserve">Tres (3) convenios de producción mas limpia implementados con los sectores: plantas de beneficio de ganado (matadero), cementerios, instituciones educativas, centros de salud, sistemas productivos. </t>
  </si>
  <si>
    <t xml:space="preserve">Número de convenios de Producción más Limpia implementados </t>
  </si>
  <si>
    <t xml:space="preserve">Impulsar cuatro (4) proyectos para el aprovechamiento energético de biomasa agropecuaria en el Departamento del Atlántico </t>
  </si>
  <si>
    <t>Número de proyectos impulsados</t>
  </si>
  <si>
    <t xml:space="preserve">Impulsar cuatro (4)  proyectos de generación de Fuentes No convencionales de Energía Renovable-FNCER, cogeneración a partir de la misma generación distribuida y de gestión eficiente de la energía. </t>
  </si>
  <si>
    <t xml:space="preserve">Realizar dos (2) estudios de Evaluación Geoespacial del Potencial de la Energía Eólica en el Departamento del Atlántico. </t>
  </si>
  <si>
    <t xml:space="preserve">Número de estudios de evaluación geoespacial </t>
  </si>
  <si>
    <t xml:space="preserve">Realizar veintitrés (23) asesorías a los municipios para los procesos de revisión de sus instrumentos de planificación  del desarrollo físico - territorial, especialmente en la incorporación de las determinantes ambientales </t>
  </si>
  <si>
    <t xml:space="preserve">Número de municipios asesorados  en la incorporación de las determinantes ambientales </t>
  </si>
  <si>
    <t>Elaborar el PGAR 2023-2032</t>
  </si>
  <si>
    <t>Número de documento elaborado</t>
  </si>
  <si>
    <t>Asesorar y realizar seguimiento anual de los esquemas de pago por servicios ambientales a las entidades territoriales y  sector privado de jurisdicción de la Corporación.</t>
  </si>
  <si>
    <t>Número de entidades asesoradas</t>
  </si>
  <si>
    <t>Realiza tres (3)  actualizaciones de estudios y documentos técnicos producidos en temas de ordenamiento ambiental (determinantes ambientales)</t>
  </si>
  <si>
    <t>Números de actualizaciones de determinantes ambientales actualizados</t>
  </si>
  <si>
    <t xml:space="preserve">Realizar dos (2) Acciones dirigidas a implementar la Política Integral del Salud Ambiental </t>
  </si>
  <si>
    <t xml:space="preserve">Número de acciones de implementación </t>
  </si>
  <si>
    <t xml:space="preserve">Colocar en funcionamiento y realizar mantenimiento en cada una de las estaciones de calidad del aire de la Corporación, con el fin de realizar reportes actualizado para el Sistema de Vigilancia de la Calidad del Aire aplicando el Protocolo para el Monitoreo y Seguimiento </t>
  </si>
  <si>
    <t>Número de estaciones de calidad del aire en operación con reportes actualizado para el Sistema de Vigilancia de la Calidad del Aire aplicando el Protocolo para el Monitoreo y Seguimiento</t>
  </si>
  <si>
    <t>Realizar un (1) rediseño del Sistema de Vigilancia de Calidad del Aire aplicando el Protocolo para el Monitoreo y Seguimiento, que incluya la ubicación de dos nuevas estaciones de calidad en los municipios de Galapa y Soledad</t>
  </si>
  <si>
    <t xml:space="preserve">Nímero de Sistema rediseñado </t>
  </si>
  <si>
    <t xml:space="preserve">Realizar informes mensuales de alimentación del Subsistema de información de calidad del aire-SISAIRE </t>
  </si>
  <si>
    <t>Número de informes mensuales el Subsistema de información de calidad del aire-SISAIRE  realizados</t>
  </si>
  <si>
    <t xml:space="preserve">Implementar Un (1) Sistema de Vigilancia de Calidad de Aire acreditado y en operación </t>
  </si>
  <si>
    <t>Número de sistema de vigilancia acreditado</t>
  </si>
  <si>
    <t>Realizar la Evaluación, Seguimiento y Control Ambiental de las Emisiones Atmosféricas</t>
  </si>
  <si>
    <t>% de seguimiento y evaluación de emisiones atmosféricas</t>
  </si>
  <si>
    <t>Elaborar Un (1) estudio de estimación sectorial de las emisiones de Gases de Efecto Invernadero (GEI) en el Departamento del Atlántico</t>
  </si>
  <si>
    <t>No. de estudios técnicos de estimación de GEI</t>
  </si>
  <si>
    <t>Realizar Un (1)  Inventario de emisiones atmosféricas aplicando la Guía para la elaboración de Inventario de Emisiones Atmosféricas</t>
  </si>
  <si>
    <t>Número de documentos técnicos elaborados</t>
  </si>
  <si>
    <t>Realizar siete (7) operativos, de Gestión ambiental de las actividades generadoras de olores ofensivos en el departamento del Atlántico</t>
  </si>
  <si>
    <t>Número de operativos realizados por año</t>
  </si>
  <si>
    <t>Actualizar tres (3) mapas de ruido ambiental diurno y nocturno en los términos establecidos en al articulo 22 de la Resolución 627 de 2006, inlcuyendo su respectivo plan de descontaminación</t>
  </si>
  <si>
    <t>Número de mapas de ruido diurno y nocturno actualizados</t>
  </si>
  <si>
    <t>Atender el 100% de las quejas realizadas por  actividades generadoras de ruido en el departamento del Atlántico</t>
  </si>
  <si>
    <t>Porcentaje de quejas atendidas</t>
  </si>
  <si>
    <t xml:space="preserve">                                                                                       Adquirir dos  (2) equipos  para la medición de emisión de ruido </t>
  </si>
  <si>
    <t xml:space="preserve"> Número de equipos adquiridos</t>
  </si>
  <si>
    <t xml:space="preserve">Calibración de equipos  equipos para la medición de ruido exitente </t>
  </si>
  <si>
    <t xml:space="preserve"> Número de equipos  calibrados</t>
  </si>
  <si>
    <t>Cuatro (4) proyectos implementados para el aprovechamiento local de plásticos y otros materiales reciclables en Municipios Costeros</t>
  </si>
  <si>
    <t>Número de proyectos  implementados</t>
  </si>
  <si>
    <t>Realizar seguimiento en la Implementación del PGIRS en los municipios de la jurisdicción de la CRA con seguimiento a las metas de aprovechamiento.</t>
  </si>
  <si>
    <t xml:space="preserve">Número de municipios con seguimiento de los PGIRS </t>
  </si>
  <si>
    <t>Realizar seguimiento en la Implementación del Plan de Gestión de Residuos Peligrosos del Atlántico en empresas generadoras y gestores de residuos en los municipios de la jurisdicción de la CRA.</t>
  </si>
  <si>
    <t>Porcentaje de seguimiento en la implementación del PGRESPEL del Departamento</t>
  </si>
  <si>
    <t xml:space="preserve">Registro y reporte de usuarios RESPEL actualizado </t>
  </si>
  <si>
    <t>% de registros y reportes actualizados</t>
  </si>
  <si>
    <t xml:space="preserve">Elaborar Una (1) Agenda Departamental en temas de Economía Circular:  materiales industriales y productos de uso masivo (RAEE, RESPEL, llantas usadas), Materiales de envases y empaques; Flujos de Biomasa, Flujos de Agua, Fuentes y flujos de energía, materiales de construcción. </t>
  </si>
  <si>
    <t>Número de agendas de economía circular elaboradas</t>
  </si>
  <si>
    <t xml:space="preserve"> Ejecutar Cuatro (4) proyectos de economía circular</t>
  </si>
  <si>
    <t xml:space="preserve">Número de proyectos de economía circular ejecutados </t>
  </si>
  <si>
    <t xml:space="preserve">Realizar la Evaluación y Seguimiento a los trámites ambientales (Concesión, Vertimientos, Aprovechamiento, Licencias) y otros instrumentos de control </t>
  </si>
  <si>
    <r>
      <t xml:space="preserve">% de trámites atendidos para la evaluación, seguimiento y resolución de autorizaciones ambientales otorgadas por la corporación, </t>
    </r>
    <r>
      <rPr>
        <b/>
        <sz val="8"/>
        <rFont val="Century"/>
        <family val="1"/>
      </rPr>
      <t>con cumplimiento de los términos otorgados por la Ley</t>
    </r>
  </si>
  <si>
    <t xml:space="preserve">Atender las quejas ambientales y procesos sancionatorios </t>
  </si>
  <si>
    <t xml:space="preserve">Realizar el seguimiento a medidas de compensación dentro del marco de las licencias o permisos otorgados </t>
  </si>
  <si>
    <t>% de autorizaciones ambientales con seguimiento</t>
  </si>
  <si>
    <t xml:space="preserve">Un (1) estudio que permita identificar  usuarios ilegales de alto impacto que permita las formalización de la actividad minera en el Departamento             </t>
  </si>
  <si>
    <t>Número de estudios realizados</t>
  </si>
  <si>
    <t>Realizar Asesorías  a los usuarios ilegales identificados para la formalización de la actividad minera</t>
  </si>
  <si>
    <t>% de usuarios ilegales identificados con procesos de formalización de la actividad minera</t>
  </si>
  <si>
    <t>Mantenimiento del Centro de Reacción Inmediata Ambiental (Grupo CRIA) para atender  las quejas y seguimiento a la red amigos de la fauna</t>
  </si>
  <si>
    <t>Porcentaje de quejas y de seguimiento a la red amigos de la fauna</t>
  </si>
  <si>
    <t xml:space="preserve"> Atender la totalidad de las denuncias sobre tráfico ilegal y cautiverio de especies de flora y fauna en el Departamento del Atlántico (operativos de decomiso)</t>
  </si>
  <si>
    <t>Porcentaje de denuncias atendidas</t>
  </si>
  <si>
    <t>Implementar y mantener un Centro de Atención y Valoración de la Fauna para la atención de especies en el Departamento del Atlántico</t>
  </si>
  <si>
    <t xml:space="preserve">Número de CAVF implementado </t>
  </si>
  <si>
    <t xml:space="preserve"> Implemetar una (1) base de datos  de usuarios para la regulación de los instrumentos económicos ambientales </t>
  </si>
  <si>
    <t>Número de bases de datos elaboradas</t>
  </si>
  <si>
    <t xml:space="preserve">Elaborar cuatro (4) mapas de riesgos de inundación, remoción en masa y avenidas torrenciales a escala 1:25.000 para los Municipios de Tubará, Luruaco, Juan De Acosta y Piojó. </t>
  </si>
  <si>
    <t>Número de mapas de riesgo elaborados</t>
  </si>
  <si>
    <t>Actualizar  la cartografía de amenaza y vulnerabilidad de inundación, remoción en masa y avenidas torrenciales de los Municipios del Departamento del Atlántico</t>
  </si>
  <si>
    <t>Número de mapas de amenazas actualizados</t>
  </si>
  <si>
    <t>Realizar Asesorías  anuales en el 100% de los municipios de la jurisdicción en la incorporación a sus instrumentos de planificación en cuanto al componente de Gestión del Riesgo y cambio climático</t>
  </si>
  <si>
    <t>Porcetanje de municipios asesorados anualmente</t>
  </si>
  <si>
    <t xml:space="preserve">Realizar asesorias y seguimiento a los planes municipales y Departamental de Gestión del Riesgo, en relación con las acciones para enfrentar las amenazas por incendios de cobertura vegetal </t>
  </si>
  <si>
    <t xml:space="preserve">Número de municipios asistidos </t>
  </si>
  <si>
    <t xml:space="preserve">Implementar Dos (2) Proyectos de mitigación y adaptación </t>
  </si>
  <si>
    <t>Número de proyectos para ejecutar acciones para la mitigación y adaptación</t>
  </si>
  <si>
    <t>RECURSOS</t>
  </si>
  <si>
    <t>4.4.4.3. Realizar seguimiento a la  implementación  del Plan de Gestión de Residuos Peligrosos de los municipios de la jurisdicción de la CRA.</t>
  </si>
  <si>
    <t xml:space="preserve">4.4.4.4. Actualizar el registro y reporte de usuarios generadores de RESPEL </t>
  </si>
  <si>
    <t>4.4.4.5. Crear una Agenda Departamental de  Economía Circular: materiales industriales y productos de uso masivo (RAEE, RESPEL, llantas usadas), Materiales de envases y empaques; Flujos de Biomasa, Flujos de Agua, Fuentes y flujos de energía, materiales de construcción.</t>
  </si>
  <si>
    <t xml:space="preserve">4.4.4.6. Ejecutar proyectos en el marco de la Agenda Departamental de Economía </t>
  </si>
  <si>
    <t>Línea/Vigencia</t>
  </si>
  <si>
    <t>Total</t>
  </si>
  <si>
    <t>Presupuesto de Inversiones Año x Año</t>
  </si>
  <si>
    <t>Presupuesto de Inversiones Bianual</t>
  </si>
  <si>
    <t>Diferencia -/+</t>
  </si>
  <si>
    <t>Financiamiento de la Deuda</t>
  </si>
  <si>
    <t>No entra en el Calculo</t>
  </si>
  <si>
    <t>Pignorado</t>
  </si>
  <si>
    <t>Sostenibilidad RH NETO</t>
  </si>
  <si>
    <t>Sostenibilidad Democratica</t>
  </si>
  <si>
    <t>Sostenibilidad Rec. Natural</t>
  </si>
  <si>
    <t xml:space="preserve">Sostenibilidad Rec Hidrico </t>
  </si>
  <si>
    <t>Sostenibilidad Sectorial</t>
  </si>
  <si>
    <t>Sostenibilidad Institucional</t>
  </si>
  <si>
    <t>RECURSO DE INVERSIÓN</t>
  </si>
  <si>
    <t>LINEA ESTRATÉGICA</t>
  </si>
  <si>
    <t>Inversion PTARs Regional (Sto. Tomas, Sabanagrande y Palmar de Varela) y Piojó</t>
  </si>
  <si>
    <t>Dos (2) POMCA adoptados bajo Decreto del 1076 del 2015.</t>
  </si>
  <si>
    <t>Tres (3) reportes  detallado de la práctica exámenes médicos ocupacionales de ingreso, control periódico y retiro de todos los trabajadores y de control periódico para los colaboradores con contratos iguales o superiores a seis meses</t>
  </si>
  <si>
    <t>Un (1) seguimiento anual a las metas de carga contaminante establecidas por la Corporación para el periodo 2019 - 2023,  de acuerdo con la mayor concentración de carga organica del vertimiento report</t>
  </si>
  <si>
    <t>1.2.2.5. Realizar seguimiento de las metas de Carga Contaminantes para el periodo 2020-2023.</t>
  </si>
  <si>
    <t>Informe anual de Seguimiento a las obras de saneamiento ambiental (Planta de tratamiento de aguas residuales-PTARS) para verificar el cumplimiento de las actividades priorizadas en los PSMV.</t>
  </si>
  <si>
    <t>Consolidar Sesenta y un (61) negocios verdes en el departamento</t>
  </si>
  <si>
    <t xml:space="preserve">Porcentaje de quejas y procesos sancionatorios resueltos </t>
  </si>
  <si>
    <t>4.7.1.1. Formular e implementar intervenciones locales orientadas a reducir  la vulnerabilidad y el  aumento de la resiliencia a la variabilidad y al cambio climático, en articulación con la Política Nacional de Cambio Climático y el PGICCTA del Departamento del Atlántico.</t>
  </si>
  <si>
    <t>Un (1) documentos con diagnostico del perfil sociodemográfico y de las condiciones de salud de los trabajadores</t>
  </si>
  <si>
    <t>Porcentaje de  nuevos seguidores en canales virtuales</t>
  </si>
  <si>
    <t>Número de intervenciones para la Recuperación ambiental de los humedales asociados a la Cuenca del Canal del Dique</t>
  </si>
  <si>
    <t>Cuatro (4) Intervenciones para la Recuperación ambiental de los humedales asociados a la Cuenca del Canal del Dique.</t>
  </si>
  <si>
    <t xml:space="preserve">Dos (2) proyectos de Mitigación y adaptación de gestión del riesgo asociado a recurso Hídrico diseñados e implementados </t>
  </si>
  <si>
    <t>Número de intervenciones para la Recuperación ambiental de los humedales asociados a la vertiente occidental del Rio Magdalena</t>
  </si>
  <si>
    <t>Número de intervenciones  para la Recuperación ambiental de la cuenca de  Mallorquín</t>
  </si>
  <si>
    <t>Cuatro  (4) Intervenciones para la Recuperación ambiental de los humedales asociados a la vertiente occidental del Rio Magdalena implementada</t>
  </si>
  <si>
    <t>Cuatro  (4) Intervenciones para la Recuperación ambiental de la cuenca de  Mallorquín implementada</t>
  </si>
  <si>
    <t>1.1.3.2.  Realizar intervenciones para la Recuperación Ambiental de los Humedales asociados a la Cuenca del Canal del Dique (Hidrodinámica del Embalse El Guajaro y los afluentes del ecosistema).</t>
  </si>
  <si>
    <t>1.1.3.3.  Realizar intervenciones en los Humedales asociados a la vertiente occidental del Rio Magdalena. (Ciénagas de Malambo, Sabanagrande, Santo Tomás y Palmar de Varela).</t>
  </si>
  <si>
    <t xml:space="preserve">1.1.3.4.  Realizar intervenciones para la Recuperación ambiental de la Cuenca de la Ciénaga de Mallorquín (Cienaga de Mallorquin y Cienaga Rincon o Lago El Cisne). </t>
  </si>
  <si>
    <t xml:space="preserve">Apoyar a ciento treinta y tres (133) instituciones educativas en la formulación y/o actualización de los PEGR </t>
  </si>
  <si>
    <t>3.2.4.1.  Apoyar iniciativas con enfoque diferencial que incorporen la perspectiva de género asociados a la gestión ambiental de la Corporación CRA.</t>
  </si>
  <si>
    <t>3.3.1.2.  Implementación de acciones con enfoque diferencial para fortalecer los conocimientos, usos, costumbres, saberes y prácticas tradicionales ambientales de las comunidades indígenas y Rom del departamento.</t>
  </si>
  <si>
    <t>3.3.1.3.  Implementación de acciones con enfoque diferencial para fortalecer los conocimientos, usos, costumbres, saberes y prácticas tradicionales ambientales de las comunidades negras, afrocolombianas, raizales y palenqueras NARP del departamento.</t>
  </si>
  <si>
    <t xml:space="preserve">3.3.1.4.  Apoyar iniciativas productivas con enfoque diferencial de las comunidades negras, afrocolombianas, raizales y palenqueras NARP del departamento articuladas al PAI de la Corporación CRA. </t>
  </si>
  <si>
    <t>3.3.1.1.  Apoyar con enfoque diferencial de las iniciativas integrales de emprendimientos produtivos (plantas medicinales, frutales, huertas caseras, y piscicultura entre otras) o iniciativas de protección de la biodiversidad (reforestación, siembra de manglares entre otras)</t>
  </si>
  <si>
    <t>1.2.2.4. Realizar reglamentación de los aportes puntuales de carga contaminante en los cuerpos de agua receptores de vertimientos en el Departamento del Atlántico</t>
  </si>
  <si>
    <t>Diez (10)auxilios  por año</t>
  </si>
  <si>
    <t>Número de auxilios</t>
  </si>
  <si>
    <t>5.1.1.4. Otorgar auxilios de tipo educativo y otros, a funcionarios que cumplen ciertos 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</si>
</sst>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164" formatCode="_(&quot;$&quot;* #,##0_);_(&quot;$&quot;* \(#,##0\);_(&quot;$&quot;* &quot;-&quot;_);_(@_)"/>
    <numFmt numFmtId="165" formatCode="_(&quot;$&quot;* #,##0.00_);_(&quot;$&quot;* \(#,##0.00\);_(&quot;$&quot;* &quot;-&quot;??_);_(@_)"/>
    <numFmt numFmtId="166" formatCode="_(* #,##0.00_);_(* \(#,##0.00\);_(* &quot;-&quot;??_);_(@_)"/>
    <numFmt numFmtId="167" formatCode="0.000%"/>
    <numFmt numFmtId="168" formatCode="_(&quot;$&quot;* #,##0.000_);_(&quot;$&quot;* \(#,##0.000\);_(&quot;$&quot;* &quot;-&quot;???_);_(@_)"/>
    <numFmt numFmtId="169" formatCode="_-&quot;$&quot;* #,##0.00_-;\-&quot;$&quot;* #,##0.00_-;_-&quot;$&quot;* &quot;-&quot;_-;_-@_-"/>
  </numFmts>
  <fonts count="21" x14ac:knownFonts="1">
    <font>
      <sz val="11"/>
      <color theme="1"/>
      <name val="Calibri"/>
      <family val="2"/>
      <scheme val="minor"/>
    </font>
    <font>
      <sz val="10"/>
      <color theme="1"/>
      <name val="Century"/>
      <family val="1"/>
    </font>
    <font>
      <sz val="8"/>
      <color theme="1"/>
      <name val="Century"/>
      <family val="1"/>
    </font>
    <font>
      <b/>
      <sz val="11"/>
      <color theme="1"/>
      <name val="Century"/>
      <family val="1"/>
    </font>
    <font>
      <b/>
      <i/>
      <sz val="14"/>
      <color theme="1"/>
      <name val="Calibri"/>
      <family val="2"/>
      <scheme val="minor"/>
    </font>
    <font>
      <sz val="10"/>
      <color rgb="FF000000"/>
      <name val="Century"/>
      <family val="1"/>
    </font>
    <font>
      <b/>
      <sz val="11"/>
      <color rgb="FF000000"/>
      <name val="Century"/>
      <family val="1"/>
    </font>
    <font>
      <sz val="11"/>
      <color theme="1"/>
      <name val="Calibri"/>
      <family val="2"/>
      <scheme val="minor"/>
    </font>
    <font>
      <sz val="11"/>
      <color theme="1"/>
      <name val="Century"/>
      <family val="1"/>
    </font>
    <font>
      <b/>
      <i/>
      <sz val="12"/>
      <color theme="1"/>
      <name val="Century"/>
      <family val="1"/>
    </font>
    <font>
      <b/>
      <i/>
      <sz val="11"/>
      <color theme="1"/>
      <name val="Century"/>
      <family val="1"/>
    </font>
    <font>
      <sz val="8"/>
      <name val="Century"/>
      <family val="1"/>
    </font>
    <font>
      <sz val="8"/>
      <color rgb="FF000000"/>
      <name val="Century"/>
      <family val="1"/>
    </font>
    <font>
      <sz val="10"/>
      <name val="Century"/>
      <family val="1"/>
    </font>
    <font>
      <b/>
      <sz val="8"/>
      <name val="Century"/>
      <family val="1"/>
    </font>
    <font>
      <b/>
      <sz val="12"/>
      <color theme="1"/>
      <name val="Century"/>
      <family val="1"/>
    </font>
    <font>
      <sz val="12"/>
      <color theme="1"/>
      <name val="Calibri"/>
      <family val="2"/>
      <scheme val="minor"/>
    </font>
    <font>
      <sz val="12"/>
      <color theme="1"/>
      <name val="Century"/>
      <family val="1"/>
    </font>
    <font>
      <sz val="10"/>
      <color theme="1"/>
      <name val="Century Gothic"/>
      <family val="2"/>
    </font>
    <font>
      <b/>
      <sz val="10"/>
      <color rgb="FFFF0000"/>
      <name val="Century"/>
      <family val="1"/>
    </font>
    <font>
      <b/>
      <sz val="10"/>
      <color theme="1"/>
      <name val="Century"/>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9"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cellStyleXfs>
  <cellXfs count="225">
    <xf numFmtId="0" fontId="0" fillId="0" borderId="0" xfId="0"/>
    <xf numFmtId="0" fontId="2" fillId="0" borderId="5" xfId="0" applyFont="1" applyBorder="1" applyAlignment="1">
      <alignment horizontal="justify" vertical="center" wrapText="1"/>
    </xf>
    <xf numFmtId="0" fontId="2" fillId="0" borderId="1" xfId="0" applyFont="1" applyBorder="1" applyAlignment="1">
      <alignment horizontal="justify" wrapText="1"/>
    </xf>
    <xf numFmtId="0" fontId="2" fillId="0" borderId="10" xfId="0" applyFont="1" applyBorder="1" applyAlignment="1">
      <alignment horizontal="justify" vertical="center" wrapText="1"/>
    </xf>
    <xf numFmtId="0" fontId="1" fillId="0" borderId="0" xfId="0" applyFont="1" applyAlignment="1">
      <alignment horizontal="center"/>
    </xf>
    <xf numFmtId="9" fontId="8" fillId="0" borderId="1" xfId="1" applyFont="1" applyBorder="1" applyAlignment="1">
      <alignment horizontal="center" vertical="center"/>
    </xf>
    <xf numFmtId="9" fontId="1" fillId="0" borderId="10" xfId="1" applyFont="1" applyBorder="1" applyAlignment="1">
      <alignment horizontal="center" vertical="center"/>
    </xf>
    <xf numFmtId="0" fontId="1" fillId="0" borderId="1" xfId="1" applyNumberFormat="1" applyFont="1" applyBorder="1" applyAlignment="1">
      <alignment horizontal="center" vertical="center"/>
    </xf>
    <xf numFmtId="9" fontId="1"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167" fontId="1" fillId="0" borderId="1" xfId="1" applyNumberFormat="1" applyFont="1" applyBorder="1" applyAlignment="1">
      <alignment horizontal="center" vertical="center"/>
    </xf>
    <xf numFmtId="9" fontId="1" fillId="0" borderId="1" xfId="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9" fontId="1" fillId="0" borderId="1" xfId="1" applyFont="1" applyFill="1" applyBorder="1" applyAlignment="1">
      <alignment horizontal="center" vertical="center"/>
    </xf>
    <xf numFmtId="9" fontId="1" fillId="0" borderId="5" xfId="1" applyFont="1" applyBorder="1" applyAlignment="1">
      <alignment horizontal="center" vertical="center"/>
    </xf>
    <xf numFmtId="0" fontId="2" fillId="0" borderId="10" xfId="0" applyFont="1" applyBorder="1" applyAlignment="1">
      <alignment horizontal="center" vertical="center" wrapText="1"/>
    </xf>
    <xf numFmtId="0" fontId="1" fillId="0" borderId="10" xfId="1" applyNumberFormat="1" applyFont="1" applyBorder="1" applyAlignment="1">
      <alignment horizontal="center" vertical="center"/>
    </xf>
    <xf numFmtId="0" fontId="2" fillId="0" borderId="5" xfId="0" applyFont="1" applyBorder="1" applyAlignment="1">
      <alignment horizontal="center" vertical="center" wrapText="1"/>
    </xf>
    <xf numFmtId="0" fontId="1" fillId="0" borderId="5" xfId="1" applyNumberFormat="1" applyFont="1" applyBorder="1" applyAlignment="1">
      <alignment horizontal="center" vertical="center"/>
    </xf>
    <xf numFmtId="167" fontId="1" fillId="0" borderId="5" xfId="1" applyNumberFormat="1" applyFont="1" applyBorder="1" applyAlignment="1">
      <alignment horizontal="center" vertical="center"/>
    </xf>
    <xf numFmtId="167" fontId="1" fillId="0" borderId="10" xfId="1" applyNumberFormat="1" applyFont="1" applyBorder="1" applyAlignment="1">
      <alignment horizontal="center" vertical="center"/>
    </xf>
    <xf numFmtId="9"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2" fillId="3" borderId="1" xfId="0" applyFont="1" applyFill="1" applyBorder="1" applyAlignment="1">
      <alignment horizontal="center" vertical="center" wrapText="1"/>
    </xf>
    <xf numFmtId="0" fontId="0" fillId="0" borderId="0" xfId="0" applyAlignment="1">
      <alignment horizontal="justify"/>
    </xf>
    <xf numFmtId="0" fontId="2" fillId="3" borderId="1" xfId="0" applyFont="1" applyFill="1" applyBorder="1" applyAlignment="1">
      <alignment horizontal="justify" vertical="center" wrapText="1" shrinkToFit="1"/>
    </xf>
    <xf numFmtId="0" fontId="2" fillId="0" borderId="1" xfId="0" applyFont="1" applyBorder="1" applyAlignment="1">
      <alignment horizontal="justify" vertical="center" wrapText="1" shrinkToFit="1"/>
    </xf>
    <xf numFmtId="0" fontId="2" fillId="3" borderId="1" xfId="0" applyFont="1" applyFill="1" applyBorder="1" applyAlignment="1">
      <alignment horizontal="justify" vertical="center" wrapText="1"/>
    </xf>
    <xf numFmtId="0" fontId="11" fillId="0" borderId="1" xfId="0" applyFont="1" applyBorder="1" applyAlignment="1">
      <alignment horizontal="justify" vertical="center" wrapText="1"/>
    </xf>
    <xf numFmtId="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5" xfId="0" applyFont="1" applyFill="1" applyBorder="1" applyAlignment="1">
      <alignment horizontal="justify" vertical="center" wrapText="1" shrinkToFit="1"/>
    </xf>
    <xf numFmtId="0" fontId="2" fillId="3" borderId="5" xfId="0" applyFont="1" applyFill="1" applyBorder="1" applyAlignment="1">
      <alignment horizontal="center" vertical="center" wrapText="1" shrinkToFit="1"/>
    </xf>
    <xf numFmtId="3" fontId="1"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 fillId="0"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xf>
    <xf numFmtId="0" fontId="1" fillId="0" borderId="1" xfId="2" applyNumberFormat="1" applyFont="1" applyFill="1" applyBorder="1" applyAlignment="1">
      <alignment horizontal="center" vertical="center" wrapText="1"/>
    </xf>
    <xf numFmtId="0" fontId="1" fillId="0" borderId="5" xfId="0" applyFont="1" applyBorder="1" applyAlignment="1">
      <alignment horizontal="center" vertical="center"/>
    </xf>
    <xf numFmtId="9" fontId="2" fillId="0" borderId="1" xfId="0" applyNumberFormat="1" applyFont="1" applyBorder="1" applyAlignment="1">
      <alignment horizontal="center" vertical="center" wrapText="1"/>
    </xf>
    <xf numFmtId="0" fontId="2" fillId="0" borderId="1" xfId="0" applyFont="1" applyFill="1" applyBorder="1" applyAlignment="1">
      <alignment horizontal="justify" vertical="center" wrapText="1"/>
    </xf>
    <xf numFmtId="1" fontId="5" fillId="0" borderId="1" xfId="0"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1" fillId="3" borderId="1" xfId="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1" fillId="3" borderId="1" xfId="1" applyNumberFormat="1" applyFont="1" applyFill="1" applyBorder="1" applyAlignment="1">
      <alignment horizontal="center" vertical="center" wrapText="1"/>
    </xf>
    <xf numFmtId="1" fontId="1" fillId="3" borderId="1" xfId="1"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67" fontId="1" fillId="0" borderId="2" xfId="1" applyNumberFormat="1" applyFont="1" applyBorder="1" applyAlignment="1">
      <alignment horizontal="center" vertical="center"/>
    </xf>
    <xf numFmtId="165" fontId="1" fillId="0" borderId="1" xfId="0" applyNumberFormat="1" applyFont="1" applyBorder="1" applyAlignment="1">
      <alignment vertical="center"/>
    </xf>
    <xf numFmtId="165" fontId="1" fillId="0" borderId="2" xfId="0" applyNumberFormat="1" applyFont="1" applyBorder="1" applyAlignment="1">
      <alignment vertical="center"/>
    </xf>
    <xf numFmtId="165" fontId="1" fillId="0" borderId="5" xfId="0" applyNumberFormat="1" applyFont="1" applyBorder="1" applyAlignment="1">
      <alignment vertical="center"/>
    </xf>
    <xf numFmtId="165" fontId="1" fillId="0" borderId="6" xfId="0" applyNumberFormat="1" applyFont="1" applyBorder="1" applyAlignment="1">
      <alignment vertical="center"/>
    </xf>
    <xf numFmtId="165" fontId="1" fillId="0" borderId="8" xfId="0" applyNumberFormat="1" applyFont="1" applyBorder="1" applyAlignment="1">
      <alignment vertical="center"/>
    </xf>
    <xf numFmtId="165" fontId="1" fillId="0" borderId="10" xfId="0" applyNumberFormat="1" applyFont="1" applyBorder="1" applyAlignment="1">
      <alignment vertical="center"/>
    </xf>
    <xf numFmtId="165" fontId="1" fillId="0" borderId="11" xfId="0" applyNumberFormat="1" applyFont="1" applyBorder="1" applyAlignment="1">
      <alignment vertical="center"/>
    </xf>
    <xf numFmtId="165" fontId="1" fillId="0" borderId="1" xfId="2" applyNumberFormat="1" applyFont="1" applyFill="1" applyBorder="1" applyAlignment="1">
      <alignment horizontal="center" vertical="center" wrapText="1"/>
    </xf>
    <xf numFmtId="165" fontId="1" fillId="0" borderId="1" xfId="2"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0" borderId="2" xfId="1" applyNumberFormat="1" applyFont="1" applyBorder="1" applyAlignment="1">
      <alignment horizontal="center" vertical="center"/>
    </xf>
    <xf numFmtId="165" fontId="1" fillId="0" borderId="12" xfId="0" applyNumberFormat="1" applyFont="1" applyBorder="1" applyAlignment="1">
      <alignment vertical="center"/>
    </xf>
    <xf numFmtId="0" fontId="1" fillId="0" borderId="5" xfId="2" applyNumberFormat="1" applyFont="1" applyFill="1" applyBorder="1" applyAlignment="1">
      <alignment horizontal="center" vertical="center" wrapText="1"/>
    </xf>
    <xf numFmtId="3" fontId="1" fillId="0" borderId="5" xfId="0" applyNumberFormat="1" applyFont="1" applyBorder="1" applyAlignment="1">
      <alignment horizontal="center" vertical="center"/>
    </xf>
    <xf numFmtId="0" fontId="1" fillId="0" borderId="2" xfId="0" applyFont="1" applyBorder="1" applyAlignment="1">
      <alignment horizontal="center" vertical="center"/>
    </xf>
    <xf numFmtId="0" fontId="11" fillId="0" borderId="2" xfId="0" applyFont="1" applyBorder="1" applyAlignment="1">
      <alignment horizontal="justify" vertical="center" wrapText="1"/>
    </xf>
    <xf numFmtId="9" fontId="3" fillId="0" borderId="5" xfId="1" applyFont="1" applyBorder="1" applyAlignment="1">
      <alignment horizontal="center" vertical="center" wrapText="1"/>
    </xf>
    <xf numFmtId="0" fontId="12" fillId="0" borderId="5" xfId="0" applyFont="1" applyBorder="1" applyAlignment="1">
      <alignment horizontal="justify" vertical="center" wrapText="1"/>
    </xf>
    <xf numFmtId="0" fontId="12" fillId="0" borderId="5" xfId="0" applyFont="1" applyBorder="1" applyAlignment="1">
      <alignment horizontal="center" vertical="center" wrapText="1"/>
    </xf>
    <xf numFmtId="1" fontId="1" fillId="0" borderId="5" xfId="1" applyNumberFormat="1" applyFont="1" applyBorder="1" applyAlignment="1">
      <alignment horizontal="center" vertical="center"/>
    </xf>
    <xf numFmtId="167" fontId="17" fillId="0" borderId="14" xfId="0" applyNumberFormat="1" applyFont="1" applyBorder="1" applyAlignment="1">
      <alignment horizontal="center" vertical="center"/>
    </xf>
    <xf numFmtId="167" fontId="17" fillId="0" borderId="18" xfId="0" applyNumberFormat="1" applyFont="1" applyBorder="1" applyAlignment="1">
      <alignment vertical="center"/>
    </xf>
    <xf numFmtId="168" fontId="15" fillId="2" borderId="14" xfId="0" applyNumberFormat="1" applyFont="1" applyFill="1" applyBorder="1" applyAlignment="1">
      <alignment horizontal="center" vertical="center"/>
    </xf>
    <xf numFmtId="168" fontId="15" fillId="0" borderId="18" xfId="0" applyNumberFormat="1" applyFont="1" applyBorder="1" applyAlignment="1">
      <alignment vertical="center"/>
    </xf>
    <xf numFmtId="168" fontId="0" fillId="0" borderId="0" xfId="0" applyNumberFormat="1"/>
    <xf numFmtId="165" fontId="8" fillId="0" borderId="6" xfId="0" applyNumberFormat="1" applyFont="1" applyBorder="1" applyAlignment="1">
      <alignment horizontal="center"/>
    </xf>
    <xf numFmtId="165" fontId="8" fillId="0" borderId="11" xfId="0" applyNumberFormat="1" applyFont="1" applyBorder="1" applyAlignment="1">
      <alignment horizontal="center"/>
    </xf>
    <xf numFmtId="165" fontId="8" fillId="0" borderId="19" xfId="0" applyNumberFormat="1" applyFont="1" applyBorder="1" applyAlignment="1">
      <alignment horizontal="center"/>
    </xf>
    <xf numFmtId="165" fontId="8" fillId="0" borderId="20" xfId="0" applyNumberFormat="1" applyFont="1" applyBorder="1" applyAlignment="1">
      <alignment horizontal="center"/>
    </xf>
    <xf numFmtId="165" fontId="1" fillId="0" borderId="1" xfId="0" applyNumberFormat="1" applyFont="1" applyFill="1" applyBorder="1" applyAlignment="1">
      <alignment vertical="center"/>
    </xf>
    <xf numFmtId="165" fontId="0" fillId="0" borderId="0" xfId="0" applyNumberFormat="1"/>
    <xf numFmtId="0" fontId="18" fillId="0" borderId="0" xfId="0" applyFont="1"/>
    <xf numFmtId="42" fontId="15" fillId="8" borderId="27" xfId="0" applyNumberFormat="1" applyFont="1" applyFill="1" applyBorder="1" applyAlignment="1">
      <alignment horizontal="center"/>
    </xf>
    <xf numFmtId="0" fontId="19" fillId="0" borderId="0" xfId="0" applyFont="1"/>
    <xf numFmtId="42" fontId="15" fillId="3" borderId="27" xfId="0" applyNumberFormat="1" applyFont="1" applyFill="1" applyBorder="1" applyAlignment="1">
      <alignment horizontal="center"/>
    </xf>
    <xf numFmtId="42" fontId="15" fillId="3" borderId="18" xfId="0" applyNumberFormat="1" applyFont="1" applyFill="1" applyBorder="1" applyAlignment="1">
      <alignment horizontal="center"/>
    </xf>
    <xf numFmtId="42" fontId="15" fillId="0" borderId="27" xfId="0" applyNumberFormat="1" applyFont="1" applyFill="1" applyBorder="1" applyAlignment="1">
      <alignment horizontal="center"/>
    </xf>
    <xf numFmtId="0" fontId="20" fillId="0" borderId="0" xfId="0" applyFont="1" applyAlignment="1"/>
    <xf numFmtId="0" fontId="1" fillId="0" borderId="0" xfId="0" applyFont="1"/>
    <xf numFmtId="42" fontId="1" fillId="0" borderId="0" xfId="0" applyNumberFormat="1" applyFont="1"/>
    <xf numFmtId="42" fontId="15" fillId="0" borderId="0" xfId="0" applyNumberFormat="1" applyFont="1" applyFill="1" applyBorder="1" applyAlignment="1">
      <alignment horizontal="center"/>
    </xf>
    <xf numFmtId="0" fontId="3" fillId="0" borderId="27" xfId="0" applyFont="1" applyBorder="1"/>
    <xf numFmtId="0" fontId="20" fillId="0" borderId="0" xfId="0" applyFont="1" applyAlignment="1">
      <alignment horizontal="right"/>
    </xf>
    <xf numFmtId="0" fontId="20" fillId="0" borderId="0" xfId="0" applyFont="1" applyBorder="1" applyAlignment="1">
      <alignment horizontal="right"/>
    </xf>
    <xf numFmtId="169" fontId="15" fillId="7" borderId="27" xfId="0" applyNumberFormat="1" applyFont="1" applyFill="1" applyBorder="1" applyAlignment="1">
      <alignment horizontal="center"/>
    </xf>
    <xf numFmtId="169" fontId="15" fillId="6" borderId="27" xfId="0" applyNumberFormat="1" applyFont="1" applyFill="1" applyBorder="1" applyAlignment="1">
      <alignment horizontal="center"/>
    </xf>
    <xf numFmtId="169" fontId="15" fillId="5" borderId="27" xfId="0" applyNumberFormat="1" applyFont="1" applyFill="1" applyBorder="1" applyAlignment="1">
      <alignment horizontal="center"/>
    </xf>
    <xf numFmtId="169" fontId="15" fillId="9" borderId="27" xfId="0" applyNumberFormat="1" applyFont="1" applyFill="1" applyBorder="1" applyAlignment="1">
      <alignment horizontal="center"/>
    </xf>
    <xf numFmtId="169" fontId="15" fillId="0" borderId="27" xfId="0" applyNumberFormat="1" applyFont="1" applyFill="1" applyBorder="1" applyAlignment="1">
      <alignment horizontal="center"/>
    </xf>
    <xf numFmtId="169" fontId="15" fillId="0" borderId="27" xfId="0" applyNumberFormat="1" applyFont="1" applyBorder="1"/>
    <xf numFmtId="42" fontId="15" fillId="2" borderId="27" xfId="0" applyNumberFormat="1" applyFont="1" applyFill="1" applyBorder="1"/>
    <xf numFmtId="165" fontId="15" fillId="0" borderId="25" xfId="0" applyNumberFormat="1" applyFont="1" applyBorder="1" applyAlignment="1">
      <alignment horizontal="center"/>
    </xf>
    <xf numFmtId="0" fontId="15" fillId="0" borderId="24" xfId="0" applyFont="1" applyBorder="1" applyAlignment="1">
      <alignment horizontal="center"/>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7" fillId="0" borderId="3" xfId="0" applyFont="1" applyBorder="1" applyAlignment="1">
      <alignment horizontal="center"/>
    </xf>
    <xf numFmtId="0" fontId="17" fillId="0" borderId="9" xfId="0" applyFont="1" applyBorder="1" applyAlignment="1">
      <alignment horizontal="center"/>
    </xf>
    <xf numFmtId="0" fontId="1" fillId="3" borderId="5" xfId="0" applyFont="1" applyFill="1" applyBorder="1" applyAlignment="1">
      <alignment horizontal="center" vertical="center" wrapText="1"/>
    </xf>
    <xf numFmtId="9" fontId="3" fillId="0" borderId="2" xfId="1" applyFont="1" applyBorder="1" applyAlignment="1">
      <alignment horizontal="center" vertical="center" wrapText="1"/>
    </xf>
    <xf numFmtId="9" fontId="1" fillId="0" borderId="2" xfId="1" applyFont="1" applyBorder="1" applyAlignment="1">
      <alignment horizontal="center" vertical="center" wrapText="1"/>
    </xf>
    <xf numFmtId="1" fontId="1" fillId="0" borderId="2" xfId="1" applyNumberFormat="1" applyFont="1" applyBorder="1" applyAlignment="1">
      <alignment horizontal="center" vertical="center"/>
    </xf>
    <xf numFmtId="1"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9" fontId="1" fillId="0" borderId="1" xfId="1" applyFont="1" applyBorder="1" applyAlignment="1">
      <alignment horizontal="center" vertical="center"/>
    </xf>
    <xf numFmtId="0" fontId="1" fillId="0" borderId="10" xfId="0" applyFont="1" applyBorder="1" applyAlignment="1">
      <alignment horizontal="center" vertical="center" wrapText="1"/>
    </xf>
    <xf numFmtId="9" fontId="1" fillId="0" borderId="1" xfId="1" applyFont="1" applyBorder="1" applyAlignment="1">
      <alignment horizontal="center" vertical="center" wrapText="1"/>
    </xf>
    <xf numFmtId="0" fontId="5" fillId="0" borderId="2" xfId="0" applyFont="1" applyBorder="1" applyAlignment="1">
      <alignment horizontal="center" vertical="center" wrapText="1"/>
    </xf>
    <xf numFmtId="9" fontId="1" fillId="0" borderId="2" xfId="1" applyFont="1" applyBorder="1" applyAlignment="1">
      <alignment horizontal="center" vertical="center"/>
    </xf>
    <xf numFmtId="0" fontId="2"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9" fillId="2" borderId="29"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9" fontId="8" fillId="0" borderId="2" xfId="1" applyFont="1" applyBorder="1" applyAlignment="1">
      <alignment horizontal="center" vertical="center"/>
    </xf>
    <xf numFmtId="0" fontId="11" fillId="0" borderId="10" xfId="0" applyFont="1" applyBorder="1" applyAlignment="1">
      <alignment horizontal="justify" vertical="center" wrapText="1"/>
    </xf>
    <xf numFmtId="0" fontId="11"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1" fillId="0" borderId="5" xfId="0" applyFont="1" applyBorder="1" applyAlignment="1">
      <alignment horizontal="center" vertical="center" wrapText="1"/>
    </xf>
    <xf numFmtId="1" fontId="1" fillId="0" borderId="1" xfId="0" applyNumberFormat="1" applyFont="1" applyFill="1" applyBorder="1" applyAlignment="1">
      <alignment horizontal="center" vertical="center" wrapText="1"/>
    </xf>
    <xf numFmtId="9" fontId="1" fillId="0" borderId="1" xfId="1"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justify" vertical="center" wrapText="1" shrinkToFit="1"/>
    </xf>
    <xf numFmtId="0" fontId="2" fillId="0" borderId="1" xfId="0" applyFont="1" applyFill="1" applyBorder="1" applyAlignment="1">
      <alignment horizontal="center" vertical="center" wrapText="1" shrinkToFit="1"/>
    </xf>
    <xf numFmtId="9" fontId="1" fillId="0" borderId="1" xfId="1" applyFont="1" applyFill="1" applyBorder="1" applyAlignment="1">
      <alignment horizontal="center" vertical="center"/>
    </xf>
    <xf numFmtId="0" fontId="1" fillId="0" borderId="1" xfId="1" applyNumberFormat="1" applyFont="1" applyFill="1" applyBorder="1" applyAlignment="1">
      <alignment horizontal="center" vertical="center"/>
    </xf>
    <xf numFmtId="9" fontId="1" fillId="0" borderId="1" xfId="1" applyFont="1" applyBorder="1" applyAlignment="1">
      <alignment horizontal="center" vertical="center"/>
    </xf>
    <xf numFmtId="165" fontId="8" fillId="0" borderId="26" xfId="0" applyNumberFormat="1" applyFont="1" applyBorder="1" applyAlignment="1">
      <alignment horizontal="center" vertical="center"/>
    </xf>
    <xf numFmtId="0" fontId="8" fillId="0" borderId="18" xfId="0" applyFont="1" applyBorder="1" applyAlignment="1">
      <alignment horizontal="center" vertical="center"/>
    </xf>
    <xf numFmtId="165" fontId="1" fillId="0" borderId="1" xfId="3" applyNumberFormat="1" applyFont="1" applyFill="1" applyBorder="1" applyAlignment="1">
      <alignment horizontal="center" vertical="center" wrapText="1"/>
    </xf>
    <xf numFmtId="165" fontId="1" fillId="0" borderId="8" xfId="0" applyNumberFormat="1" applyFont="1" applyBorder="1" applyAlignment="1">
      <alignment horizontal="center" vertical="center"/>
    </xf>
    <xf numFmtId="165" fontId="8" fillId="0" borderId="19" xfId="0" applyNumberFormat="1" applyFont="1" applyBorder="1" applyAlignment="1">
      <alignment horizontal="center" vertical="center"/>
    </xf>
    <xf numFmtId="0" fontId="8" fillId="0" borderId="20" xfId="0" applyFont="1" applyBorder="1" applyAlignment="1">
      <alignment horizontal="center" vertical="center"/>
    </xf>
    <xf numFmtId="168" fontId="15" fillId="0" borderId="15" xfId="0" applyNumberFormat="1" applyFont="1" applyBorder="1" applyAlignment="1">
      <alignment horizontal="center" vertical="center"/>
    </xf>
    <xf numFmtId="0" fontId="15" fillId="0" borderId="17" xfId="0" applyFont="1" applyBorder="1" applyAlignment="1">
      <alignment horizontal="center" vertical="center"/>
    </xf>
    <xf numFmtId="165" fontId="5" fillId="0" borderId="1" xfId="3" applyNumberFormat="1" applyFont="1" applyFill="1" applyBorder="1" applyAlignment="1">
      <alignment horizontal="center" vertical="center" wrapText="1"/>
    </xf>
    <xf numFmtId="165" fontId="1" fillId="0" borderId="1" xfId="0" applyNumberFormat="1" applyFont="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9" fontId="1" fillId="0" borderId="1" xfId="1" applyFont="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6" fillId="0" borderId="22" xfId="0" applyFont="1" applyBorder="1" applyAlignment="1">
      <alignment horizontal="center"/>
    </xf>
    <xf numFmtId="0" fontId="16" fillId="0" borderId="21" xfId="0" applyFont="1" applyBorder="1" applyAlignment="1">
      <alignment horizontal="center"/>
    </xf>
    <xf numFmtId="0" fontId="16" fillId="0" borderId="23" xfId="0" applyFont="1" applyBorder="1" applyAlignment="1">
      <alignment horizontal="center"/>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1" fillId="0" borderId="1" xfId="1" applyFont="1" applyFill="1" applyBorder="1" applyAlignment="1">
      <alignment horizontal="center" vertical="center"/>
    </xf>
    <xf numFmtId="0" fontId="2"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3" fillId="0" borderId="10"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0"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9" fontId="1" fillId="0" borderId="1" xfId="1" applyFont="1" applyBorder="1" applyAlignment="1">
      <alignment horizontal="center" vertical="center" wrapText="1"/>
    </xf>
    <xf numFmtId="9" fontId="1" fillId="0" borderId="10" xfId="1" applyFont="1" applyBorder="1" applyAlignment="1">
      <alignment horizontal="center" vertical="center" wrapText="1"/>
    </xf>
    <xf numFmtId="9"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5" fillId="0" borderId="5"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15" fillId="2" borderId="15" xfId="0" applyFont="1" applyFill="1" applyBorder="1" applyAlignment="1">
      <alignment horizontal="right"/>
    </xf>
    <xf numFmtId="0" fontId="15" fillId="2" borderId="17" xfId="0" applyFont="1" applyFill="1" applyBorder="1" applyAlignment="1">
      <alignment horizontal="right"/>
    </xf>
    <xf numFmtId="0" fontId="15" fillId="2" borderId="15" xfId="0" applyFont="1" applyFill="1" applyBorder="1" applyAlignment="1">
      <alignment horizontal="center"/>
    </xf>
    <xf numFmtId="0" fontId="15" fillId="2" borderId="17" xfId="0" applyFont="1" applyFill="1" applyBorder="1" applyAlignment="1">
      <alignment horizontal="center"/>
    </xf>
    <xf numFmtId="0" fontId="20" fillId="0" borderId="0" xfId="0" applyFont="1" applyAlignment="1">
      <alignment horizontal="right"/>
    </xf>
    <xf numFmtId="0" fontId="20" fillId="0" borderId="28" xfId="0" applyFont="1" applyBorder="1" applyAlignment="1">
      <alignment horizontal="right"/>
    </xf>
    <xf numFmtId="0" fontId="3" fillId="0" borderId="15" xfId="0" applyFont="1" applyBorder="1" applyAlignment="1">
      <alignment horizontal="center"/>
    </xf>
    <xf numFmtId="0" fontId="3" fillId="0" borderId="17" xfId="0" applyFont="1" applyBorder="1" applyAlignment="1">
      <alignment horizontal="center"/>
    </xf>
  </cellXfs>
  <cellStyles count="4">
    <cellStyle name="Millares" xfId="2" builtinId="3"/>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87E2-F50F-4786-A7D4-67668326CA65}">
  <dimension ref="B4:AE228"/>
  <sheetViews>
    <sheetView tabSelected="1" topLeftCell="J197" zoomScale="167" zoomScaleNormal="90" workbookViewId="0">
      <selection activeCell="P138" sqref="P138"/>
    </sheetView>
  </sheetViews>
  <sheetFormatPr baseColWidth="10" defaultColWidth="8.83203125" defaultRowHeight="15" x14ac:dyDescent="0.2"/>
  <cols>
    <col min="1" max="1" width="10" customWidth="1"/>
    <col min="2" max="2" width="28.1640625" customWidth="1"/>
    <col min="3" max="3" width="9" bestFit="1" customWidth="1"/>
    <col min="4" max="4" width="33.83203125" customWidth="1"/>
    <col min="5" max="5" width="9" bestFit="1" customWidth="1"/>
    <col min="6" max="6" width="31" customWidth="1"/>
    <col min="7" max="7" width="9" bestFit="1" customWidth="1"/>
    <col min="8" max="8" width="59.6640625" customWidth="1"/>
    <col min="9" max="9" width="29" style="33" customWidth="1"/>
    <col min="10" max="10" width="34.33203125" customWidth="1"/>
    <col min="11" max="11" width="9" style="4" bestFit="1" customWidth="1"/>
    <col min="12" max="16" width="9" style="4" customWidth="1"/>
    <col min="17" max="20" width="9.33203125" style="4" customWidth="1"/>
    <col min="21" max="21" width="10.6640625" style="4" customWidth="1"/>
    <col min="22" max="23" width="26.5" bestFit="1" customWidth="1"/>
    <col min="24" max="25" width="25.1640625" bestFit="1" customWidth="1"/>
    <col min="26" max="26" width="29.83203125" customWidth="1"/>
    <col min="27" max="27" width="22" bestFit="1" customWidth="1"/>
    <col min="30" max="30" width="20.5" customWidth="1"/>
  </cols>
  <sheetData>
    <row r="4" spans="2:26" ht="16" thickBot="1" x14ac:dyDescent="0.25"/>
    <row r="5" spans="2:26" ht="29.5" customHeight="1" thickBot="1" x14ac:dyDescent="0.25">
      <c r="B5" s="173"/>
      <c r="C5" s="174"/>
      <c r="D5" s="174"/>
      <c r="E5" s="174"/>
      <c r="F5" s="174"/>
      <c r="G5" s="174"/>
      <c r="H5" s="174"/>
      <c r="I5" s="174"/>
      <c r="J5" s="174"/>
      <c r="K5" s="175"/>
      <c r="L5" s="169" t="s">
        <v>268</v>
      </c>
      <c r="M5" s="170"/>
      <c r="N5" s="170"/>
      <c r="O5" s="170"/>
      <c r="P5" s="171"/>
      <c r="Q5" s="169" t="s">
        <v>269</v>
      </c>
      <c r="R5" s="170"/>
      <c r="S5" s="170"/>
      <c r="T5" s="170"/>
      <c r="U5" s="171"/>
      <c r="V5" s="169" t="s">
        <v>636</v>
      </c>
      <c r="W5" s="170"/>
      <c r="X5" s="170"/>
      <c r="Y5" s="170"/>
      <c r="Z5" s="171"/>
    </row>
    <row r="6" spans="2:26" ht="17" thickBot="1" x14ac:dyDescent="0.25">
      <c r="B6" s="139" t="s">
        <v>33</v>
      </c>
      <c r="C6" s="140" t="s">
        <v>37</v>
      </c>
      <c r="D6" s="140" t="s">
        <v>34</v>
      </c>
      <c r="E6" s="140" t="s">
        <v>37</v>
      </c>
      <c r="F6" s="140" t="s">
        <v>35</v>
      </c>
      <c r="G6" s="140" t="s">
        <v>37</v>
      </c>
      <c r="H6" s="140" t="s">
        <v>36</v>
      </c>
      <c r="I6" s="141" t="s">
        <v>270</v>
      </c>
      <c r="J6" s="141" t="s">
        <v>271</v>
      </c>
      <c r="K6" s="142" t="s">
        <v>37</v>
      </c>
      <c r="L6" s="142">
        <v>2020</v>
      </c>
      <c r="M6" s="142">
        <v>2021</v>
      </c>
      <c r="N6" s="142">
        <v>2022</v>
      </c>
      <c r="O6" s="142">
        <v>2023</v>
      </c>
      <c r="P6" s="142" t="s">
        <v>267</v>
      </c>
      <c r="Q6" s="142">
        <v>2020</v>
      </c>
      <c r="R6" s="142">
        <v>2021</v>
      </c>
      <c r="S6" s="142">
        <v>2022</v>
      </c>
      <c r="T6" s="142">
        <v>2023</v>
      </c>
      <c r="U6" s="142" t="s">
        <v>267</v>
      </c>
      <c r="V6" s="142">
        <v>2020</v>
      </c>
      <c r="W6" s="142">
        <v>2021</v>
      </c>
      <c r="X6" s="142">
        <v>2022</v>
      </c>
      <c r="Y6" s="142">
        <v>2023</v>
      </c>
      <c r="Z6" s="142" t="s">
        <v>267</v>
      </c>
    </row>
    <row r="7" spans="2:26" ht="36" x14ac:dyDescent="0.2">
      <c r="B7" s="191" t="s">
        <v>77</v>
      </c>
      <c r="C7" s="188">
        <v>0.4</v>
      </c>
      <c r="D7" s="196" t="s">
        <v>32</v>
      </c>
      <c r="E7" s="195">
        <v>0.65</v>
      </c>
      <c r="F7" s="213" t="s">
        <v>31</v>
      </c>
      <c r="G7" s="201">
        <v>0.2</v>
      </c>
      <c r="H7" s="1" t="s">
        <v>30</v>
      </c>
      <c r="I7" s="40" t="s">
        <v>371</v>
      </c>
      <c r="J7" s="41" t="s">
        <v>372</v>
      </c>
      <c r="K7" s="20">
        <v>0.15</v>
      </c>
      <c r="L7" s="118">
        <v>1</v>
      </c>
      <c r="M7" s="118">
        <v>0</v>
      </c>
      <c r="N7" s="118">
        <v>0</v>
      </c>
      <c r="O7" s="118">
        <v>0</v>
      </c>
      <c r="P7" s="24">
        <f>+L7+M7+N7+O7</f>
        <v>1</v>
      </c>
      <c r="Q7" s="25">
        <f>+$C$7*$E$7*$G$7*K7*(L7/P7)</f>
        <v>7.8000000000000005E-3</v>
      </c>
      <c r="R7" s="25">
        <f>+$C$7*$E$7*$G$7*K7*(M7/P7)</f>
        <v>0</v>
      </c>
      <c r="S7" s="25">
        <f>+$C$7*$E$7*$G$7*K7*(N7/P7)</f>
        <v>0</v>
      </c>
      <c r="T7" s="25">
        <f>+$C$7*$E$7*$G$7*K7*(O7/P7)</f>
        <v>0</v>
      </c>
      <c r="U7" s="25">
        <f>+Q7+R7+S7+T7</f>
        <v>7.8000000000000005E-3</v>
      </c>
      <c r="V7" s="61">
        <f>1500000000</f>
        <v>1500000000</v>
      </c>
      <c r="W7" s="61">
        <v>0</v>
      </c>
      <c r="X7" s="61">
        <v>0</v>
      </c>
      <c r="Y7" s="61">
        <v>0</v>
      </c>
      <c r="Z7" s="62">
        <f>+V7+W7+X7+Y7</f>
        <v>1500000000</v>
      </c>
    </row>
    <row r="8" spans="2:26" ht="36" x14ac:dyDescent="0.2">
      <c r="B8" s="192"/>
      <c r="C8" s="209"/>
      <c r="D8" s="179"/>
      <c r="E8" s="179"/>
      <c r="F8" s="181"/>
      <c r="G8" s="181"/>
      <c r="H8" s="136" t="s">
        <v>29</v>
      </c>
      <c r="I8" s="34" t="s">
        <v>658</v>
      </c>
      <c r="J8" s="30" t="s">
        <v>373</v>
      </c>
      <c r="K8" s="131">
        <v>0.08</v>
      </c>
      <c r="L8" s="29">
        <v>1</v>
      </c>
      <c r="M8" s="29">
        <v>1</v>
      </c>
      <c r="N8" s="29">
        <v>0</v>
      </c>
      <c r="O8" s="29">
        <v>0</v>
      </c>
      <c r="P8" s="7">
        <f t="shared" ref="P8:P43" si="0">+L8+M8+N8+O8</f>
        <v>2</v>
      </c>
      <c r="Q8" s="14">
        <f t="shared" ref="Q8:Q18" si="1">+$C$7*$E$7*$G$7*K8*(L8/P8)</f>
        <v>2.0800000000000003E-3</v>
      </c>
      <c r="R8" s="14">
        <f>+$C$7*$E$7*$G$7*K8*(M8/P8)</f>
        <v>2.0800000000000003E-3</v>
      </c>
      <c r="S8" s="14">
        <f>+$C$7*$E$7*$G$7*K8*(N8/P8)</f>
        <v>0</v>
      </c>
      <c r="T8" s="14">
        <f>+$C$7*$E$7*$G$7*K8*(O8/P8)</f>
        <v>0</v>
      </c>
      <c r="U8" s="14">
        <f>+Q8+R8+S8+T8</f>
        <v>4.1600000000000005E-3</v>
      </c>
      <c r="V8" s="59">
        <v>400000000</v>
      </c>
      <c r="W8" s="59">
        <v>400000000</v>
      </c>
      <c r="X8" s="59"/>
      <c r="Y8" s="59">
        <v>0</v>
      </c>
      <c r="Z8" s="63">
        <f t="shared" ref="Z8:Z71" si="2">+V8+W8+X8+Y8</f>
        <v>800000000</v>
      </c>
    </row>
    <row r="9" spans="2:26" ht="36" x14ac:dyDescent="0.2">
      <c r="B9" s="192"/>
      <c r="C9" s="209"/>
      <c r="D9" s="179"/>
      <c r="E9" s="179"/>
      <c r="F9" s="181"/>
      <c r="G9" s="181"/>
      <c r="H9" s="136" t="s">
        <v>28</v>
      </c>
      <c r="I9" s="34" t="s">
        <v>374</v>
      </c>
      <c r="J9" s="30" t="s">
        <v>375</v>
      </c>
      <c r="K9" s="131">
        <v>0.08</v>
      </c>
      <c r="L9" s="38">
        <v>0.1</v>
      </c>
      <c r="M9" s="38">
        <v>0.1</v>
      </c>
      <c r="N9" s="38">
        <v>0.1</v>
      </c>
      <c r="O9" s="38">
        <v>0.1</v>
      </c>
      <c r="P9" s="131">
        <f t="shared" si="0"/>
        <v>0.4</v>
      </c>
      <c r="Q9" s="14">
        <f t="shared" si="1"/>
        <v>1.0400000000000001E-3</v>
      </c>
      <c r="R9" s="14">
        <f t="shared" ref="R9:R18" si="3">+$C$7*$E$7*$G$7*K9*(M9/P9)</f>
        <v>1.0400000000000001E-3</v>
      </c>
      <c r="S9" s="14">
        <f t="shared" ref="S9:S18" si="4">+$C$7*$E$7*$G$7*K9*(N9/P9)</f>
        <v>1.0400000000000001E-3</v>
      </c>
      <c r="T9" s="14">
        <f t="shared" ref="T9:T18" si="5">+$C$7*$E$7*$G$7*K9*(O9/P9)</f>
        <v>1.0400000000000001E-3</v>
      </c>
      <c r="U9" s="14">
        <f t="shared" ref="U9:U73" si="6">+Q9+R9+S9+T9</f>
        <v>4.1600000000000005E-3</v>
      </c>
      <c r="V9" s="59">
        <v>200000000</v>
      </c>
      <c r="W9" s="59">
        <v>200000000</v>
      </c>
      <c r="X9" s="59">
        <v>200000000</v>
      </c>
      <c r="Y9" s="59">
        <v>200000000</v>
      </c>
      <c r="Z9" s="63">
        <f t="shared" si="2"/>
        <v>800000000</v>
      </c>
    </row>
    <row r="10" spans="2:26" ht="53.25" customHeight="1" x14ac:dyDescent="0.2">
      <c r="B10" s="192"/>
      <c r="C10" s="209"/>
      <c r="D10" s="179"/>
      <c r="E10" s="179"/>
      <c r="F10" s="181"/>
      <c r="G10" s="181"/>
      <c r="H10" s="136" t="s">
        <v>27</v>
      </c>
      <c r="I10" s="34" t="s">
        <v>376</v>
      </c>
      <c r="J10" s="30" t="s">
        <v>377</v>
      </c>
      <c r="K10" s="131">
        <v>0.05</v>
      </c>
      <c r="L10" s="29">
        <v>0</v>
      </c>
      <c r="M10" s="38">
        <v>0.1</v>
      </c>
      <c r="N10" s="38">
        <v>0.1</v>
      </c>
      <c r="O10" s="38">
        <v>0.1</v>
      </c>
      <c r="P10" s="131">
        <f t="shared" si="0"/>
        <v>0.30000000000000004</v>
      </c>
      <c r="Q10" s="14">
        <f t="shared" si="1"/>
        <v>0</v>
      </c>
      <c r="R10" s="14">
        <f t="shared" si="3"/>
        <v>8.6666666666666674E-4</v>
      </c>
      <c r="S10" s="14">
        <f t="shared" si="4"/>
        <v>8.6666666666666674E-4</v>
      </c>
      <c r="T10" s="14">
        <f t="shared" si="5"/>
        <v>8.6666666666666674E-4</v>
      </c>
      <c r="U10" s="14">
        <f t="shared" si="6"/>
        <v>2.6000000000000003E-3</v>
      </c>
      <c r="V10" s="59">
        <v>0</v>
      </c>
      <c r="W10" s="59">
        <v>200000000</v>
      </c>
      <c r="X10" s="59">
        <v>200000000</v>
      </c>
      <c r="Y10" s="59">
        <v>200000000</v>
      </c>
      <c r="Z10" s="63">
        <f t="shared" si="2"/>
        <v>600000000</v>
      </c>
    </row>
    <row r="11" spans="2:26" ht="43" customHeight="1" x14ac:dyDescent="0.2">
      <c r="B11" s="192"/>
      <c r="C11" s="209"/>
      <c r="D11" s="179"/>
      <c r="E11" s="179"/>
      <c r="F11" s="181"/>
      <c r="G11" s="181"/>
      <c r="H11" s="136" t="s">
        <v>255</v>
      </c>
      <c r="I11" s="34" t="s">
        <v>378</v>
      </c>
      <c r="J11" s="30" t="s">
        <v>379</v>
      </c>
      <c r="K11" s="131">
        <v>0.05</v>
      </c>
      <c r="L11" s="29">
        <v>0</v>
      </c>
      <c r="M11" s="38">
        <v>0.1</v>
      </c>
      <c r="N11" s="38">
        <v>0.1</v>
      </c>
      <c r="O11" s="38">
        <v>0.1</v>
      </c>
      <c r="P11" s="131">
        <f t="shared" si="0"/>
        <v>0.30000000000000004</v>
      </c>
      <c r="Q11" s="14">
        <f t="shared" si="1"/>
        <v>0</v>
      </c>
      <c r="R11" s="14">
        <f t="shared" si="3"/>
        <v>8.6666666666666674E-4</v>
      </c>
      <c r="S11" s="14">
        <f t="shared" si="4"/>
        <v>8.6666666666666674E-4</v>
      </c>
      <c r="T11" s="14">
        <f t="shared" si="5"/>
        <v>8.6666666666666674E-4</v>
      </c>
      <c r="U11" s="14">
        <f t="shared" si="6"/>
        <v>2.6000000000000003E-3</v>
      </c>
      <c r="V11" s="59">
        <v>0</v>
      </c>
      <c r="W11" s="59">
        <v>200000000</v>
      </c>
      <c r="X11" s="59">
        <v>200000000</v>
      </c>
      <c r="Y11" s="59">
        <v>200000000</v>
      </c>
      <c r="Z11" s="63">
        <f t="shared" si="2"/>
        <v>600000000</v>
      </c>
    </row>
    <row r="12" spans="2:26" ht="229.25" customHeight="1" x14ac:dyDescent="0.2">
      <c r="B12" s="192"/>
      <c r="C12" s="209"/>
      <c r="D12" s="179"/>
      <c r="E12" s="179"/>
      <c r="F12" s="181"/>
      <c r="G12" s="181"/>
      <c r="H12" s="136" t="s">
        <v>256</v>
      </c>
      <c r="I12" s="34" t="s">
        <v>380</v>
      </c>
      <c r="J12" s="30" t="s">
        <v>381</v>
      </c>
      <c r="K12" s="131">
        <v>0.08</v>
      </c>
      <c r="L12" s="29">
        <v>1</v>
      </c>
      <c r="M12" s="29">
        <v>0</v>
      </c>
      <c r="N12" s="29">
        <v>0</v>
      </c>
      <c r="O12" s="29">
        <v>0</v>
      </c>
      <c r="P12" s="7">
        <f t="shared" si="0"/>
        <v>1</v>
      </c>
      <c r="Q12" s="14">
        <f t="shared" si="1"/>
        <v>4.1600000000000005E-3</v>
      </c>
      <c r="R12" s="14">
        <f t="shared" si="3"/>
        <v>0</v>
      </c>
      <c r="S12" s="14">
        <f t="shared" si="4"/>
        <v>0</v>
      </c>
      <c r="T12" s="14">
        <f t="shared" si="5"/>
        <v>0</v>
      </c>
      <c r="U12" s="14">
        <f t="shared" si="6"/>
        <v>4.1600000000000005E-3</v>
      </c>
      <c r="V12" s="59">
        <v>700000000</v>
      </c>
      <c r="W12" s="59">
        <v>0</v>
      </c>
      <c r="X12" s="59">
        <v>0</v>
      </c>
      <c r="Y12" s="59">
        <v>0</v>
      </c>
      <c r="Z12" s="63">
        <f t="shared" si="2"/>
        <v>700000000</v>
      </c>
    </row>
    <row r="13" spans="2:26" ht="24" x14ac:dyDescent="0.2">
      <c r="B13" s="192"/>
      <c r="C13" s="209"/>
      <c r="D13" s="179"/>
      <c r="E13" s="179"/>
      <c r="F13" s="181"/>
      <c r="G13" s="181"/>
      <c r="H13" s="136" t="s">
        <v>257</v>
      </c>
      <c r="I13" s="34" t="s">
        <v>382</v>
      </c>
      <c r="J13" s="30" t="s">
        <v>383</v>
      </c>
      <c r="K13" s="131">
        <v>0.08</v>
      </c>
      <c r="L13" s="29">
        <v>0</v>
      </c>
      <c r="M13" s="29">
        <v>0</v>
      </c>
      <c r="N13" s="29">
        <v>0</v>
      </c>
      <c r="O13" s="29">
        <v>1</v>
      </c>
      <c r="P13" s="7">
        <f t="shared" si="0"/>
        <v>1</v>
      </c>
      <c r="Q13" s="14">
        <f t="shared" si="1"/>
        <v>0</v>
      </c>
      <c r="R13" s="14">
        <f t="shared" si="3"/>
        <v>0</v>
      </c>
      <c r="S13" s="14">
        <f t="shared" si="4"/>
        <v>0</v>
      </c>
      <c r="T13" s="14">
        <f t="shared" si="5"/>
        <v>4.1600000000000005E-3</v>
      </c>
      <c r="U13" s="14">
        <f t="shared" si="6"/>
        <v>4.1600000000000005E-3</v>
      </c>
      <c r="V13" s="59">
        <v>0</v>
      </c>
      <c r="W13" s="59">
        <v>0</v>
      </c>
      <c r="X13" s="59">
        <v>0</v>
      </c>
      <c r="Y13" s="59">
        <v>800000000</v>
      </c>
      <c r="Z13" s="63">
        <f t="shared" si="2"/>
        <v>800000000</v>
      </c>
    </row>
    <row r="14" spans="2:26" ht="118.25" customHeight="1" x14ac:dyDescent="0.2">
      <c r="B14" s="192"/>
      <c r="C14" s="209"/>
      <c r="D14" s="179"/>
      <c r="E14" s="179"/>
      <c r="F14" s="181"/>
      <c r="G14" s="181"/>
      <c r="H14" s="136" t="s">
        <v>258</v>
      </c>
      <c r="I14" s="34" t="s">
        <v>384</v>
      </c>
      <c r="J14" s="30" t="s">
        <v>385</v>
      </c>
      <c r="K14" s="131">
        <v>0.08</v>
      </c>
      <c r="L14" s="29">
        <v>0</v>
      </c>
      <c r="M14" s="29">
        <v>0</v>
      </c>
      <c r="N14" s="29">
        <v>0</v>
      </c>
      <c r="O14" s="29">
        <v>1</v>
      </c>
      <c r="P14" s="7">
        <f t="shared" si="0"/>
        <v>1</v>
      </c>
      <c r="Q14" s="14">
        <f t="shared" si="1"/>
        <v>0</v>
      </c>
      <c r="R14" s="14">
        <f t="shared" si="3"/>
        <v>0</v>
      </c>
      <c r="S14" s="14">
        <f t="shared" si="4"/>
        <v>0</v>
      </c>
      <c r="T14" s="14">
        <f t="shared" si="5"/>
        <v>4.1600000000000005E-3</v>
      </c>
      <c r="U14" s="14">
        <f t="shared" si="6"/>
        <v>4.1600000000000005E-3</v>
      </c>
      <c r="V14" s="59">
        <v>0</v>
      </c>
      <c r="W14" s="59">
        <v>0</v>
      </c>
      <c r="X14" s="59">
        <v>0</v>
      </c>
      <c r="Y14" s="59">
        <v>700000000</v>
      </c>
      <c r="Z14" s="63">
        <f t="shared" si="2"/>
        <v>700000000</v>
      </c>
    </row>
    <row r="15" spans="2:26" ht="36" x14ac:dyDescent="0.2">
      <c r="B15" s="192"/>
      <c r="C15" s="209"/>
      <c r="D15" s="179"/>
      <c r="E15" s="179"/>
      <c r="F15" s="181"/>
      <c r="G15" s="181"/>
      <c r="H15" s="136" t="s">
        <v>259</v>
      </c>
      <c r="I15" s="34" t="s">
        <v>386</v>
      </c>
      <c r="J15" s="30" t="s">
        <v>387</v>
      </c>
      <c r="K15" s="131">
        <v>0.02</v>
      </c>
      <c r="L15" s="29">
        <v>1</v>
      </c>
      <c r="M15" s="29">
        <v>0</v>
      </c>
      <c r="N15" s="29">
        <v>0</v>
      </c>
      <c r="O15" s="29">
        <v>0</v>
      </c>
      <c r="P15" s="7">
        <f t="shared" si="0"/>
        <v>1</v>
      </c>
      <c r="Q15" s="14">
        <f t="shared" si="1"/>
        <v>1.0400000000000001E-3</v>
      </c>
      <c r="R15" s="14">
        <f t="shared" si="3"/>
        <v>0</v>
      </c>
      <c r="S15" s="14">
        <f t="shared" si="4"/>
        <v>0</v>
      </c>
      <c r="T15" s="14">
        <f t="shared" si="5"/>
        <v>0</v>
      </c>
      <c r="U15" s="14">
        <f t="shared" si="6"/>
        <v>1.0400000000000001E-3</v>
      </c>
      <c r="V15" s="59">
        <v>100000000</v>
      </c>
      <c r="W15" s="59">
        <v>0</v>
      </c>
      <c r="X15" s="59">
        <v>0</v>
      </c>
      <c r="Y15" s="59">
        <v>0</v>
      </c>
      <c r="Z15" s="63">
        <f t="shared" si="2"/>
        <v>100000000</v>
      </c>
    </row>
    <row r="16" spans="2:26" ht="36" x14ac:dyDescent="0.2">
      <c r="B16" s="192"/>
      <c r="C16" s="209"/>
      <c r="D16" s="179"/>
      <c r="E16" s="179"/>
      <c r="F16" s="181"/>
      <c r="G16" s="181"/>
      <c r="H16" s="136" t="s">
        <v>260</v>
      </c>
      <c r="I16" s="34" t="s">
        <v>388</v>
      </c>
      <c r="J16" s="30" t="s">
        <v>389</v>
      </c>
      <c r="K16" s="131">
        <v>0.15</v>
      </c>
      <c r="L16" s="29">
        <v>0</v>
      </c>
      <c r="M16" s="29">
        <v>1</v>
      </c>
      <c r="N16" s="29">
        <v>0</v>
      </c>
      <c r="O16" s="29">
        <v>1</v>
      </c>
      <c r="P16" s="7">
        <f t="shared" si="0"/>
        <v>2</v>
      </c>
      <c r="Q16" s="14">
        <f t="shared" si="1"/>
        <v>0</v>
      </c>
      <c r="R16" s="14">
        <f t="shared" si="3"/>
        <v>3.9000000000000003E-3</v>
      </c>
      <c r="S16" s="14">
        <f t="shared" si="4"/>
        <v>0</v>
      </c>
      <c r="T16" s="14">
        <f t="shared" si="5"/>
        <v>3.9000000000000003E-3</v>
      </c>
      <c r="U16" s="14">
        <f t="shared" si="6"/>
        <v>7.8000000000000005E-3</v>
      </c>
      <c r="V16" s="59">
        <v>0</v>
      </c>
      <c r="W16" s="59">
        <v>700000000</v>
      </c>
      <c r="X16" s="59">
        <v>0</v>
      </c>
      <c r="Y16" s="59">
        <v>700000000</v>
      </c>
      <c r="Z16" s="63">
        <f t="shared" si="2"/>
        <v>1400000000</v>
      </c>
    </row>
    <row r="17" spans="2:26" ht="36" x14ac:dyDescent="0.2">
      <c r="B17" s="192"/>
      <c r="C17" s="209"/>
      <c r="D17" s="179"/>
      <c r="E17" s="179"/>
      <c r="F17" s="181"/>
      <c r="G17" s="181"/>
      <c r="H17" s="136" t="s">
        <v>261</v>
      </c>
      <c r="I17" s="35" t="s">
        <v>390</v>
      </c>
      <c r="J17" s="31" t="s">
        <v>391</v>
      </c>
      <c r="K17" s="131">
        <v>0.1</v>
      </c>
      <c r="L17" s="29">
        <v>3</v>
      </c>
      <c r="M17" s="29">
        <v>1</v>
      </c>
      <c r="N17" s="29">
        <v>0</v>
      </c>
      <c r="O17" s="29">
        <v>1</v>
      </c>
      <c r="P17" s="7">
        <f t="shared" si="0"/>
        <v>5</v>
      </c>
      <c r="Q17" s="14">
        <f t="shared" si="1"/>
        <v>3.1200000000000004E-3</v>
      </c>
      <c r="R17" s="14">
        <f t="shared" si="3"/>
        <v>1.0400000000000001E-3</v>
      </c>
      <c r="S17" s="14">
        <f t="shared" si="4"/>
        <v>0</v>
      </c>
      <c r="T17" s="14">
        <f t="shared" si="5"/>
        <v>1.0400000000000001E-3</v>
      </c>
      <c r="U17" s="14">
        <f t="shared" si="6"/>
        <v>5.2000000000000006E-3</v>
      </c>
      <c r="V17" s="59">
        <v>100000000</v>
      </c>
      <c r="W17" s="59">
        <v>500000000</v>
      </c>
      <c r="X17" s="59">
        <v>0</v>
      </c>
      <c r="Y17" s="59">
        <v>500000000</v>
      </c>
      <c r="Z17" s="63">
        <f t="shared" si="2"/>
        <v>1100000000</v>
      </c>
    </row>
    <row r="18" spans="2:26" ht="36" x14ac:dyDescent="0.2">
      <c r="B18" s="192"/>
      <c r="C18" s="209"/>
      <c r="D18" s="179"/>
      <c r="E18" s="179"/>
      <c r="F18" s="181"/>
      <c r="G18" s="181"/>
      <c r="H18" s="136" t="s">
        <v>262</v>
      </c>
      <c r="I18" s="35" t="s">
        <v>392</v>
      </c>
      <c r="J18" s="31" t="s">
        <v>393</v>
      </c>
      <c r="K18" s="131">
        <v>0.08</v>
      </c>
      <c r="L18" s="29">
        <v>1</v>
      </c>
      <c r="M18" s="29">
        <v>2</v>
      </c>
      <c r="N18" s="29">
        <v>2</v>
      </c>
      <c r="O18" s="29">
        <v>2</v>
      </c>
      <c r="P18" s="7">
        <f t="shared" si="0"/>
        <v>7</v>
      </c>
      <c r="Q18" s="14">
        <f t="shared" si="1"/>
        <v>5.942857142857143E-4</v>
      </c>
      <c r="R18" s="14">
        <f t="shared" si="3"/>
        <v>1.1885714285714286E-3</v>
      </c>
      <c r="S18" s="14">
        <f t="shared" si="4"/>
        <v>1.1885714285714286E-3</v>
      </c>
      <c r="T18" s="14">
        <f t="shared" si="5"/>
        <v>1.1885714285714286E-3</v>
      </c>
      <c r="U18" s="14">
        <f t="shared" si="6"/>
        <v>4.1600000000000005E-3</v>
      </c>
      <c r="V18" s="59">
        <v>100000000</v>
      </c>
      <c r="W18" s="59">
        <v>200000000</v>
      </c>
      <c r="X18" s="59">
        <v>200000000</v>
      </c>
      <c r="Y18" s="59">
        <v>200000000</v>
      </c>
      <c r="Z18" s="63">
        <f t="shared" si="2"/>
        <v>700000000</v>
      </c>
    </row>
    <row r="19" spans="2:26" ht="24" x14ac:dyDescent="0.2">
      <c r="B19" s="192"/>
      <c r="C19" s="209"/>
      <c r="D19" s="179"/>
      <c r="E19" s="179"/>
      <c r="F19" s="181" t="s">
        <v>26</v>
      </c>
      <c r="G19" s="182">
        <v>0.1</v>
      </c>
      <c r="H19" s="136" t="s">
        <v>25</v>
      </c>
      <c r="I19" s="34" t="s">
        <v>394</v>
      </c>
      <c r="J19" s="30" t="s">
        <v>395</v>
      </c>
      <c r="K19" s="131">
        <v>0.5</v>
      </c>
      <c r="L19" s="29">
        <v>1</v>
      </c>
      <c r="M19" s="29">
        <v>1</v>
      </c>
      <c r="N19" s="29">
        <v>1</v>
      </c>
      <c r="O19" s="29">
        <v>1</v>
      </c>
      <c r="P19" s="7">
        <f t="shared" si="0"/>
        <v>4</v>
      </c>
      <c r="Q19" s="14">
        <f>+$C$7*$E$7*$G$19*K19*(L19/P19)</f>
        <v>3.2500000000000003E-3</v>
      </c>
      <c r="R19" s="14">
        <f>+$C$7*$E$7*$G$19*K19*(M19/P19)</f>
        <v>3.2500000000000003E-3</v>
      </c>
      <c r="S19" s="14">
        <f>+$C$7*$E$7*$G$19*K19*(N19/P19)</f>
        <v>3.2500000000000003E-3</v>
      </c>
      <c r="T19" s="14">
        <f>+$C$7*$E$7*$G$19*K19*(O19/P19)</f>
        <v>3.2500000000000003E-3</v>
      </c>
      <c r="U19" s="14">
        <f t="shared" si="6"/>
        <v>1.3000000000000001E-2</v>
      </c>
      <c r="V19" s="59">
        <v>200000000</v>
      </c>
      <c r="W19" s="59">
        <v>400000000</v>
      </c>
      <c r="X19" s="59">
        <v>400000000</v>
      </c>
      <c r="Y19" s="59">
        <v>400000000</v>
      </c>
      <c r="Z19" s="63">
        <f t="shared" si="2"/>
        <v>1400000000</v>
      </c>
    </row>
    <row r="20" spans="2:26" ht="36" x14ac:dyDescent="0.2">
      <c r="B20" s="192"/>
      <c r="C20" s="209"/>
      <c r="D20" s="179"/>
      <c r="E20" s="179"/>
      <c r="F20" s="181"/>
      <c r="G20" s="181"/>
      <c r="H20" s="136" t="s">
        <v>24</v>
      </c>
      <c r="I20" s="34" t="s">
        <v>396</v>
      </c>
      <c r="J20" s="30" t="s">
        <v>397</v>
      </c>
      <c r="K20" s="131">
        <v>0.5</v>
      </c>
      <c r="L20" s="29">
        <v>3</v>
      </c>
      <c r="M20" s="29">
        <v>3</v>
      </c>
      <c r="N20" s="29">
        <v>4</v>
      </c>
      <c r="O20" s="29">
        <v>4</v>
      </c>
      <c r="P20" s="7"/>
      <c r="Q20" s="14">
        <f>+$C$7*$E$7*$G$19*K20*(1/4)</f>
        <v>3.2500000000000003E-3</v>
      </c>
      <c r="R20" s="14">
        <f>+$C$7*$E$7*$G$19*K20*(1/4)</f>
        <v>3.2500000000000003E-3</v>
      </c>
      <c r="S20" s="14">
        <f>+$C$7*$E$7*$G$19*K20*(1/4)</f>
        <v>3.2500000000000003E-3</v>
      </c>
      <c r="T20" s="14">
        <f>+$C$7*$E$7*$G$19*K20*(1/4)</f>
        <v>3.2500000000000003E-3</v>
      </c>
      <c r="U20" s="14">
        <f>+Q20+R20+S20+T20</f>
        <v>1.3000000000000001E-2</v>
      </c>
      <c r="V20" s="59">
        <v>100000000</v>
      </c>
      <c r="W20" s="59">
        <v>200000000</v>
      </c>
      <c r="X20" s="59">
        <v>200000000</v>
      </c>
      <c r="Y20" s="59">
        <v>200000000</v>
      </c>
      <c r="Z20" s="63">
        <f t="shared" si="2"/>
        <v>700000000</v>
      </c>
    </row>
    <row r="21" spans="2:26" ht="36" x14ac:dyDescent="0.2">
      <c r="B21" s="192"/>
      <c r="C21" s="209"/>
      <c r="D21" s="179"/>
      <c r="E21" s="179"/>
      <c r="F21" s="181" t="s">
        <v>21</v>
      </c>
      <c r="G21" s="182">
        <v>0.7</v>
      </c>
      <c r="H21" s="136" t="s">
        <v>20</v>
      </c>
      <c r="I21" s="34" t="s">
        <v>398</v>
      </c>
      <c r="J21" s="30" t="s">
        <v>399</v>
      </c>
      <c r="K21" s="131">
        <v>0.1</v>
      </c>
      <c r="L21" s="29">
        <v>1</v>
      </c>
      <c r="M21" s="29">
        <v>1</v>
      </c>
      <c r="N21" s="29">
        <v>1</v>
      </c>
      <c r="O21" s="29">
        <v>1</v>
      </c>
      <c r="P21" s="7">
        <f t="shared" si="0"/>
        <v>4</v>
      </c>
      <c r="Q21" s="14">
        <f>+$C$7*$E$7*$G$21*K21*(L21/P21)</f>
        <v>4.5500000000000002E-3</v>
      </c>
      <c r="R21" s="14">
        <f>+$C$7*$E$7*$G$21*K21*(M21/P21)</f>
        <v>4.5500000000000002E-3</v>
      </c>
      <c r="S21" s="14">
        <f>+$C$7*$E$7*$G$21*K21*(N21/P21)</f>
        <v>4.5500000000000002E-3</v>
      </c>
      <c r="T21" s="14">
        <f>+$C$7*$E$7*$G$21*K21*(O21/P21)</f>
        <v>4.5500000000000002E-3</v>
      </c>
      <c r="U21" s="14">
        <f t="shared" si="6"/>
        <v>1.8200000000000001E-2</v>
      </c>
      <c r="V21" s="59">
        <v>500000000</v>
      </c>
      <c r="W21" s="59">
        <v>500000000</v>
      </c>
      <c r="X21" s="59">
        <v>500000000</v>
      </c>
      <c r="Y21" s="59">
        <v>500000000</v>
      </c>
      <c r="Z21" s="63">
        <f t="shared" si="2"/>
        <v>2000000000</v>
      </c>
    </row>
    <row r="22" spans="2:26" ht="36" x14ac:dyDescent="0.2">
      <c r="B22" s="192"/>
      <c r="C22" s="209"/>
      <c r="D22" s="179"/>
      <c r="E22" s="179"/>
      <c r="F22" s="181"/>
      <c r="G22" s="181"/>
      <c r="H22" s="49" t="s">
        <v>675</v>
      </c>
      <c r="I22" s="154" t="s">
        <v>669</v>
      </c>
      <c r="J22" s="155" t="s">
        <v>668</v>
      </c>
      <c r="K22" s="131">
        <v>0.4</v>
      </c>
      <c r="L22" s="29">
        <v>1</v>
      </c>
      <c r="M22" s="29">
        <v>1</v>
      </c>
      <c r="N22" s="29">
        <v>1</v>
      </c>
      <c r="O22" s="29">
        <v>1</v>
      </c>
      <c r="P22" s="7">
        <f t="shared" si="0"/>
        <v>4</v>
      </c>
      <c r="Q22" s="14">
        <f t="shared" ref="Q22:Q25" si="7">+$C$7*$E$7*$G$21*K22*(L22/P22)</f>
        <v>1.8200000000000001E-2</v>
      </c>
      <c r="R22" s="14">
        <f t="shared" ref="R22:R25" si="8">+$C$7*$E$7*$G$21*K22*(M22/P22)</f>
        <v>1.8200000000000001E-2</v>
      </c>
      <c r="S22" s="14">
        <f t="shared" ref="S22:S25" si="9">+$C$7*$E$7*$G$21*K22*(N22/P22)</f>
        <v>1.8200000000000001E-2</v>
      </c>
      <c r="T22" s="14">
        <f t="shared" ref="T22:T25" si="10">+$C$7*$E$7*$G$21*K22*(O22/P22)</f>
        <v>1.8200000000000001E-2</v>
      </c>
      <c r="U22" s="14">
        <f t="shared" si="6"/>
        <v>7.2800000000000004E-2</v>
      </c>
      <c r="V22" s="59">
        <v>12900000000</v>
      </c>
      <c r="W22" s="59">
        <v>5000000000</v>
      </c>
      <c r="X22" s="59">
        <v>1500000000</v>
      </c>
      <c r="Y22" s="59">
        <v>1500000000</v>
      </c>
      <c r="Z22" s="63">
        <f t="shared" si="2"/>
        <v>20900000000</v>
      </c>
    </row>
    <row r="23" spans="2:26" ht="48" x14ac:dyDescent="0.2">
      <c r="B23" s="192"/>
      <c r="C23" s="209"/>
      <c r="D23" s="179"/>
      <c r="E23" s="179"/>
      <c r="F23" s="181"/>
      <c r="G23" s="181"/>
      <c r="H23" s="49" t="s">
        <v>676</v>
      </c>
      <c r="I23" s="154" t="s">
        <v>673</v>
      </c>
      <c r="J23" s="155" t="s">
        <v>671</v>
      </c>
      <c r="K23" s="131">
        <v>0.2</v>
      </c>
      <c r="L23" s="29">
        <v>1</v>
      </c>
      <c r="M23" s="29">
        <v>1</v>
      </c>
      <c r="N23" s="29">
        <v>1</v>
      </c>
      <c r="O23" s="29">
        <v>1</v>
      </c>
      <c r="P23" s="7">
        <f t="shared" si="0"/>
        <v>4</v>
      </c>
      <c r="Q23" s="14">
        <f t="shared" si="7"/>
        <v>9.1000000000000004E-3</v>
      </c>
      <c r="R23" s="14">
        <f t="shared" si="8"/>
        <v>9.1000000000000004E-3</v>
      </c>
      <c r="S23" s="14">
        <f t="shared" si="9"/>
        <v>9.1000000000000004E-3</v>
      </c>
      <c r="T23" s="14">
        <f t="shared" si="10"/>
        <v>9.1000000000000004E-3</v>
      </c>
      <c r="U23" s="14">
        <f t="shared" si="6"/>
        <v>3.6400000000000002E-2</v>
      </c>
      <c r="V23" s="59">
        <v>2400000000</v>
      </c>
      <c r="W23" s="59">
        <v>1550000000</v>
      </c>
      <c r="X23" s="59">
        <v>1000000000</v>
      </c>
      <c r="Y23" s="59">
        <v>1000000000</v>
      </c>
      <c r="Z23" s="63">
        <f t="shared" si="2"/>
        <v>5950000000</v>
      </c>
    </row>
    <row r="24" spans="2:26" ht="36" x14ac:dyDescent="0.2">
      <c r="B24" s="192"/>
      <c r="C24" s="209"/>
      <c r="D24" s="179"/>
      <c r="E24" s="179"/>
      <c r="F24" s="181"/>
      <c r="G24" s="181"/>
      <c r="H24" s="49" t="s">
        <v>677</v>
      </c>
      <c r="I24" s="154" t="s">
        <v>674</v>
      </c>
      <c r="J24" s="155" t="s">
        <v>672</v>
      </c>
      <c r="K24" s="131">
        <v>0.2</v>
      </c>
      <c r="L24" s="29">
        <v>1</v>
      </c>
      <c r="M24" s="29">
        <v>1</v>
      </c>
      <c r="N24" s="29">
        <v>1</v>
      </c>
      <c r="O24" s="29">
        <v>1</v>
      </c>
      <c r="P24" s="7">
        <f t="shared" si="0"/>
        <v>4</v>
      </c>
      <c r="Q24" s="14">
        <f t="shared" si="7"/>
        <v>9.1000000000000004E-3</v>
      </c>
      <c r="R24" s="14">
        <f t="shared" si="8"/>
        <v>9.1000000000000004E-3</v>
      </c>
      <c r="S24" s="14">
        <f t="shared" si="9"/>
        <v>9.1000000000000004E-3</v>
      </c>
      <c r="T24" s="14">
        <f t="shared" si="10"/>
        <v>9.1000000000000004E-3</v>
      </c>
      <c r="U24" s="14">
        <f t="shared" si="6"/>
        <v>3.6400000000000002E-2</v>
      </c>
      <c r="V24" s="59">
        <v>1400000000</v>
      </c>
      <c r="W24" s="59">
        <v>1800000000</v>
      </c>
      <c r="X24" s="59">
        <v>1900000000</v>
      </c>
      <c r="Y24" s="59">
        <v>4695000000</v>
      </c>
      <c r="Z24" s="63">
        <f t="shared" si="2"/>
        <v>9795000000</v>
      </c>
    </row>
    <row r="25" spans="2:26" ht="60" x14ac:dyDescent="0.2">
      <c r="B25" s="192"/>
      <c r="C25" s="209"/>
      <c r="D25" s="179"/>
      <c r="E25" s="179"/>
      <c r="F25" s="181"/>
      <c r="G25" s="181"/>
      <c r="H25" s="136" t="s">
        <v>19</v>
      </c>
      <c r="I25" s="34" t="s">
        <v>400</v>
      </c>
      <c r="J25" s="30" t="s">
        <v>401</v>
      </c>
      <c r="K25" s="131">
        <v>0.1</v>
      </c>
      <c r="L25" s="29">
        <v>1</v>
      </c>
      <c r="M25" s="29">
        <v>1</v>
      </c>
      <c r="N25" s="29">
        <v>1</v>
      </c>
      <c r="O25" s="29">
        <v>1</v>
      </c>
      <c r="P25" s="7">
        <f t="shared" si="0"/>
        <v>4</v>
      </c>
      <c r="Q25" s="14">
        <f t="shared" si="7"/>
        <v>4.5500000000000002E-3</v>
      </c>
      <c r="R25" s="14">
        <f t="shared" si="8"/>
        <v>4.5500000000000002E-3</v>
      </c>
      <c r="S25" s="14">
        <f t="shared" si="9"/>
        <v>4.5500000000000002E-3</v>
      </c>
      <c r="T25" s="14">
        <f t="shared" si="10"/>
        <v>4.5500000000000002E-3</v>
      </c>
      <c r="U25" s="14">
        <f t="shared" si="6"/>
        <v>1.8200000000000001E-2</v>
      </c>
      <c r="V25" s="59">
        <v>450000000</v>
      </c>
      <c r="W25" s="59">
        <v>900000000</v>
      </c>
      <c r="X25" s="59">
        <v>900000000</v>
      </c>
      <c r="Y25" s="59">
        <v>900000000</v>
      </c>
      <c r="Z25" s="63">
        <f t="shared" si="2"/>
        <v>3150000000</v>
      </c>
    </row>
    <row r="26" spans="2:26" ht="36" x14ac:dyDescent="0.2">
      <c r="B26" s="192"/>
      <c r="C26" s="209"/>
      <c r="D26" s="179" t="s">
        <v>23</v>
      </c>
      <c r="E26" s="180">
        <v>0.25</v>
      </c>
      <c r="F26" s="181" t="s">
        <v>18</v>
      </c>
      <c r="G26" s="182">
        <v>0.1</v>
      </c>
      <c r="H26" s="136" t="s">
        <v>17</v>
      </c>
      <c r="I26" s="36" t="s">
        <v>402</v>
      </c>
      <c r="J26" s="32" t="s">
        <v>403</v>
      </c>
      <c r="K26" s="131">
        <v>0.35</v>
      </c>
      <c r="L26" s="38">
        <v>0.4</v>
      </c>
      <c r="M26" s="38">
        <v>0.6</v>
      </c>
      <c r="N26" s="38">
        <v>0.8</v>
      </c>
      <c r="O26" s="38">
        <v>0.9</v>
      </c>
      <c r="P26" s="7"/>
      <c r="Q26" s="14">
        <f>+$C$7*$E$26*$G$26*K26*(1/4)</f>
        <v>8.7500000000000013E-4</v>
      </c>
      <c r="R26" s="14">
        <f>+$C$7*$E$26*$G$26*K26*(1/4)</f>
        <v>8.7500000000000013E-4</v>
      </c>
      <c r="S26" s="14">
        <f>+$C$7*$E$26*$G$26*K26*(1/4)</f>
        <v>8.7500000000000013E-4</v>
      </c>
      <c r="T26" s="14">
        <f>+$C$7*$E$26*$G$26*K26*(1/4)</f>
        <v>8.7500000000000013E-4</v>
      </c>
      <c r="U26" s="14">
        <f t="shared" si="6"/>
        <v>3.5000000000000005E-3</v>
      </c>
      <c r="V26" s="59">
        <v>100000000</v>
      </c>
      <c r="W26" s="59">
        <v>200000000</v>
      </c>
      <c r="X26" s="59">
        <v>200000000</v>
      </c>
      <c r="Y26" s="59">
        <v>200000000</v>
      </c>
      <c r="Z26" s="63">
        <f t="shared" si="2"/>
        <v>700000000</v>
      </c>
    </row>
    <row r="27" spans="2:26" ht="36" x14ac:dyDescent="0.2">
      <c r="B27" s="192"/>
      <c r="C27" s="209"/>
      <c r="D27" s="179"/>
      <c r="E27" s="180"/>
      <c r="F27" s="181"/>
      <c r="G27" s="181"/>
      <c r="H27" s="136" t="s">
        <v>16</v>
      </c>
      <c r="I27" s="36" t="s">
        <v>404</v>
      </c>
      <c r="J27" s="32" t="s">
        <v>405</v>
      </c>
      <c r="K27" s="131">
        <v>0.35</v>
      </c>
      <c r="L27" s="38">
        <v>1</v>
      </c>
      <c r="M27" s="38">
        <v>1</v>
      </c>
      <c r="N27" s="38">
        <v>1</v>
      </c>
      <c r="O27" s="38">
        <v>1</v>
      </c>
      <c r="P27" s="7"/>
      <c r="Q27" s="14">
        <f>+$C$7*$E$26*$G$26*K27*(1/4)</f>
        <v>8.7500000000000013E-4</v>
      </c>
      <c r="R27" s="14">
        <f>+$C$7*$E$26*$G$26*K27*(1/4)</f>
        <v>8.7500000000000013E-4</v>
      </c>
      <c r="S27" s="14">
        <f>+$C$7*$E$26*$G$26*K27*(1/4)</f>
        <v>8.7500000000000013E-4</v>
      </c>
      <c r="T27" s="14">
        <f>+$C$7*$E$26*$G$26*K27*(1/4)</f>
        <v>8.7500000000000013E-4</v>
      </c>
      <c r="U27" s="14">
        <f t="shared" si="6"/>
        <v>3.5000000000000005E-3</v>
      </c>
      <c r="V27" s="59">
        <v>100000000</v>
      </c>
      <c r="W27" s="59">
        <v>200000000</v>
      </c>
      <c r="X27" s="59">
        <v>200000000</v>
      </c>
      <c r="Y27" s="59">
        <v>200000000</v>
      </c>
      <c r="Z27" s="63">
        <f t="shared" si="2"/>
        <v>700000000</v>
      </c>
    </row>
    <row r="28" spans="2:26" ht="36" x14ac:dyDescent="0.2">
      <c r="B28" s="192"/>
      <c r="C28" s="209"/>
      <c r="D28" s="179"/>
      <c r="E28" s="180"/>
      <c r="F28" s="181"/>
      <c r="G28" s="181"/>
      <c r="H28" s="136" t="s">
        <v>15</v>
      </c>
      <c r="I28" s="136" t="s">
        <v>406</v>
      </c>
      <c r="J28" s="32" t="s">
        <v>407</v>
      </c>
      <c r="K28" s="131">
        <v>0.3</v>
      </c>
      <c r="L28" s="29">
        <v>0</v>
      </c>
      <c r="M28" s="29">
        <v>1</v>
      </c>
      <c r="N28" s="29">
        <v>0</v>
      </c>
      <c r="O28" s="29">
        <v>1</v>
      </c>
      <c r="P28" s="7">
        <f t="shared" si="0"/>
        <v>2</v>
      </c>
      <c r="Q28" s="14">
        <f t="shared" ref="Q28" si="11">+$C$7*$E$26*$G$26*K28*(L28/P28)</f>
        <v>0</v>
      </c>
      <c r="R28" s="14">
        <f t="shared" ref="R28" si="12">+$C$7*$E$26*$G$26*K28*(M28/P28)</f>
        <v>1.5000000000000002E-3</v>
      </c>
      <c r="S28" s="14">
        <f t="shared" ref="S28" si="13">+$C$7*$E$26*$G$26*K28*(N28/P28)</f>
        <v>0</v>
      </c>
      <c r="T28" s="14">
        <f t="shared" ref="T28" si="14">+$C$7*$E$26*$G$26*K28*(O28/P28)</f>
        <v>1.5000000000000002E-3</v>
      </c>
      <c r="U28" s="14">
        <f t="shared" si="6"/>
        <v>3.0000000000000005E-3</v>
      </c>
      <c r="V28" s="59">
        <v>0</v>
      </c>
      <c r="W28" s="59">
        <v>300000000</v>
      </c>
      <c r="X28" s="59">
        <v>0</v>
      </c>
      <c r="Y28" s="59">
        <v>300000000</v>
      </c>
      <c r="Z28" s="63">
        <f t="shared" si="2"/>
        <v>600000000</v>
      </c>
    </row>
    <row r="29" spans="2:26" ht="48" x14ac:dyDescent="0.2">
      <c r="B29" s="192"/>
      <c r="C29" s="209"/>
      <c r="D29" s="179"/>
      <c r="E29" s="180"/>
      <c r="F29" s="181" t="s">
        <v>22</v>
      </c>
      <c r="G29" s="182">
        <v>0.4</v>
      </c>
      <c r="H29" s="136" t="s">
        <v>14</v>
      </c>
      <c r="I29" s="36" t="s">
        <v>408</v>
      </c>
      <c r="J29" s="32" t="s">
        <v>409</v>
      </c>
      <c r="K29" s="131">
        <v>0.1</v>
      </c>
      <c r="L29" s="38">
        <v>1</v>
      </c>
      <c r="M29" s="38">
        <v>1</v>
      </c>
      <c r="N29" s="38">
        <v>1</v>
      </c>
      <c r="O29" s="38">
        <v>1</v>
      </c>
      <c r="P29" s="7"/>
      <c r="Q29" s="14">
        <f>+$C$7*$E$26*$G$29*K29*(1/4)</f>
        <v>1.0000000000000002E-3</v>
      </c>
      <c r="R29" s="14">
        <f>+$C$7*$E$26*$G$29*K29*(1/4)</f>
        <v>1.0000000000000002E-3</v>
      </c>
      <c r="S29" s="14">
        <f>+$C$7*$E$26*$G$29*K29*(1/4)</f>
        <v>1.0000000000000002E-3</v>
      </c>
      <c r="T29" s="14">
        <f>+$C$7*$E$26*$G$29*K29*(1/4)</f>
        <v>1.0000000000000002E-3</v>
      </c>
      <c r="U29" s="14">
        <f t="shared" si="6"/>
        <v>4.000000000000001E-3</v>
      </c>
      <c r="V29" s="59">
        <v>90000000</v>
      </c>
      <c r="W29" s="59">
        <v>170000000</v>
      </c>
      <c r="X29" s="59">
        <v>170000000</v>
      </c>
      <c r="Y29" s="59">
        <v>200000000</v>
      </c>
      <c r="Z29" s="63">
        <f t="shared" si="2"/>
        <v>630000000</v>
      </c>
    </row>
    <row r="30" spans="2:26" ht="36" x14ac:dyDescent="0.2">
      <c r="B30" s="192"/>
      <c r="C30" s="209"/>
      <c r="D30" s="179"/>
      <c r="E30" s="180"/>
      <c r="F30" s="181"/>
      <c r="G30" s="181"/>
      <c r="H30" s="136" t="s">
        <v>13</v>
      </c>
      <c r="I30" s="36" t="s">
        <v>410</v>
      </c>
      <c r="J30" s="32" t="s">
        <v>411</v>
      </c>
      <c r="K30" s="131">
        <v>0.3</v>
      </c>
      <c r="L30" s="29">
        <v>1</v>
      </c>
      <c r="M30" s="29">
        <v>1</v>
      </c>
      <c r="N30" s="29">
        <v>1</v>
      </c>
      <c r="O30" s="29">
        <v>1</v>
      </c>
      <c r="P30" s="7">
        <f t="shared" si="0"/>
        <v>4</v>
      </c>
      <c r="Q30" s="14">
        <f>+$C$7*$E$26*$G$29*K30*(L30/P30)</f>
        <v>3.0000000000000005E-3</v>
      </c>
      <c r="R30" s="14">
        <f t="shared" ref="R30:R35" si="15">+$C$7*$E$26*$G$29*K30*(M30/P30)</f>
        <v>3.0000000000000005E-3</v>
      </c>
      <c r="S30" s="14">
        <f t="shared" ref="S30:S35" si="16">+$C$7*$E$26*$G$29*K30*(N30/P30)</f>
        <v>3.0000000000000005E-3</v>
      </c>
      <c r="T30" s="14">
        <f t="shared" ref="T30:T35" si="17">+$C$7*$E$26*$G$29*K30*(O30/P30)</f>
        <v>3.0000000000000005E-3</v>
      </c>
      <c r="U30" s="14">
        <f t="shared" si="6"/>
        <v>1.2000000000000002E-2</v>
      </c>
      <c r="V30" s="59">
        <v>600000000</v>
      </c>
      <c r="W30" s="59">
        <v>1200000000</v>
      </c>
      <c r="X30" s="59">
        <v>1200000000</v>
      </c>
      <c r="Y30" s="59">
        <v>1200000000</v>
      </c>
      <c r="Z30" s="63">
        <f t="shared" si="2"/>
        <v>4200000000</v>
      </c>
    </row>
    <row r="31" spans="2:26" ht="36" x14ac:dyDescent="0.2">
      <c r="B31" s="192"/>
      <c r="C31" s="209"/>
      <c r="D31" s="179"/>
      <c r="E31" s="180"/>
      <c r="F31" s="181"/>
      <c r="G31" s="181"/>
      <c r="H31" s="136" t="s">
        <v>12</v>
      </c>
      <c r="I31" s="36" t="s">
        <v>412</v>
      </c>
      <c r="J31" s="32" t="s">
        <v>413</v>
      </c>
      <c r="K31" s="131">
        <v>0.2</v>
      </c>
      <c r="L31" s="29">
        <v>1</v>
      </c>
      <c r="M31" s="29">
        <v>1</v>
      </c>
      <c r="N31" s="29">
        <v>1</v>
      </c>
      <c r="O31" s="29">
        <v>1</v>
      </c>
      <c r="P31" s="7">
        <f t="shared" si="0"/>
        <v>4</v>
      </c>
      <c r="Q31" s="14">
        <f t="shared" ref="Q31:Q35" si="18">+$C$7*$E$26*$G$29*K31*(L31/P31)</f>
        <v>2.0000000000000005E-3</v>
      </c>
      <c r="R31" s="14">
        <f t="shared" si="15"/>
        <v>2.0000000000000005E-3</v>
      </c>
      <c r="S31" s="14">
        <f t="shared" si="16"/>
        <v>2.0000000000000005E-3</v>
      </c>
      <c r="T31" s="14">
        <f t="shared" si="17"/>
        <v>2.0000000000000005E-3</v>
      </c>
      <c r="U31" s="14">
        <f t="shared" si="6"/>
        <v>8.0000000000000019E-3</v>
      </c>
      <c r="V31" s="59">
        <v>200000000</v>
      </c>
      <c r="W31" s="59">
        <v>400000000</v>
      </c>
      <c r="X31" s="59">
        <v>400000000</v>
      </c>
      <c r="Y31" s="59">
        <v>400000000</v>
      </c>
      <c r="Z31" s="63">
        <f t="shared" si="2"/>
        <v>1400000000</v>
      </c>
    </row>
    <row r="32" spans="2:26" ht="36" x14ac:dyDescent="0.2">
      <c r="B32" s="192"/>
      <c r="C32" s="209"/>
      <c r="D32" s="179"/>
      <c r="E32" s="180"/>
      <c r="F32" s="181"/>
      <c r="G32" s="181"/>
      <c r="H32" s="136" t="s">
        <v>684</v>
      </c>
      <c r="I32" s="36" t="s">
        <v>414</v>
      </c>
      <c r="J32" s="32" t="s">
        <v>415</v>
      </c>
      <c r="K32" s="131">
        <v>0.1</v>
      </c>
      <c r="L32" s="29">
        <v>0</v>
      </c>
      <c r="M32" s="29">
        <v>1</v>
      </c>
      <c r="N32" s="29">
        <v>0</v>
      </c>
      <c r="O32" s="29">
        <v>0</v>
      </c>
      <c r="P32" s="7">
        <f t="shared" si="0"/>
        <v>1</v>
      </c>
      <c r="Q32" s="14">
        <f t="shared" si="18"/>
        <v>0</v>
      </c>
      <c r="R32" s="14">
        <f t="shared" si="15"/>
        <v>4.000000000000001E-3</v>
      </c>
      <c r="S32" s="14">
        <f t="shared" si="16"/>
        <v>0</v>
      </c>
      <c r="T32" s="14">
        <f t="shared" si="17"/>
        <v>0</v>
      </c>
      <c r="U32" s="14">
        <f t="shared" si="6"/>
        <v>4.000000000000001E-3</v>
      </c>
      <c r="V32" s="59">
        <v>0</v>
      </c>
      <c r="W32" s="59">
        <v>700000000</v>
      </c>
      <c r="X32" s="59">
        <v>0</v>
      </c>
      <c r="Y32" s="59">
        <v>0</v>
      </c>
      <c r="Z32" s="63">
        <f t="shared" si="2"/>
        <v>700000000</v>
      </c>
    </row>
    <row r="33" spans="2:26" ht="60" x14ac:dyDescent="0.2">
      <c r="B33" s="192"/>
      <c r="C33" s="209"/>
      <c r="D33" s="179"/>
      <c r="E33" s="180"/>
      <c r="F33" s="181"/>
      <c r="G33" s="181"/>
      <c r="H33" s="136" t="s">
        <v>661</v>
      </c>
      <c r="I33" s="36" t="s">
        <v>660</v>
      </c>
      <c r="J33" s="9" t="s">
        <v>416</v>
      </c>
      <c r="K33" s="131">
        <v>0.1</v>
      </c>
      <c r="L33" s="29">
        <v>0</v>
      </c>
      <c r="M33" s="29">
        <v>1</v>
      </c>
      <c r="N33" s="29">
        <v>1</v>
      </c>
      <c r="O33" s="29">
        <v>1</v>
      </c>
      <c r="P33" s="7">
        <f t="shared" si="0"/>
        <v>3</v>
      </c>
      <c r="Q33" s="14">
        <f t="shared" si="18"/>
        <v>0</v>
      </c>
      <c r="R33" s="14">
        <f t="shared" si="15"/>
        <v>1.3333333333333335E-3</v>
      </c>
      <c r="S33" s="14">
        <f t="shared" si="16"/>
        <v>1.3333333333333335E-3</v>
      </c>
      <c r="T33" s="14">
        <f t="shared" si="17"/>
        <v>1.3333333333333335E-3</v>
      </c>
      <c r="U33" s="14">
        <f t="shared" si="6"/>
        <v>4.0000000000000001E-3</v>
      </c>
      <c r="V33" s="59">
        <v>0</v>
      </c>
      <c r="W33" s="59">
        <v>100000000</v>
      </c>
      <c r="X33" s="59">
        <v>100000000</v>
      </c>
      <c r="Y33" s="59">
        <v>100000000</v>
      </c>
      <c r="Z33" s="63">
        <f t="shared" si="2"/>
        <v>300000000</v>
      </c>
    </row>
    <row r="34" spans="2:26" ht="36" x14ac:dyDescent="0.2">
      <c r="B34" s="192"/>
      <c r="C34" s="209"/>
      <c r="D34" s="179"/>
      <c r="E34" s="180"/>
      <c r="F34" s="181"/>
      <c r="G34" s="181"/>
      <c r="H34" s="136" t="s">
        <v>10</v>
      </c>
      <c r="I34" s="36" t="s">
        <v>417</v>
      </c>
      <c r="J34" s="32" t="s">
        <v>418</v>
      </c>
      <c r="K34" s="131">
        <v>0.1</v>
      </c>
      <c r="L34" s="29">
        <v>1</v>
      </c>
      <c r="M34" s="29">
        <v>0</v>
      </c>
      <c r="N34" s="29">
        <v>0</v>
      </c>
      <c r="O34" s="29">
        <v>0</v>
      </c>
      <c r="P34" s="7">
        <f t="shared" si="0"/>
        <v>1</v>
      </c>
      <c r="Q34" s="14">
        <f t="shared" si="18"/>
        <v>4.000000000000001E-3</v>
      </c>
      <c r="R34" s="14">
        <f t="shared" si="15"/>
        <v>0</v>
      </c>
      <c r="S34" s="14">
        <f t="shared" si="16"/>
        <v>0</v>
      </c>
      <c r="T34" s="14">
        <f t="shared" si="17"/>
        <v>0</v>
      </c>
      <c r="U34" s="14">
        <f t="shared" si="6"/>
        <v>4.000000000000001E-3</v>
      </c>
      <c r="V34" s="59">
        <v>350000000</v>
      </c>
      <c r="W34" s="59">
        <v>0</v>
      </c>
      <c r="X34" s="59">
        <v>0</v>
      </c>
      <c r="Y34" s="59">
        <v>0</v>
      </c>
      <c r="Z34" s="63">
        <f t="shared" si="2"/>
        <v>350000000</v>
      </c>
    </row>
    <row r="35" spans="2:26" ht="115.25" customHeight="1" x14ac:dyDescent="0.2">
      <c r="B35" s="192"/>
      <c r="C35" s="209"/>
      <c r="D35" s="179"/>
      <c r="E35" s="180"/>
      <c r="F35" s="181"/>
      <c r="G35" s="181"/>
      <c r="H35" s="136" t="s">
        <v>11</v>
      </c>
      <c r="I35" s="36" t="s">
        <v>419</v>
      </c>
      <c r="J35" s="32" t="s">
        <v>420</v>
      </c>
      <c r="K35" s="131">
        <v>0.1</v>
      </c>
      <c r="L35" s="29">
        <v>0</v>
      </c>
      <c r="M35" s="29">
        <v>1</v>
      </c>
      <c r="N35" s="29">
        <v>1</v>
      </c>
      <c r="O35" s="29">
        <v>1</v>
      </c>
      <c r="P35" s="7">
        <f t="shared" si="0"/>
        <v>3</v>
      </c>
      <c r="Q35" s="14">
        <f t="shared" si="18"/>
        <v>0</v>
      </c>
      <c r="R35" s="14">
        <f t="shared" si="15"/>
        <v>1.3333333333333335E-3</v>
      </c>
      <c r="S35" s="14">
        <f t="shared" si="16"/>
        <v>1.3333333333333335E-3</v>
      </c>
      <c r="T35" s="14">
        <f t="shared" si="17"/>
        <v>1.3333333333333335E-3</v>
      </c>
      <c r="U35" s="14">
        <f t="shared" si="6"/>
        <v>4.0000000000000001E-3</v>
      </c>
      <c r="V35" s="59">
        <v>0</v>
      </c>
      <c r="W35" s="59">
        <v>60000000</v>
      </c>
      <c r="X35" s="59">
        <v>60000000</v>
      </c>
      <c r="Y35" s="59">
        <v>60000000</v>
      </c>
      <c r="Z35" s="63">
        <f t="shared" si="2"/>
        <v>180000000</v>
      </c>
    </row>
    <row r="36" spans="2:26" ht="60" x14ac:dyDescent="0.2">
      <c r="B36" s="192"/>
      <c r="C36" s="209"/>
      <c r="D36" s="179"/>
      <c r="E36" s="180"/>
      <c r="F36" s="181" t="s">
        <v>8</v>
      </c>
      <c r="G36" s="182">
        <v>0.5</v>
      </c>
      <c r="H36" s="136" t="s">
        <v>6</v>
      </c>
      <c r="I36" s="136" t="s">
        <v>421</v>
      </c>
      <c r="J36" s="9" t="s">
        <v>662</v>
      </c>
      <c r="K36" s="131">
        <v>0.2</v>
      </c>
      <c r="L36" s="29">
        <v>1</v>
      </c>
      <c r="M36" s="29">
        <v>1</v>
      </c>
      <c r="N36" s="29">
        <v>1</v>
      </c>
      <c r="O36" s="29">
        <v>1</v>
      </c>
      <c r="P36" s="7">
        <f t="shared" si="0"/>
        <v>4</v>
      </c>
      <c r="Q36" s="14">
        <f>+$C$7*$E$26*$G$36*K36*(L36/P36)</f>
        <v>2.5000000000000005E-3</v>
      </c>
      <c r="R36" s="14">
        <f>+$C$7*$E$26*$G$36*K36*(M36/P36)</f>
        <v>2.5000000000000005E-3</v>
      </c>
      <c r="S36" s="14">
        <f>+$C$7*$E$26*$G$36*K36*(N36/P36)</f>
        <v>2.5000000000000005E-3</v>
      </c>
      <c r="T36" s="14">
        <f>+$C$7*$E$26*$G$36*K36*(O36/P36)</f>
        <v>2.5000000000000005E-3</v>
      </c>
      <c r="U36" s="14">
        <f t="shared" si="6"/>
        <v>1.0000000000000002E-2</v>
      </c>
      <c r="V36" s="59">
        <f>120000000</f>
        <v>120000000</v>
      </c>
      <c r="W36" s="59">
        <f>120000000</f>
        <v>120000000</v>
      </c>
      <c r="X36" s="59">
        <f>120000000</f>
        <v>120000000</v>
      </c>
      <c r="Y36" s="59">
        <f>120000000</f>
        <v>120000000</v>
      </c>
      <c r="Z36" s="63">
        <f t="shared" si="2"/>
        <v>480000000</v>
      </c>
    </row>
    <row r="37" spans="2:26" ht="48" x14ac:dyDescent="0.2">
      <c r="B37" s="192"/>
      <c r="C37" s="209"/>
      <c r="D37" s="179"/>
      <c r="E37" s="180"/>
      <c r="F37" s="181"/>
      <c r="G37" s="182"/>
      <c r="H37" s="183" t="s">
        <v>5</v>
      </c>
      <c r="I37" s="32" t="s">
        <v>422</v>
      </c>
      <c r="J37" s="32" t="s">
        <v>423</v>
      </c>
      <c r="K37" s="184">
        <v>0.8</v>
      </c>
      <c r="L37" s="29">
        <v>1</v>
      </c>
      <c r="M37" s="29">
        <v>2</v>
      </c>
      <c r="N37" s="29">
        <v>1</v>
      </c>
      <c r="O37" s="29">
        <v>0</v>
      </c>
      <c r="P37" s="7">
        <f t="shared" si="0"/>
        <v>4</v>
      </c>
      <c r="Q37" s="14">
        <f>+$C$7*$E$26*$G$36*K37/2*(L37/P37)</f>
        <v>5.000000000000001E-3</v>
      </c>
      <c r="R37" s="14">
        <f>+$C$7*$E$26*$G$36*K37/2*(M37/P37)</f>
        <v>1.0000000000000002E-2</v>
      </c>
      <c r="S37" s="14">
        <f>+$C$7*$E$26*$G$36*K37/2*(N37/P37)</f>
        <v>5.000000000000001E-3</v>
      </c>
      <c r="T37" s="14">
        <f>+$C$7*$E$26*$G$36*K37/2*(O37/P37)</f>
        <v>0</v>
      </c>
      <c r="U37" s="14">
        <f t="shared" si="6"/>
        <v>2.0000000000000004E-2</v>
      </c>
      <c r="V37" s="168">
        <f>10600000000</f>
        <v>10600000000</v>
      </c>
      <c r="W37" s="168">
        <v>0</v>
      </c>
      <c r="X37" s="168">
        <v>0</v>
      </c>
      <c r="Y37" s="168">
        <v>0</v>
      </c>
      <c r="Z37" s="162">
        <f t="shared" si="2"/>
        <v>10600000000</v>
      </c>
    </row>
    <row r="38" spans="2:26" ht="48" x14ac:dyDescent="0.2">
      <c r="B38" s="192"/>
      <c r="C38" s="209"/>
      <c r="D38" s="179"/>
      <c r="E38" s="180"/>
      <c r="F38" s="181"/>
      <c r="G38" s="182"/>
      <c r="H38" s="183"/>
      <c r="I38" s="32" t="s">
        <v>424</v>
      </c>
      <c r="J38" s="32" t="s">
        <v>425</v>
      </c>
      <c r="K38" s="184"/>
      <c r="L38" s="29">
        <v>0</v>
      </c>
      <c r="M38" s="29">
        <v>2</v>
      </c>
      <c r="N38" s="29">
        <v>2</v>
      </c>
      <c r="O38" s="29">
        <v>0</v>
      </c>
      <c r="P38" s="7">
        <f t="shared" si="0"/>
        <v>4</v>
      </c>
      <c r="Q38" s="14">
        <f>+$C$7*$E$26*$G$36*K37/2*(L38/P38)</f>
        <v>0</v>
      </c>
      <c r="R38" s="14">
        <f>+$C$7*$E$26*$G$36*K37/2*(M38/P38)</f>
        <v>1.0000000000000002E-2</v>
      </c>
      <c r="S38" s="14">
        <f>+$C$7*$E$26*$G$36*K37/2*(N38/P38)</f>
        <v>1.0000000000000002E-2</v>
      </c>
      <c r="T38" s="14">
        <f>+$C$7*$E$26*$G$36*K37/2*(O38/P38)</f>
        <v>0</v>
      </c>
      <c r="U38" s="14">
        <f t="shared" si="6"/>
        <v>2.0000000000000004E-2</v>
      </c>
      <c r="V38" s="168"/>
      <c r="W38" s="168"/>
      <c r="X38" s="168"/>
      <c r="Y38" s="168"/>
      <c r="Z38" s="162"/>
    </row>
    <row r="39" spans="2:26" ht="48" x14ac:dyDescent="0.2">
      <c r="B39" s="192"/>
      <c r="C39" s="209"/>
      <c r="D39" s="179" t="s">
        <v>9</v>
      </c>
      <c r="E39" s="180">
        <v>0.1</v>
      </c>
      <c r="F39" s="181" t="s">
        <v>7</v>
      </c>
      <c r="G39" s="182">
        <v>1</v>
      </c>
      <c r="H39" s="136" t="s">
        <v>0</v>
      </c>
      <c r="I39" s="32" t="s">
        <v>426</v>
      </c>
      <c r="J39" s="32" t="s">
        <v>427</v>
      </c>
      <c r="K39" s="131">
        <v>0.2</v>
      </c>
      <c r="L39" s="29">
        <v>0</v>
      </c>
      <c r="M39" s="29">
        <v>0</v>
      </c>
      <c r="N39" s="29">
        <v>1</v>
      </c>
      <c r="O39" s="29">
        <v>0</v>
      </c>
      <c r="P39" s="7">
        <f t="shared" si="0"/>
        <v>1</v>
      </c>
      <c r="Q39" s="14">
        <f>+$C$7*$E$39*$G$39*K39*(L39/P39)</f>
        <v>0</v>
      </c>
      <c r="R39" s="14">
        <f>+$C$7*$E$39*$G$39*K39*(M39/P39)</f>
        <v>0</v>
      </c>
      <c r="S39" s="14">
        <f>+$C$7*$E$39*$G$39*K39*(N39/P39)</f>
        <v>8.0000000000000019E-3</v>
      </c>
      <c r="T39" s="14">
        <f>+$C$7*$E$39*$G$39*K39*(O39/P39)</f>
        <v>0</v>
      </c>
      <c r="U39" s="14">
        <f t="shared" si="6"/>
        <v>8.0000000000000019E-3</v>
      </c>
      <c r="V39" s="59">
        <v>0</v>
      </c>
      <c r="W39" s="59">
        <v>0</v>
      </c>
      <c r="X39" s="59">
        <f>600000000</f>
        <v>600000000</v>
      </c>
      <c r="Y39" s="59">
        <v>0</v>
      </c>
      <c r="Z39" s="63">
        <f t="shared" si="2"/>
        <v>600000000</v>
      </c>
    </row>
    <row r="40" spans="2:26" ht="36" x14ac:dyDescent="0.2">
      <c r="B40" s="192"/>
      <c r="C40" s="209"/>
      <c r="D40" s="179"/>
      <c r="E40" s="179"/>
      <c r="F40" s="181"/>
      <c r="G40" s="181"/>
      <c r="H40" s="136" t="s">
        <v>1</v>
      </c>
      <c r="I40" s="32" t="s">
        <v>670</v>
      </c>
      <c r="J40" s="32" t="s">
        <v>428</v>
      </c>
      <c r="K40" s="131">
        <v>0.3</v>
      </c>
      <c r="L40" s="29">
        <v>1</v>
      </c>
      <c r="M40" s="39">
        <v>0</v>
      </c>
      <c r="N40" s="39">
        <v>0</v>
      </c>
      <c r="O40" s="39">
        <v>1</v>
      </c>
      <c r="P40" s="7">
        <f t="shared" si="0"/>
        <v>2</v>
      </c>
      <c r="Q40" s="14">
        <f t="shared" ref="Q40:Q43" si="19">+$C$7*$E$39*$G$39*K40*(L40/P40)</f>
        <v>6.000000000000001E-3</v>
      </c>
      <c r="R40" s="14">
        <f t="shared" ref="R40:R43" si="20">+$C$7*$E$39*$G$39*K40*(M40/P40)</f>
        <v>0</v>
      </c>
      <c r="S40" s="14">
        <f t="shared" ref="S40:S43" si="21">+$C$7*$E$39*$G$39*K40*(N40/P40)</f>
        <v>0</v>
      </c>
      <c r="T40" s="14">
        <f t="shared" ref="T40:T43" si="22">+$C$7*$E$39*$G$39*K40*(O40/P40)</f>
        <v>6.000000000000001E-3</v>
      </c>
      <c r="U40" s="14">
        <f t="shared" si="6"/>
        <v>1.2000000000000002E-2</v>
      </c>
      <c r="V40" s="89">
        <v>2400000000</v>
      </c>
      <c r="W40" s="89">
        <v>0</v>
      </c>
      <c r="X40" s="59">
        <v>0</v>
      </c>
      <c r="Y40" s="59">
        <v>2400000000</v>
      </c>
      <c r="Z40" s="63">
        <f t="shared" si="2"/>
        <v>4800000000</v>
      </c>
    </row>
    <row r="41" spans="2:26" ht="24" x14ac:dyDescent="0.2">
      <c r="B41" s="192"/>
      <c r="C41" s="209"/>
      <c r="D41" s="179"/>
      <c r="E41" s="179"/>
      <c r="F41" s="181"/>
      <c r="G41" s="181"/>
      <c r="H41" s="136" t="s">
        <v>2</v>
      </c>
      <c r="I41" s="32" t="s">
        <v>429</v>
      </c>
      <c r="J41" s="32" t="s">
        <v>430</v>
      </c>
      <c r="K41" s="131">
        <v>0.3</v>
      </c>
      <c r="L41" s="39">
        <v>300</v>
      </c>
      <c r="M41" s="39">
        <v>300</v>
      </c>
      <c r="N41" s="39">
        <v>196</v>
      </c>
      <c r="O41" s="29">
        <v>0</v>
      </c>
      <c r="P41" s="7">
        <f t="shared" si="0"/>
        <v>796</v>
      </c>
      <c r="Q41" s="14">
        <f t="shared" si="19"/>
        <v>4.5226130653266338E-3</v>
      </c>
      <c r="R41" s="14">
        <f t="shared" si="20"/>
        <v>4.5226130653266338E-3</v>
      </c>
      <c r="S41" s="14">
        <f t="shared" si="21"/>
        <v>2.9547738693467343E-3</v>
      </c>
      <c r="T41" s="14">
        <f t="shared" si="22"/>
        <v>0</v>
      </c>
      <c r="U41" s="14">
        <f t="shared" si="6"/>
        <v>1.2000000000000002E-2</v>
      </c>
      <c r="V41" s="168">
        <f>5376651240+22995229</f>
        <v>5399646469</v>
      </c>
      <c r="W41" s="168">
        <f>5222458000+26405840.8000031</f>
        <v>5248863840.8000031</v>
      </c>
      <c r="X41" s="168">
        <f>5298202000+5818309.1000061</f>
        <v>5304020309.1000061</v>
      </c>
      <c r="Y41" s="168">
        <f>4368348000+2100560.09999084</f>
        <v>4370448560.0999908</v>
      </c>
      <c r="Z41" s="162">
        <f t="shared" si="2"/>
        <v>20322979179</v>
      </c>
    </row>
    <row r="42" spans="2:26" ht="24" x14ac:dyDescent="0.2">
      <c r="B42" s="192"/>
      <c r="C42" s="209"/>
      <c r="D42" s="179"/>
      <c r="E42" s="179"/>
      <c r="F42" s="181"/>
      <c r="G42" s="181"/>
      <c r="H42" s="136" t="s">
        <v>3</v>
      </c>
      <c r="I42" s="32" t="s">
        <v>431</v>
      </c>
      <c r="J42" s="32" t="s">
        <v>432</v>
      </c>
      <c r="K42" s="131">
        <v>0.1</v>
      </c>
      <c r="L42" s="39">
        <v>1</v>
      </c>
      <c r="M42" s="39">
        <v>1</v>
      </c>
      <c r="N42" s="39">
        <v>1</v>
      </c>
      <c r="O42" s="39">
        <v>1</v>
      </c>
      <c r="P42" s="7">
        <f t="shared" si="0"/>
        <v>4</v>
      </c>
      <c r="Q42" s="14">
        <f t="shared" si="19"/>
        <v>1.0000000000000002E-3</v>
      </c>
      <c r="R42" s="14">
        <f t="shared" si="20"/>
        <v>1.0000000000000002E-3</v>
      </c>
      <c r="S42" s="14">
        <f t="shared" si="21"/>
        <v>1.0000000000000002E-3</v>
      </c>
      <c r="T42" s="14">
        <f t="shared" si="22"/>
        <v>1.0000000000000002E-3</v>
      </c>
      <c r="U42" s="14">
        <f t="shared" si="6"/>
        <v>4.000000000000001E-3</v>
      </c>
      <c r="V42" s="168"/>
      <c r="W42" s="168"/>
      <c r="X42" s="168"/>
      <c r="Y42" s="168"/>
      <c r="Z42" s="162"/>
    </row>
    <row r="43" spans="2:26" ht="37" thickBot="1" x14ac:dyDescent="0.25">
      <c r="B43" s="205"/>
      <c r="C43" s="210"/>
      <c r="D43" s="211"/>
      <c r="E43" s="211"/>
      <c r="F43" s="214"/>
      <c r="G43" s="214"/>
      <c r="H43" s="138" t="s">
        <v>4</v>
      </c>
      <c r="I43" s="68" t="s">
        <v>433</v>
      </c>
      <c r="J43" s="68" t="s">
        <v>434</v>
      </c>
      <c r="K43" s="135">
        <v>0.1</v>
      </c>
      <c r="L43" s="69">
        <v>1</v>
      </c>
      <c r="M43" s="69">
        <v>1</v>
      </c>
      <c r="N43" s="69">
        <v>1</v>
      </c>
      <c r="O43" s="69">
        <v>1</v>
      </c>
      <c r="P43" s="70">
        <f t="shared" si="0"/>
        <v>4</v>
      </c>
      <c r="Q43" s="58">
        <f t="shared" si="19"/>
        <v>1.0000000000000002E-3</v>
      </c>
      <c r="R43" s="58">
        <f t="shared" si="20"/>
        <v>1.0000000000000002E-3</v>
      </c>
      <c r="S43" s="58">
        <f t="shared" si="21"/>
        <v>1.0000000000000002E-3</v>
      </c>
      <c r="T43" s="58">
        <f t="shared" si="22"/>
        <v>1.0000000000000002E-3</v>
      </c>
      <c r="U43" s="58">
        <f t="shared" si="6"/>
        <v>4.000000000000001E-3</v>
      </c>
      <c r="V43" s="60">
        <f>27218924156</f>
        <v>27218924156</v>
      </c>
      <c r="W43" s="60">
        <f>29124248847</f>
        <v>29124248847</v>
      </c>
      <c r="X43" s="60">
        <f>31162946267</f>
        <v>31162946267</v>
      </c>
      <c r="Y43" s="60">
        <f>33344352505</f>
        <v>33344352505</v>
      </c>
      <c r="Z43" s="71">
        <f t="shared" si="2"/>
        <v>120850471775</v>
      </c>
    </row>
    <row r="44" spans="2:26" ht="84" x14ac:dyDescent="0.2">
      <c r="B44" s="191" t="s">
        <v>78</v>
      </c>
      <c r="C44" s="188">
        <v>0.15</v>
      </c>
      <c r="D44" s="196" t="s">
        <v>74</v>
      </c>
      <c r="E44" s="195">
        <v>0.3</v>
      </c>
      <c r="F44" s="213" t="s">
        <v>79</v>
      </c>
      <c r="G44" s="201">
        <v>0.5</v>
      </c>
      <c r="H44" s="1" t="s">
        <v>38</v>
      </c>
      <c r="I44" s="1" t="s">
        <v>493</v>
      </c>
      <c r="J44" s="23" t="s">
        <v>435</v>
      </c>
      <c r="K44" s="20">
        <v>0.25</v>
      </c>
      <c r="L44" s="72">
        <v>0</v>
      </c>
      <c r="M44" s="73">
        <v>0</v>
      </c>
      <c r="N44" s="47">
        <v>50</v>
      </c>
      <c r="O44" s="47">
        <v>100</v>
      </c>
      <c r="P44" s="24">
        <f>+L44+M44+N44+O44</f>
        <v>150</v>
      </c>
      <c r="Q44" s="25">
        <f>+$C$44*$E$44*$G$44*K44*(L44/P44)</f>
        <v>0</v>
      </c>
      <c r="R44" s="25">
        <f>+$C$44*$E$44*$G$44*K44*(M44/P44)</f>
        <v>0</v>
      </c>
      <c r="S44" s="25">
        <f>+$C$44*$E$44*$G$44*K44*(N44/P44)</f>
        <v>1.8749999999999999E-3</v>
      </c>
      <c r="T44" s="25">
        <f>+$C$44*$E$44*$G$44*K44*(O44/P44)</f>
        <v>3.7499999999999999E-3</v>
      </c>
      <c r="U44" s="25">
        <f t="shared" si="6"/>
        <v>5.6249999999999998E-3</v>
      </c>
      <c r="V44" s="61">
        <v>0</v>
      </c>
      <c r="W44" s="61">
        <v>0</v>
      </c>
      <c r="X44" s="61">
        <v>500000000</v>
      </c>
      <c r="Y44" s="61">
        <v>1000000000</v>
      </c>
      <c r="Z44" s="62">
        <f t="shared" si="2"/>
        <v>1500000000</v>
      </c>
    </row>
    <row r="45" spans="2:26" ht="36" x14ac:dyDescent="0.2">
      <c r="B45" s="192"/>
      <c r="C45" s="209"/>
      <c r="D45" s="179"/>
      <c r="E45" s="179"/>
      <c r="F45" s="181"/>
      <c r="G45" s="182"/>
      <c r="H45" s="136" t="s">
        <v>39</v>
      </c>
      <c r="I45" s="136" t="s">
        <v>495</v>
      </c>
      <c r="J45" s="9" t="s">
        <v>436</v>
      </c>
      <c r="K45" s="131">
        <v>0.2</v>
      </c>
      <c r="L45" s="46">
        <v>0</v>
      </c>
      <c r="M45" s="42">
        <v>50000</v>
      </c>
      <c r="N45" s="42">
        <v>50000</v>
      </c>
      <c r="O45" s="42">
        <v>50000</v>
      </c>
      <c r="P45" s="45">
        <f>+L45+M45+N45+O45</f>
        <v>150000</v>
      </c>
      <c r="Q45" s="14">
        <f>+$C$44*$E$44*$G$44*K45*(L45/P45)</f>
        <v>0</v>
      </c>
      <c r="R45" s="14">
        <f>+$C$44*$E$44*$G$44*K45*(M45/P45)</f>
        <v>1.4999999999999998E-3</v>
      </c>
      <c r="S45" s="14">
        <f>+$C$44*$E$44*$G$44*K45*(N45/P45)</f>
        <v>1.4999999999999998E-3</v>
      </c>
      <c r="T45" s="14">
        <f>+$C$44*$E$44*$G$44*K45*(O45/P45)</f>
        <v>1.4999999999999998E-3</v>
      </c>
      <c r="U45" s="14">
        <f t="shared" si="6"/>
        <v>4.4999999999999997E-3</v>
      </c>
      <c r="V45" s="59">
        <v>0</v>
      </c>
      <c r="W45" s="59">
        <v>300000000</v>
      </c>
      <c r="X45" s="59">
        <v>300000000</v>
      </c>
      <c r="Y45" s="59">
        <v>300000000</v>
      </c>
      <c r="Z45" s="63">
        <f t="shared" si="2"/>
        <v>900000000</v>
      </c>
    </row>
    <row r="46" spans="2:26" ht="72" x14ac:dyDescent="0.2">
      <c r="B46" s="192"/>
      <c r="C46" s="209"/>
      <c r="D46" s="179"/>
      <c r="E46" s="179"/>
      <c r="F46" s="181"/>
      <c r="G46" s="182"/>
      <c r="H46" s="136" t="s">
        <v>40</v>
      </c>
      <c r="I46" s="136" t="s">
        <v>494</v>
      </c>
      <c r="J46" s="9" t="s">
        <v>437</v>
      </c>
      <c r="K46" s="131">
        <v>0.15</v>
      </c>
      <c r="L46" s="46">
        <v>0</v>
      </c>
      <c r="M46" s="46">
        <v>0</v>
      </c>
      <c r="N46" s="17">
        <v>2</v>
      </c>
      <c r="O46" s="43">
        <v>2</v>
      </c>
      <c r="P46" s="45">
        <f t="shared" ref="P46:P73" si="23">+L46+M46+N46+O46</f>
        <v>4</v>
      </c>
      <c r="Q46" s="14">
        <f t="shared" ref="Q46:Q48" si="24">+$C$44*$E$44*$G$44*K46*(L46/P46)</f>
        <v>0</v>
      </c>
      <c r="R46" s="14">
        <f t="shared" ref="R46:R48" si="25">+$C$44*$E$44*$G$44*K46*(M46/P46)</f>
        <v>0</v>
      </c>
      <c r="S46" s="14">
        <f t="shared" ref="S46:S48" si="26">+$C$44*$E$44*$G$44*K46*(N46/P46)</f>
        <v>1.6875E-3</v>
      </c>
      <c r="T46" s="14">
        <f t="shared" ref="T46:T48" si="27">+$C$44*$E$44*$G$44*K46*(O46/P46)</f>
        <v>1.6875E-3</v>
      </c>
      <c r="U46" s="14">
        <f t="shared" si="6"/>
        <v>3.375E-3</v>
      </c>
      <c r="V46" s="59">
        <v>0</v>
      </c>
      <c r="W46" s="59">
        <v>0</v>
      </c>
      <c r="X46" s="59">
        <v>400000000</v>
      </c>
      <c r="Y46" s="59">
        <v>400000000</v>
      </c>
      <c r="Z46" s="63">
        <f t="shared" si="2"/>
        <v>800000000</v>
      </c>
    </row>
    <row r="47" spans="2:26" ht="72" x14ac:dyDescent="0.2">
      <c r="B47" s="192"/>
      <c r="C47" s="209"/>
      <c r="D47" s="179"/>
      <c r="E47" s="179"/>
      <c r="F47" s="181"/>
      <c r="G47" s="182"/>
      <c r="H47" s="136" t="s">
        <v>41</v>
      </c>
      <c r="I47" s="136" t="s">
        <v>438</v>
      </c>
      <c r="J47" s="9" t="s">
        <v>439</v>
      </c>
      <c r="K47" s="131">
        <v>0.2</v>
      </c>
      <c r="L47" s="46">
        <v>0</v>
      </c>
      <c r="M47" s="42">
        <v>1</v>
      </c>
      <c r="N47" s="42">
        <v>1</v>
      </c>
      <c r="O47" s="46">
        <v>0</v>
      </c>
      <c r="P47" s="45">
        <f t="shared" si="23"/>
        <v>2</v>
      </c>
      <c r="Q47" s="14">
        <f t="shared" si="24"/>
        <v>0</v>
      </c>
      <c r="R47" s="14">
        <f t="shared" si="25"/>
        <v>2.2499999999999998E-3</v>
      </c>
      <c r="S47" s="14">
        <f t="shared" si="26"/>
        <v>2.2499999999999998E-3</v>
      </c>
      <c r="T47" s="14">
        <f t="shared" si="27"/>
        <v>0</v>
      </c>
      <c r="U47" s="14">
        <f t="shared" si="6"/>
        <v>4.4999999999999997E-3</v>
      </c>
      <c r="V47" s="59">
        <v>0</v>
      </c>
      <c r="W47" s="59">
        <v>450000000</v>
      </c>
      <c r="X47" s="59">
        <v>450000000</v>
      </c>
      <c r="Y47" s="59">
        <v>0</v>
      </c>
      <c r="Z47" s="63">
        <f t="shared" si="2"/>
        <v>900000000</v>
      </c>
    </row>
    <row r="48" spans="2:26" ht="84" x14ac:dyDescent="0.2">
      <c r="B48" s="192"/>
      <c r="C48" s="209"/>
      <c r="D48" s="179"/>
      <c r="E48" s="179"/>
      <c r="F48" s="181"/>
      <c r="G48" s="182"/>
      <c r="H48" s="136" t="s">
        <v>263</v>
      </c>
      <c r="I48" s="136" t="s">
        <v>440</v>
      </c>
      <c r="J48" s="9" t="s">
        <v>441</v>
      </c>
      <c r="K48" s="131">
        <v>0.2</v>
      </c>
      <c r="L48" s="46">
        <v>0</v>
      </c>
      <c r="M48" s="46">
        <v>0</v>
      </c>
      <c r="N48" s="42">
        <v>50</v>
      </c>
      <c r="O48" s="42">
        <v>50</v>
      </c>
      <c r="P48" s="45">
        <f t="shared" si="23"/>
        <v>100</v>
      </c>
      <c r="Q48" s="14">
        <f t="shared" si="24"/>
        <v>0</v>
      </c>
      <c r="R48" s="14">
        <f t="shared" si="25"/>
        <v>0</v>
      </c>
      <c r="S48" s="14">
        <f t="shared" si="26"/>
        <v>2.2499999999999998E-3</v>
      </c>
      <c r="T48" s="14">
        <f t="shared" si="27"/>
        <v>2.2499999999999998E-3</v>
      </c>
      <c r="U48" s="14">
        <f t="shared" si="6"/>
        <v>4.4999999999999997E-3</v>
      </c>
      <c r="V48" s="59">
        <v>0</v>
      </c>
      <c r="W48" s="59">
        <v>0</v>
      </c>
      <c r="X48" s="59">
        <v>500000000</v>
      </c>
      <c r="Y48" s="59">
        <v>500000000</v>
      </c>
      <c r="Z48" s="63">
        <f t="shared" si="2"/>
        <v>1000000000</v>
      </c>
    </row>
    <row r="49" spans="2:26" ht="60" x14ac:dyDescent="0.2">
      <c r="B49" s="192"/>
      <c r="C49" s="209"/>
      <c r="D49" s="179"/>
      <c r="E49" s="179"/>
      <c r="F49" s="181" t="s">
        <v>67</v>
      </c>
      <c r="G49" s="182">
        <v>0.5</v>
      </c>
      <c r="H49" s="136" t="s">
        <v>42</v>
      </c>
      <c r="I49" s="136" t="s">
        <v>442</v>
      </c>
      <c r="J49" s="9" t="s">
        <v>443</v>
      </c>
      <c r="K49" s="131">
        <v>0.1</v>
      </c>
      <c r="L49" s="46">
        <v>1</v>
      </c>
      <c r="M49" s="46">
        <v>0</v>
      </c>
      <c r="N49" s="46">
        <v>0</v>
      </c>
      <c r="O49" s="46">
        <v>0</v>
      </c>
      <c r="P49" s="45">
        <f t="shared" si="23"/>
        <v>1</v>
      </c>
      <c r="Q49" s="14">
        <f>+$C$44*$E$44*$G$49*K49*(L49/P49)</f>
        <v>2.2499999999999998E-3</v>
      </c>
      <c r="R49" s="14">
        <f>+$C$44*$E$44*$G$49*K49*(M49/P49)</f>
        <v>0</v>
      </c>
      <c r="S49" s="14">
        <f>+$C$44*$E$44*$G$49*K49*(N49/P49)</f>
        <v>0</v>
      </c>
      <c r="T49" s="14">
        <f>+$C$44*$E$44*$G$49*K49*(O49/P49)</f>
        <v>0</v>
      </c>
      <c r="U49" s="14">
        <f t="shared" si="6"/>
        <v>2.2499999999999998E-3</v>
      </c>
      <c r="V49" s="59">
        <v>300000000</v>
      </c>
      <c r="W49" s="59">
        <v>0</v>
      </c>
      <c r="X49" s="59">
        <v>0</v>
      </c>
      <c r="Y49" s="59">
        <v>0</v>
      </c>
      <c r="Z49" s="63">
        <f t="shared" si="2"/>
        <v>300000000</v>
      </c>
    </row>
    <row r="50" spans="2:26" ht="24" x14ac:dyDescent="0.2">
      <c r="B50" s="192"/>
      <c r="C50" s="209"/>
      <c r="D50" s="179"/>
      <c r="E50" s="179"/>
      <c r="F50" s="181"/>
      <c r="G50" s="182"/>
      <c r="H50" s="136" t="s">
        <v>264</v>
      </c>
      <c r="I50" s="136" t="s">
        <v>444</v>
      </c>
      <c r="J50" s="9" t="s">
        <v>445</v>
      </c>
      <c r="K50" s="131">
        <v>0.2</v>
      </c>
      <c r="L50" s="46">
        <v>0</v>
      </c>
      <c r="M50" s="42">
        <v>2</v>
      </c>
      <c r="N50" s="42">
        <v>2</v>
      </c>
      <c r="O50" s="42">
        <v>2</v>
      </c>
      <c r="P50" s="45">
        <f t="shared" si="23"/>
        <v>6</v>
      </c>
      <c r="Q50" s="14">
        <f t="shared" ref="Q50:Q53" si="28">+$C$44*$E$44*$G$49*K50*(L50/P50)</f>
        <v>0</v>
      </c>
      <c r="R50" s="14">
        <f t="shared" ref="R50:R53" si="29">+$C$44*$E$44*$G$49*K50*(M50/P50)</f>
        <v>1.4999999999999998E-3</v>
      </c>
      <c r="S50" s="14">
        <f t="shared" ref="S50:S53" si="30">+$C$44*$E$44*$G$49*K50*(N50/P50)</f>
        <v>1.4999999999999998E-3</v>
      </c>
      <c r="T50" s="14">
        <f t="shared" ref="T50:T53" si="31">+$C$44*$E$44*$G$49*K50*(O50/P50)</f>
        <v>1.4999999999999998E-3</v>
      </c>
      <c r="U50" s="14">
        <f t="shared" si="6"/>
        <v>4.4999999999999997E-3</v>
      </c>
      <c r="V50" s="59"/>
      <c r="W50" s="59">
        <v>400000000</v>
      </c>
      <c r="X50" s="59">
        <v>400000000</v>
      </c>
      <c r="Y50" s="59">
        <v>400000000</v>
      </c>
      <c r="Z50" s="63">
        <f t="shared" si="2"/>
        <v>1200000000</v>
      </c>
    </row>
    <row r="51" spans="2:26" ht="60" x14ac:dyDescent="0.2">
      <c r="B51" s="192"/>
      <c r="C51" s="209"/>
      <c r="D51" s="179"/>
      <c r="E51" s="179"/>
      <c r="F51" s="181"/>
      <c r="G51" s="182"/>
      <c r="H51" s="136" t="s">
        <v>43</v>
      </c>
      <c r="I51" s="136" t="s">
        <v>446</v>
      </c>
      <c r="J51" s="9" t="s">
        <v>447</v>
      </c>
      <c r="K51" s="131">
        <v>0.2</v>
      </c>
      <c r="L51" s="42">
        <v>1</v>
      </c>
      <c r="M51" s="42">
        <v>2</v>
      </c>
      <c r="N51" s="42">
        <v>1</v>
      </c>
      <c r="O51" s="46">
        <v>0</v>
      </c>
      <c r="P51" s="45">
        <f t="shared" si="23"/>
        <v>4</v>
      </c>
      <c r="Q51" s="14">
        <f t="shared" si="28"/>
        <v>1.1249999999999999E-3</v>
      </c>
      <c r="R51" s="14">
        <f t="shared" si="29"/>
        <v>2.2499999999999998E-3</v>
      </c>
      <c r="S51" s="14">
        <f t="shared" si="30"/>
        <v>1.1249999999999999E-3</v>
      </c>
      <c r="T51" s="14">
        <f t="shared" si="31"/>
        <v>0</v>
      </c>
      <c r="U51" s="14">
        <f t="shared" si="6"/>
        <v>4.4999999999999997E-3</v>
      </c>
      <c r="V51" s="59">
        <v>220000000</v>
      </c>
      <c r="W51" s="59">
        <v>440000000</v>
      </c>
      <c r="X51" s="59">
        <v>220000000</v>
      </c>
      <c r="Y51" s="59">
        <v>0</v>
      </c>
      <c r="Z51" s="63">
        <f t="shared" si="2"/>
        <v>880000000</v>
      </c>
    </row>
    <row r="52" spans="2:26" ht="24" x14ac:dyDescent="0.2">
      <c r="B52" s="192"/>
      <c r="C52" s="209"/>
      <c r="D52" s="179"/>
      <c r="E52" s="179"/>
      <c r="F52" s="181"/>
      <c r="G52" s="182"/>
      <c r="H52" s="136" t="s">
        <v>44</v>
      </c>
      <c r="I52" s="136" t="s">
        <v>448</v>
      </c>
      <c r="J52" s="9" t="s">
        <v>449</v>
      </c>
      <c r="K52" s="131">
        <v>0.2</v>
      </c>
      <c r="L52" s="46">
        <v>1</v>
      </c>
      <c r="M52" s="46">
        <v>0</v>
      </c>
      <c r="N52" s="46">
        <v>0</v>
      </c>
      <c r="O52" s="46">
        <v>0</v>
      </c>
      <c r="P52" s="45">
        <f t="shared" si="23"/>
        <v>1</v>
      </c>
      <c r="Q52" s="14">
        <f t="shared" si="28"/>
        <v>4.4999999999999997E-3</v>
      </c>
      <c r="R52" s="14">
        <f t="shared" si="29"/>
        <v>0</v>
      </c>
      <c r="S52" s="14">
        <f t="shared" si="30"/>
        <v>0</v>
      </c>
      <c r="T52" s="14">
        <f t="shared" si="31"/>
        <v>0</v>
      </c>
      <c r="U52" s="14">
        <f t="shared" si="6"/>
        <v>4.4999999999999997E-3</v>
      </c>
      <c r="V52" s="59">
        <v>600000000</v>
      </c>
      <c r="W52" s="59">
        <v>0</v>
      </c>
      <c r="X52" s="59">
        <v>0</v>
      </c>
      <c r="Y52" s="59">
        <v>0</v>
      </c>
      <c r="Z52" s="63">
        <f t="shared" si="2"/>
        <v>600000000</v>
      </c>
    </row>
    <row r="53" spans="2:26" ht="72" x14ac:dyDescent="0.2">
      <c r="B53" s="192"/>
      <c r="C53" s="209"/>
      <c r="D53" s="179"/>
      <c r="E53" s="179"/>
      <c r="F53" s="181"/>
      <c r="G53" s="182"/>
      <c r="H53" s="136" t="s">
        <v>45</v>
      </c>
      <c r="I53" s="136" t="s">
        <v>450</v>
      </c>
      <c r="J53" s="9" t="s">
        <v>451</v>
      </c>
      <c r="K53" s="131">
        <v>0.3</v>
      </c>
      <c r="L53" s="42">
        <v>2</v>
      </c>
      <c r="M53" s="42">
        <v>0</v>
      </c>
      <c r="N53" s="42">
        <v>2</v>
      </c>
      <c r="O53" s="46">
        <v>3</v>
      </c>
      <c r="P53" s="45">
        <f t="shared" si="23"/>
        <v>7</v>
      </c>
      <c r="Q53" s="14">
        <f t="shared" si="28"/>
        <v>1.9285714285714284E-3</v>
      </c>
      <c r="R53" s="14">
        <f t="shared" si="29"/>
        <v>0</v>
      </c>
      <c r="S53" s="14">
        <f t="shared" si="30"/>
        <v>1.9285714285714284E-3</v>
      </c>
      <c r="T53" s="14">
        <f t="shared" si="31"/>
        <v>2.8928571428571428E-3</v>
      </c>
      <c r="U53" s="14">
        <f t="shared" si="6"/>
        <v>6.7499999999999991E-3</v>
      </c>
      <c r="V53" s="59">
        <v>500000000</v>
      </c>
      <c r="W53" s="59"/>
      <c r="X53" s="59">
        <v>500000000</v>
      </c>
      <c r="Y53" s="59">
        <v>750000000</v>
      </c>
      <c r="Z53" s="63">
        <f t="shared" si="2"/>
        <v>1750000000</v>
      </c>
    </row>
    <row r="54" spans="2:26" ht="48" x14ac:dyDescent="0.2">
      <c r="B54" s="192"/>
      <c r="C54" s="209"/>
      <c r="D54" s="179" t="s">
        <v>75</v>
      </c>
      <c r="E54" s="180">
        <v>0.3</v>
      </c>
      <c r="F54" s="181" t="s">
        <v>68</v>
      </c>
      <c r="G54" s="182">
        <v>0.3</v>
      </c>
      <c r="H54" s="136" t="s">
        <v>46</v>
      </c>
      <c r="I54" s="136" t="s">
        <v>452</v>
      </c>
      <c r="J54" s="9" t="s">
        <v>453</v>
      </c>
      <c r="K54" s="131">
        <v>0.3</v>
      </c>
      <c r="L54" s="46">
        <v>0</v>
      </c>
      <c r="M54" s="44">
        <v>1</v>
      </c>
      <c r="N54" s="44">
        <v>1</v>
      </c>
      <c r="O54" s="44">
        <v>1</v>
      </c>
      <c r="P54" s="45">
        <f t="shared" si="23"/>
        <v>3</v>
      </c>
      <c r="Q54" s="14">
        <f>+$C$44*$E$54*$G$54*K54*(L54/P54)</f>
        <v>0</v>
      </c>
      <c r="R54" s="14">
        <f>+$C$44*$E$54*$G$54*K54*(M54/P54)</f>
        <v>1.3499999999999999E-3</v>
      </c>
      <c r="S54" s="14">
        <f>+$C$44*$E$54*$G$54*K54*(N54/P54)</f>
        <v>1.3499999999999999E-3</v>
      </c>
      <c r="T54" s="14">
        <f>+$C$44*$E$54*$G$54*K54*(O54/P54)</f>
        <v>1.3499999999999999E-3</v>
      </c>
      <c r="U54" s="14">
        <f t="shared" si="6"/>
        <v>4.0499999999999998E-3</v>
      </c>
      <c r="V54" s="59">
        <v>0</v>
      </c>
      <c r="W54" s="66">
        <v>150000000</v>
      </c>
      <c r="X54" s="66">
        <v>150000000</v>
      </c>
      <c r="Y54" s="66">
        <v>150000000</v>
      </c>
      <c r="Z54" s="63">
        <f t="shared" si="2"/>
        <v>450000000</v>
      </c>
    </row>
    <row r="55" spans="2:26" ht="36" x14ac:dyDescent="0.2">
      <c r="B55" s="192"/>
      <c r="C55" s="209"/>
      <c r="D55" s="179"/>
      <c r="E55" s="179"/>
      <c r="F55" s="181"/>
      <c r="G55" s="182"/>
      <c r="H55" s="136" t="s">
        <v>47</v>
      </c>
      <c r="I55" s="136" t="s">
        <v>454</v>
      </c>
      <c r="J55" s="9" t="s">
        <v>455</v>
      </c>
      <c r="K55" s="131">
        <v>0.7</v>
      </c>
      <c r="L55" s="46">
        <v>0</v>
      </c>
      <c r="M55" s="44">
        <v>0</v>
      </c>
      <c r="N55" s="44">
        <v>2</v>
      </c>
      <c r="O55" s="46">
        <v>2</v>
      </c>
      <c r="P55" s="45">
        <f t="shared" si="23"/>
        <v>4</v>
      </c>
      <c r="Q55" s="14">
        <f>+$C$44*$E$54*$G$54*K55*(L55/P55)</f>
        <v>0</v>
      </c>
      <c r="R55" s="14">
        <f>+$C$44*$E$54*$G$54*K55*(M55/P55)</f>
        <v>0</v>
      </c>
      <c r="S55" s="14">
        <f>+$C$44*$E$54*$G$54*K55*(N55/P55)</f>
        <v>4.725E-3</v>
      </c>
      <c r="T55" s="14">
        <f>+$C$44*$E$54*$G$54*K55*(O55/P55)</f>
        <v>4.725E-3</v>
      </c>
      <c r="U55" s="14">
        <f t="shared" si="6"/>
        <v>9.4500000000000001E-3</v>
      </c>
      <c r="V55" s="59">
        <v>0</v>
      </c>
      <c r="W55" s="66">
        <v>0</v>
      </c>
      <c r="X55" s="66">
        <v>500000000</v>
      </c>
      <c r="Y55" s="59">
        <v>500000000</v>
      </c>
      <c r="Z55" s="63">
        <f t="shared" si="2"/>
        <v>1000000000</v>
      </c>
    </row>
    <row r="56" spans="2:26" ht="72" x14ac:dyDescent="0.2">
      <c r="B56" s="192"/>
      <c r="C56" s="209"/>
      <c r="D56" s="179"/>
      <c r="E56" s="179"/>
      <c r="F56" s="123" t="s">
        <v>69</v>
      </c>
      <c r="G56" s="5">
        <v>0.4</v>
      </c>
      <c r="H56" s="136" t="s">
        <v>48</v>
      </c>
      <c r="I56" s="136" t="s">
        <v>456</v>
      </c>
      <c r="J56" s="9" t="s">
        <v>457</v>
      </c>
      <c r="K56" s="131">
        <v>1</v>
      </c>
      <c r="L56" s="46">
        <v>0</v>
      </c>
      <c r="M56" s="46">
        <v>0</v>
      </c>
      <c r="N56" s="17">
        <v>1</v>
      </c>
      <c r="O56" s="17">
        <v>2</v>
      </c>
      <c r="P56" s="45">
        <f t="shared" si="23"/>
        <v>3</v>
      </c>
      <c r="Q56" s="14">
        <f>+$C$44*$E$54*$G$56*K56*(L56/P56)</f>
        <v>0</v>
      </c>
      <c r="R56" s="14">
        <f>+$C$44*$E$54*$G$56*K56*(M56/P56)</f>
        <v>0</v>
      </c>
      <c r="S56" s="14">
        <f>+$C$44*$E$54*$G$56*K56*(N56/P56)</f>
        <v>5.9999999999999993E-3</v>
      </c>
      <c r="T56" s="14">
        <f>+$C$44*$E$54*$G$56*K56*(O56/P56)</f>
        <v>1.1999999999999999E-2</v>
      </c>
      <c r="U56" s="14">
        <f t="shared" si="6"/>
        <v>1.7999999999999999E-2</v>
      </c>
      <c r="V56" s="59">
        <v>0</v>
      </c>
      <c r="W56" s="59">
        <v>0</v>
      </c>
      <c r="X56" s="67">
        <v>750000000</v>
      </c>
      <c r="Y56" s="67">
        <v>1250000000</v>
      </c>
      <c r="Z56" s="63">
        <f t="shared" si="2"/>
        <v>2000000000</v>
      </c>
    </row>
    <row r="57" spans="2:26" ht="60" x14ac:dyDescent="0.2">
      <c r="B57" s="192"/>
      <c r="C57" s="209"/>
      <c r="D57" s="179"/>
      <c r="E57" s="179"/>
      <c r="F57" s="181" t="s">
        <v>70</v>
      </c>
      <c r="G57" s="182">
        <v>0.3</v>
      </c>
      <c r="H57" s="136" t="s">
        <v>49</v>
      </c>
      <c r="I57" s="136" t="s">
        <v>458</v>
      </c>
      <c r="J57" s="9" t="s">
        <v>459</v>
      </c>
      <c r="K57" s="131">
        <v>0.8</v>
      </c>
      <c r="L57" s="42">
        <v>2</v>
      </c>
      <c r="M57" s="42">
        <v>0</v>
      </c>
      <c r="N57" s="46">
        <v>0</v>
      </c>
      <c r="O57" s="46">
        <v>2</v>
      </c>
      <c r="P57" s="45">
        <f t="shared" si="23"/>
        <v>4</v>
      </c>
      <c r="Q57" s="14">
        <f>+$C$44*$E$54*$G$57*K57*(L57/P57)</f>
        <v>5.4000000000000003E-3</v>
      </c>
      <c r="R57" s="14">
        <f>+$C$44*$E$54*$G$57*K57*(M57/P57)</f>
        <v>0</v>
      </c>
      <c r="S57" s="14">
        <f>+$C$44*$E$54*$G$57*K57*(N57/P57)</f>
        <v>0</v>
      </c>
      <c r="T57" s="14">
        <f>+$C$44*$E$54*$G$57*K57*(O57/P57)</f>
        <v>5.4000000000000003E-3</v>
      </c>
      <c r="U57" s="14">
        <f t="shared" si="6"/>
        <v>1.0800000000000001E-2</v>
      </c>
      <c r="V57" s="66">
        <v>500000000</v>
      </c>
      <c r="W57" s="67">
        <v>0</v>
      </c>
      <c r="X57" s="59">
        <v>0</v>
      </c>
      <c r="Y57" s="59">
        <v>500000000</v>
      </c>
      <c r="Z57" s="63">
        <f t="shared" si="2"/>
        <v>1000000000</v>
      </c>
    </row>
    <row r="58" spans="2:26" ht="60" x14ac:dyDescent="0.2">
      <c r="B58" s="192"/>
      <c r="C58" s="209"/>
      <c r="D58" s="179"/>
      <c r="E58" s="179"/>
      <c r="F58" s="181"/>
      <c r="G58" s="182"/>
      <c r="H58" s="136" t="s">
        <v>50</v>
      </c>
      <c r="I58" s="136" t="s">
        <v>460</v>
      </c>
      <c r="J58" s="9" t="s">
        <v>461</v>
      </c>
      <c r="K58" s="131">
        <v>0.2</v>
      </c>
      <c r="L58" s="17">
        <v>1</v>
      </c>
      <c r="M58" s="17">
        <v>1</v>
      </c>
      <c r="N58" s="123">
        <v>1</v>
      </c>
      <c r="O58" s="123">
        <v>1</v>
      </c>
      <c r="P58" s="45">
        <f t="shared" si="23"/>
        <v>4</v>
      </c>
      <c r="Q58" s="14">
        <f>+$C$44*$E$54*$G$57*K58*(L58/P58)</f>
        <v>6.7500000000000004E-4</v>
      </c>
      <c r="R58" s="14">
        <f>+$C$44*$E$54*$G$57*K58*(M58/P58)</f>
        <v>6.7500000000000004E-4</v>
      </c>
      <c r="S58" s="14">
        <f>+$C$44*$E$54*$G$57*K58*(N58/P58)</f>
        <v>6.7500000000000004E-4</v>
      </c>
      <c r="T58" s="14">
        <f>+$C$44*$E$54*$G$57*K58*(O58/P58)</f>
        <v>6.7500000000000004E-4</v>
      </c>
      <c r="U58" s="14">
        <f t="shared" si="6"/>
        <v>2.7000000000000001E-3</v>
      </c>
      <c r="V58" s="66">
        <v>100000000</v>
      </c>
      <c r="W58" s="67">
        <v>100000000</v>
      </c>
      <c r="X58" s="67">
        <v>100000000</v>
      </c>
      <c r="Y58" s="67">
        <v>100000000</v>
      </c>
      <c r="Z58" s="63">
        <f t="shared" si="2"/>
        <v>400000000</v>
      </c>
    </row>
    <row r="59" spans="2:26" ht="36" x14ac:dyDescent="0.2">
      <c r="B59" s="192"/>
      <c r="C59" s="209"/>
      <c r="D59" s="179" t="s">
        <v>76</v>
      </c>
      <c r="E59" s="180">
        <v>0.4</v>
      </c>
      <c r="F59" s="181" t="s">
        <v>71</v>
      </c>
      <c r="G59" s="182">
        <v>0.7</v>
      </c>
      <c r="H59" s="136" t="s">
        <v>51</v>
      </c>
      <c r="I59" s="136" t="s">
        <v>462</v>
      </c>
      <c r="J59" s="9" t="s">
        <v>463</v>
      </c>
      <c r="K59" s="131">
        <v>0.1</v>
      </c>
      <c r="L59" s="17">
        <v>1</v>
      </c>
      <c r="M59" s="17">
        <v>2</v>
      </c>
      <c r="N59" s="46">
        <v>0</v>
      </c>
      <c r="O59" s="46">
        <v>0</v>
      </c>
      <c r="P59" s="45">
        <f t="shared" si="23"/>
        <v>3</v>
      </c>
      <c r="Q59" s="14">
        <f>+$C$44*$E$59*$G$59*K59*(L59/P59)</f>
        <v>1.3999999999999998E-3</v>
      </c>
      <c r="R59" s="14">
        <f>+$C$44*$E$59*$G$59*K59*(M59/P59)</f>
        <v>2.7999999999999995E-3</v>
      </c>
      <c r="S59" s="14">
        <f>+$C$44*$E$59*$G$59*K59*(N59/P59)</f>
        <v>0</v>
      </c>
      <c r="T59" s="14">
        <f>+$C$44*$E$59*$G$59*K59*(O59/P59)</f>
        <v>0</v>
      </c>
      <c r="U59" s="14">
        <f t="shared" si="6"/>
        <v>4.1999999999999989E-3</v>
      </c>
      <c r="V59" s="59">
        <v>320000000</v>
      </c>
      <c r="W59" s="59">
        <v>640000000</v>
      </c>
      <c r="X59" s="59">
        <v>0</v>
      </c>
      <c r="Y59" s="59">
        <v>0</v>
      </c>
      <c r="Z59" s="63">
        <f t="shared" si="2"/>
        <v>960000000</v>
      </c>
    </row>
    <row r="60" spans="2:26" ht="60" x14ac:dyDescent="0.2">
      <c r="B60" s="192"/>
      <c r="C60" s="209"/>
      <c r="D60" s="179"/>
      <c r="E60" s="180"/>
      <c r="F60" s="181"/>
      <c r="G60" s="182"/>
      <c r="H60" s="136" t="s">
        <v>52</v>
      </c>
      <c r="I60" s="136" t="s">
        <v>464</v>
      </c>
      <c r="J60" s="9" t="s">
        <v>465</v>
      </c>
      <c r="K60" s="131">
        <v>0.13</v>
      </c>
      <c r="L60" s="46">
        <v>0</v>
      </c>
      <c r="M60" s="17">
        <v>0</v>
      </c>
      <c r="N60" s="123">
        <v>1</v>
      </c>
      <c r="O60" s="123">
        <v>2</v>
      </c>
      <c r="P60" s="45">
        <f t="shared" si="23"/>
        <v>3</v>
      </c>
      <c r="Q60" s="14">
        <f t="shared" ref="Q60:Q69" si="32">+$C$44*$E$59*$G$59*K60*(L60/P60)</f>
        <v>0</v>
      </c>
      <c r="R60" s="14">
        <f t="shared" ref="R60:R69" si="33">+$C$44*$E$59*$G$59*K60*(M60/P60)</f>
        <v>0</v>
      </c>
      <c r="S60" s="14">
        <f t="shared" ref="S60:S69" si="34">+$C$44*$E$59*$G$59*K60*(N60/P60)</f>
        <v>1.8199999999999998E-3</v>
      </c>
      <c r="T60" s="14">
        <f t="shared" ref="T60:T69" si="35">+$C$44*$E$59*$G$59*K60*(O60/P60)</f>
        <v>3.6399999999999996E-3</v>
      </c>
      <c r="U60" s="14">
        <f t="shared" si="6"/>
        <v>5.4599999999999996E-3</v>
      </c>
      <c r="V60" s="59">
        <v>0</v>
      </c>
      <c r="W60" s="59">
        <v>0</v>
      </c>
      <c r="X60" s="59">
        <v>400000000</v>
      </c>
      <c r="Y60" s="59">
        <v>800000000</v>
      </c>
      <c r="Z60" s="63">
        <f t="shared" si="2"/>
        <v>1200000000</v>
      </c>
    </row>
    <row r="61" spans="2:26" ht="36" x14ac:dyDescent="0.2">
      <c r="B61" s="192"/>
      <c r="C61" s="209"/>
      <c r="D61" s="179"/>
      <c r="E61" s="180"/>
      <c r="F61" s="181"/>
      <c r="G61" s="182"/>
      <c r="H61" s="136" t="s">
        <v>53</v>
      </c>
      <c r="I61" s="136" t="s">
        <v>466</v>
      </c>
      <c r="J61" s="9" t="s">
        <v>467</v>
      </c>
      <c r="K61" s="131">
        <v>0.1</v>
      </c>
      <c r="L61" s="46">
        <v>0</v>
      </c>
      <c r="M61" s="46">
        <v>0</v>
      </c>
      <c r="N61" s="123">
        <v>100</v>
      </c>
      <c r="O61" s="123">
        <v>100</v>
      </c>
      <c r="P61" s="45">
        <f t="shared" si="23"/>
        <v>200</v>
      </c>
      <c r="Q61" s="14">
        <f t="shared" si="32"/>
        <v>0</v>
      </c>
      <c r="R61" s="14">
        <f t="shared" si="33"/>
        <v>0</v>
      </c>
      <c r="S61" s="14">
        <f t="shared" si="34"/>
        <v>2.0999999999999999E-3</v>
      </c>
      <c r="T61" s="14">
        <f t="shared" si="35"/>
        <v>2.0999999999999999E-3</v>
      </c>
      <c r="U61" s="14">
        <f t="shared" si="6"/>
        <v>4.1999999999999997E-3</v>
      </c>
      <c r="V61" s="59">
        <v>0</v>
      </c>
      <c r="W61" s="59">
        <v>0</v>
      </c>
      <c r="X61" s="59">
        <v>500000000</v>
      </c>
      <c r="Y61" s="59">
        <v>500000000</v>
      </c>
      <c r="Z61" s="63">
        <f t="shared" si="2"/>
        <v>1000000000</v>
      </c>
    </row>
    <row r="62" spans="2:26" ht="24" x14ac:dyDescent="0.2">
      <c r="B62" s="192"/>
      <c r="C62" s="209"/>
      <c r="D62" s="179"/>
      <c r="E62" s="180"/>
      <c r="F62" s="181"/>
      <c r="G62" s="182"/>
      <c r="H62" s="136" t="s">
        <v>54</v>
      </c>
      <c r="I62" s="9" t="s">
        <v>468</v>
      </c>
      <c r="J62" s="9" t="s">
        <v>469</v>
      </c>
      <c r="K62" s="131">
        <v>0.18</v>
      </c>
      <c r="L62" s="46">
        <v>0</v>
      </c>
      <c r="M62" s="46">
        <v>0</v>
      </c>
      <c r="N62" s="123">
        <v>50</v>
      </c>
      <c r="O62" s="123">
        <v>50</v>
      </c>
      <c r="P62" s="45">
        <f t="shared" si="23"/>
        <v>100</v>
      </c>
      <c r="Q62" s="14">
        <f t="shared" si="32"/>
        <v>0</v>
      </c>
      <c r="R62" s="14">
        <f t="shared" si="33"/>
        <v>0</v>
      </c>
      <c r="S62" s="14">
        <f t="shared" si="34"/>
        <v>3.7799999999999995E-3</v>
      </c>
      <c r="T62" s="14">
        <f t="shared" si="35"/>
        <v>3.7799999999999995E-3</v>
      </c>
      <c r="U62" s="14">
        <f t="shared" si="6"/>
        <v>7.559999999999999E-3</v>
      </c>
      <c r="V62" s="59">
        <v>0</v>
      </c>
      <c r="W62" s="59">
        <v>0</v>
      </c>
      <c r="X62" s="59">
        <v>850000000</v>
      </c>
      <c r="Y62" s="59">
        <v>850000000</v>
      </c>
      <c r="Z62" s="63">
        <f t="shared" si="2"/>
        <v>1700000000</v>
      </c>
    </row>
    <row r="63" spans="2:26" ht="36" x14ac:dyDescent="0.2">
      <c r="B63" s="192"/>
      <c r="C63" s="209"/>
      <c r="D63" s="179"/>
      <c r="E63" s="180"/>
      <c r="F63" s="181"/>
      <c r="G63" s="182"/>
      <c r="H63" s="136" t="s">
        <v>55</v>
      </c>
      <c r="I63" s="136" t="s">
        <v>470</v>
      </c>
      <c r="J63" s="9" t="s">
        <v>471</v>
      </c>
      <c r="K63" s="131">
        <v>0.1</v>
      </c>
      <c r="L63" s="46">
        <v>0</v>
      </c>
      <c r="M63" s="17">
        <v>0</v>
      </c>
      <c r="N63" s="123">
        <v>750</v>
      </c>
      <c r="O63" s="46">
        <v>750</v>
      </c>
      <c r="P63" s="45">
        <f t="shared" si="23"/>
        <v>1500</v>
      </c>
      <c r="Q63" s="14">
        <f t="shared" si="32"/>
        <v>0</v>
      </c>
      <c r="R63" s="14">
        <f t="shared" si="33"/>
        <v>0</v>
      </c>
      <c r="S63" s="14">
        <f t="shared" si="34"/>
        <v>2.0999999999999999E-3</v>
      </c>
      <c r="T63" s="14">
        <f t="shared" si="35"/>
        <v>2.0999999999999999E-3</v>
      </c>
      <c r="U63" s="14">
        <f t="shared" si="6"/>
        <v>4.1999999999999997E-3</v>
      </c>
      <c r="V63" s="59">
        <v>0</v>
      </c>
      <c r="W63" s="59">
        <v>0</v>
      </c>
      <c r="X63" s="59">
        <v>400000000</v>
      </c>
      <c r="Y63" s="59">
        <v>400000000</v>
      </c>
      <c r="Z63" s="63">
        <f t="shared" si="2"/>
        <v>800000000</v>
      </c>
    </row>
    <row r="64" spans="2:26" ht="48" x14ac:dyDescent="0.2">
      <c r="B64" s="192"/>
      <c r="C64" s="209"/>
      <c r="D64" s="179"/>
      <c r="E64" s="180"/>
      <c r="F64" s="181"/>
      <c r="G64" s="182"/>
      <c r="H64" s="136" t="s">
        <v>56</v>
      </c>
      <c r="I64" s="136" t="s">
        <v>472</v>
      </c>
      <c r="J64" s="9" t="s">
        <v>473</v>
      </c>
      <c r="K64" s="131">
        <v>0.08</v>
      </c>
      <c r="L64" s="46">
        <v>0</v>
      </c>
      <c r="M64" s="17">
        <v>0</v>
      </c>
      <c r="N64" s="123">
        <v>2</v>
      </c>
      <c r="O64" s="46">
        <v>2</v>
      </c>
      <c r="P64" s="45">
        <f t="shared" si="23"/>
        <v>4</v>
      </c>
      <c r="Q64" s="14">
        <f t="shared" si="32"/>
        <v>0</v>
      </c>
      <c r="R64" s="14">
        <f t="shared" si="33"/>
        <v>0</v>
      </c>
      <c r="S64" s="14">
        <f t="shared" si="34"/>
        <v>1.6799999999999999E-3</v>
      </c>
      <c r="T64" s="14">
        <f t="shared" si="35"/>
        <v>1.6799999999999999E-3</v>
      </c>
      <c r="U64" s="14">
        <f t="shared" si="6"/>
        <v>3.3599999999999997E-3</v>
      </c>
      <c r="V64" s="59">
        <v>0</v>
      </c>
      <c r="W64" s="59">
        <v>0</v>
      </c>
      <c r="X64" s="59">
        <v>400000000</v>
      </c>
      <c r="Y64" s="59">
        <v>400000000</v>
      </c>
      <c r="Z64" s="63">
        <f t="shared" si="2"/>
        <v>800000000</v>
      </c>
    </row>
    <row r="65" spans="2:26" ht="60" x14ac:dyDescent="0.2">
      <c r="B65" s="192"/>
      <c r="C65" s="209"/>
      <c r="D65" s="179"/>
      <c r="E65" s="180"/>
      <c r="F65" s="181"/>
      <c r="G65" s="182"/>
      <c r="H65" s="136" t="s">
        <v>57</v>
      </c>
      <c r="I65" s="136" t="s">
        <v>474</v>
      </c>
      <c r="J65" s="9" t="s">
        <v>475</v>
      </c>
      <c r="K65" s="131">
        <v>0.08</v>
      </c>
      <c r="L65" s="17">
        <v>2</v>
      </c>
      <c r="M65" s="17">
        <v>2</v>
      </c>
      <c r="N65" s="46">
        <v>0</v>
      </c>
      <c r="O65" s="46">
        <v>0</v>
      </c>
      <c r="P65" s="45">
        <f t="shared" si="23"/>
        <v>4</v>
      </c>
      <c r="Q65" s="14">
        <f t="shared" si="32"/>
        <v>1.6799999999999999E-3</v>
      </c>
      <c r="R65" s="14">
        <f t="shared" si="33"/>
        <v>1.6799999999999999E-3</v>
      </c>
      <c r="S65" s="14">
        <f t="shared" si="34"/>
        <v>0</v>
      </c>
      <c r="T65" s="14">
        <f t="shared" si="35"/>
        <v>0</v>
      </c>
      <c r="U65" s="14">
        <f t="shared" si="6"/>
        <v>3.3599999999999997E-3</v>
      </c>
      <c r="V65" s="59">
        <v>400000000</v>
      </c>
      <c r="W65" s="59">
        <v>400000000</v>
      </c>
      <c r="X65" s="59">
        <v>0</v>
      </c>
      <c r="Y65" s="59">
        <v>0</v>
      </c>
      <c r="Z65" s="63">
        <f t="shared" si="2"/>
        <v>800000000</v>
      </c>
    </row>
    <row r="66" spans="2:26" ht="48" x14ac:dyDescent="0.2">
      <c r="B66" s="192"/>
      <c r="C66" s="209"/>
      <c r="D66" s="179"/>
      <c r="E66" s="180"/>
      <c r="F66" s="181"/>
      <c r="G66" s="182"/>
      <c r="H66" s="136" t="s">
        <v>58</v>
      </c>
      <c r="I66" s="136" t="s">
        <v>476</v>
      </c>
      <c r="J66" s="9" t="s">
        <v>477</v>
      </c>
      <c r="K66" s="131">
        <v>0.08</v>
      </c>
      <c r="L66" s="46">
        <v>0</v>
      </c>
      <c r="M66" s="17">
        <v>2</v>
      </c>
      <c r="N66" s="123">
        <v>2</v>
      </c>
      <c r="O66" s="46">
        <v>0</v>
      </c>
      <c r="P66" s="45">
        <f t="shared" si="23"/>
        <v>4</v>
      </c>
      <c r="Q66" s="14">
        <f t="shared" si="32"/>
        <v>0</v>
      </c>
      <c r="R66" s="14">
        <f t="shared" si="33"/>
        <v>1.6799999999999999E-3</v>
      </c>
      <c r="S66" s="14">
        <f t="shared" si="34"/>
        <v>1.6799999999999999E-3</v>
      </c>
      <c r="T66" s="14">
        <f t="shared" si="35"/>
        <v>0</v>
      </c>
      <c r="U66" s="14">
        <f t="shared" si="6"/>
        <v>3.3599999999999997E-3</v>
      </c>
      <c r="V66" s="59">
        <v>0</v>
      </c>
      <c r="W66" s="59">
        <v>400000000</v>
      </c>
      <c r="X66" s="59">
        <v>400000000</v>
      </c>
      <c r="Y66" s="59">
        <v>0</v>
      </c>
      <c r="Z66" s="63">
        <f t="shared" si="2"/>
        <v>800000000</v>
      </c>
    </row>
    <row r="67" spans="2:26" ht="36" x14ac:dyDescent="0.2">
      <c r="B67" s="192"/>
      <c r="C67" s="209"/>
      <c r="D67" s="179"/>
      <c r="E67" s="180"/>
      <c r="F67" s="181"/>
      <c r="G67" s="182"/>
      <c r="H67" s="136" t="s">
        <v>59</v>
      </c>
      <c r="I67" s="136" t="s">
        <v>478</v>
      </c>
      <c r="J67" s="9" t="s">
        <v>479</v>
      </c>
      <c r="K67" s="131">
        <v>0.05</v>
      </c>
      <c r="L67" s="46">
        <v>0</v>
      </c>
      <c r="M67" s="17">
        <v>2</v>
      </c>
      <c r="N67" s="46">
        <v>0</v>
      </c>
      <c r="O67" s="46">
        <v>0</v>
      </c>
      <c r="P67" s="45">
        <f t="shared" si="23"/>
        <v>2</v>
      </c>
      <c r="Q67" s="14">
        <f t="shared" si="32"/>
        <v>0</v>
      </c>
      <c r="R67" s="14">
        <f t="shared" si="33"/>
        <v>2.0999999999999999E-3</v>
      </c>
      <c r="S67" s="14">
        <f t="shared" si="34"/>
        <v>0</v>
      </c>
      <c r="T67" s="14">
        <f t="shared" si="35"/>
        <v>0</v>
      </c>
      <c r="U67" s="14">
        <f t="shared" si="6"/>
        <v>2.0999999999999999E-3</v>
      </c>
      <c r="V67" s="59">
        <v>0</v>
      </c>
      <c r="W67" s="59">
        <v>400000000</v>
      </c>
      <c r="X67" s="59">
        <v>0</v>
      </c>
      <c r="Y67" s="59">
        <v>0</v>
      </c>
      <c r="Z67" s="63">
        <f t="shared" si="2"/>
        <v>400000000</v>
      </c>
    </row>
    <row r="68" spans="2:26" ht="60" x14ac:dyDescent="0.2">
      <c r="B68" s="192"/>
      <c r="C68" s="209"/>
      <c r="D68" s="179"/>
      <c r="E68" s="180"/>
      <c r="F68" s="181"/>
      <c r="G68" s="182"/>
      <c r="H68" s="136" t="s">
        <v>60</v>
      </c>
      <c r="I68" s="136" t="s">
        <v>480</v>
      </c>
      <c r="J68" s="9" t="s">
        <v>481</v>
      </c>
      <c r="K68" s="131">
        <v>0.05</v>
      </c>
      <c r="L68" s="17">
        <v>1</v>
      </c>
      <c r="M68" s="17">
        <v>1</v>
      </c>
      <c r="N68" s="46">
        <v>0</v>
      </c>
      <c r="O68" s="46">
        <v>0</v>
      </c>
      <c r="P68" s="45">
        <f t="shared" si="23"/>
        <v>2</v>
      </c>
      <c r="Q68" s="14">
        <f t="shared" si="32"/>
        <v>1.0499999999999999E-3</v>
      </c>
      <c r="R68" s="14">
        <f t="shared" si="33"/>
        <v>1.0499999999999999E-3</v>
      </c>
      <c r="S68" s="14">
        <f t="shared" si="34"/>
        <v>0</v>
      </c>
      <c r="T68" s="14">
        <f t="shared" si="35"/>
        <v>0</v>
      </c>
      <c r="U68" s="14">
        <f t="shared" si="6"/>
        <v>2.0999999999999999E-3</v>
      </c>
      <c r="V68" s="59">
        <v>250000000</v>
      </c>
      <c r="W68" s="59">
        <v>250000000</v>
      </c>
      <c r="X68" s="59">
        <v>0</v>
      </c>
      <c r="Y68" s="59">
        <v>0</v>
      </c>
      <c r="Z68" s="63">
        <f t="shared" si="2"/>
        <v>500000000</v>
      </c>
    </row>
    <row r="69" spans="2:26" ht="36" x14ac:dyDescent="0.2">
      <c r="B69" s="192"/>
      <c r="C69" s="209"/>
      <c r="D69" s="179"/>
      <c r="E69" s="180"/>
      <c r="F69" s="181"/>
      <c r="G69" s="182"/>
      <c r="H69" s="136" t="s">
        <v>61</v>
      </c>
      <c r="I69" s="36" t="s">
        <v>482</v>
      </c>
      <c r="J69" s="32" t="s">
        <v>483</v>
      </c>
      <c r="K69" s="131">
        <v>0.05</v>
      </c>
      <c r="L69" s="46">
        <v>0</v>
      </c>
      <c r="M69" s="17">
        <v>2</v>
      </c>
      <c r="N69" s="123">
        <v>2</v>
      </c>
      <c r="O69" s="46">
        <v>0</v>
      </c>
      <c r="P69" s="45">
        <f t="shared" si="23"/>
        <v>4</v>
      </c>
      <c r="Q69" s="14">
        <f t="shared" si="32"/>
        <v>0</v>
      </c>
      <c r="R69" s="14">
        <f t="shared" si="33"/>
        <v>1.0499999999999999E-3</v>
      </c>
      <c r="S69" s="14">
        <f t="shared" si="34"/>
        <v>1.0499999999999999E-3</v>
      </c>
      <c r="T69" s="14">
        <f t="shared" si="35"/>
        <v>0</v>
      </c>
      <c r="U69" s="14">
        <f t="shared" si="6"/>
        <v>2.0999999999999999E-3</v>
      </c>
      <c r="V69" s="59">
        <v>0</v>
      </c>
      <c r="W69" s="59">
        <v>200000000</v>
      </c>
      <c r="X69" s="59">
        <v>200000000</v>
      </c>
      <c r="Y69" s="59">
        <v>0</v>
      </c>
      <c r="Z69" s="63">
        <f t="shared" si="2"/>
        <v>400000000</v>
      </c>
    </row>
    <row r="70" spans="2:26" ht="24" x14ac:dyDescent="0.2">
      <c r="B70" s="192"/>
      <c r="C70" s="209"/>
      <c r="D70" s="179"/>
      <c r="E70" s="180"/>
      <c r="F70" s="181" t="s">
        <v>72</v>
      </c>
      <c r="G70" s="182">
        <v>0.2</v>
      </c>
      <c r="H70" s="136" t="s">
        <v>62</v>
      </c>
      <c r="I70" s="136" t="s">
        <v>484</v>
      </c>
      <c r="J70" s="9" t="s">
        <v>485</v>
      </c>
      <c r="K70" s="131">
        <v>0.2</v>
      </c>
      <c r="L70" s="46">
        <v>0</v>
      </c>
      <c r="M70" s="17">
        <v>1</v>
      </c>
      <c r="N70" s="46">
        <v>0</v>
      </c>
      <c r="O70" s="46">
        <v>0</v>
      </c>
      <c r="P70" s="45">
        <f t="shared" si="23"/>
        <v>1</v>
      </c>
      <c r="Q70" s="14">
        <f>+$C$44*$E$59*$G$70*K70*(L70/P70)</f>
        <v>0</v>
      </c>
      <c r="R70" s="14">
        <f>+$C$44*$E$59*$G$70*K70*(M70/P70)</f>
        <v>2.4000000000000002E-3</v>
      </c>
      <c r="S70" s="14">
        <f>+$C$44*$E$59*$G$70*K70*(N70/P70)</f>
        <v>0</v>
      </c>
      <c r="T70" s="14">
        <f>+$C$44*$E$59*$G$70*K70*(O70/P70)</f>
        <v>0</v>
      </c>
      <c r="U70" s="14">
        <f t="shared" si="6"/>
        <v>2.4000000000000002E-3</v>
      </c>
      <c r="V70" s="59">
        <v>0</v>
      </c>
      <c r="W70" s="59">
        <v>150000000</v>
      </c>
      <c r="X70" s="59">
        <v>0</v>
      </c>
      <c r="Y70" s="59">
        <v>0</v>
      </c>
      <c r="Z70" s="63">
        <f t="shared" si="2"/>
        <v>150000000</v>
      </c>
    </row>
    <row r="71" spans="2:26" ht="24" x14ac:dyDescent="0.2">
      <c r="B71" s="192"/>
      <c r="C71" s="209"/>
      <c r="D71" s="179"/>
      <c r="E71" s="180"/>
      <c r="F71" s="181"/>
      <c r="G71" s="182"/>
      <c r="H71" s="136" t="s">
        <v>63</v>
      </c>
      <c r="I71" s="136" t="s">
        <v>663</v>
      </c>
      <c r="J71" s="9" t="s">
        <v>486</v>
      </c>
      <c r="K71" s="131">
        <v>0.3</v>
      </c>
      <c r="L71" s="46">
        <v>0</v>
      </c>
      <c r="M71" s="17">
        <v>21</v>
      </c>
      <c r="N71" s="123">
        <v>20</v>
      </c>
      <c r="O71" s="123">
        <v>20</v>
      </c>
      <c r="P71" s="45">
        <f t="shared" si="23"/>
        <v>61</v>
      </c>
      <c r="Q71" s="14">
        <f t="shared" ref="Q71:Q73" si="36">+$C$44*$E$59*$G$70*K71*(L71/P71)</f>
        <v>0</v>
      </c>
      <c r="R71" s="14">
        <f t="shared" ref="R71:R73" si="37">+$C$44*$E$59*$G$70*K71*(M71/P71)</f>
        <v>1.239344262295082E-3</v>
      </c>
      <c r="S71" s="14">
        <f t="shared" ref="S71:S72" si="38">+$C$44*$E$59*$G$70*K71*(N71/P71)</f>
        <v>1.1803278688524588E-3</v>
      </c>
      <c r="T71" s="14">
        <f t="shared" ref="T71:T73" si="39">+$C$44*$E$59*$G$70*K71*(O71/P71)</f>
        <v>1.1803278688524588E-3</v>
      </c>
      <c r="U71" s="14">
        <f t="shared" si="6"/>
        <v>3.5999999999999999E-3</v>
      </c>
      <c r="V71" s="59">
        <v>0</v>
      </c>
      <c r="W71" s="59">
        <v>210000000</v>
      </c>
      <c r="X71" s="59">
        <v>200000000</v>
      </c>
      <c r="Y71" s="59">
        <v>200000000</v>
      </c>
      <c r="Z71" s="63">
        <f t="shared" si="2"/>
        <v>610000000</v>
      </c>
    </row>
    <row r="72" spans="2:26" ht="24" x14ac:dyDescent="0.2">
      <c r="B72" s="192"/>
      <c r="C72" s="209"/>
      <c r="D72" s="179"/>
      <c r="E72" s="180"/>
      <c r="F72" s="181"/>
      <c r="G72" s="182"/>
      <c r="H72" s="136" t="s">
        <v>64</v>
      </c>
      <c r="I72" s="12" t="s">
        <v>487</v>
      </c>
      <c r="J72" s="9" t="s">
        <v>488</v>
      </c>
      <c r="K72" s="131">
        <v>0.3</v>
      </c>
      <c r="L72" s="46">
        <v>0</v>
      </c>
      <c r="M72" s="17">
        <v>1</v>
      </c>
      <c r="N72" s="46">
        <v>0</v>
      </c>
      <c r="O72" s="123">
        <v>1</v>
      </c>
      <c r="P72" s="45">
        <f t="shared" si="23"/>
        <v>2</v>
      </c>
      <c r="Q72" s="14">
        <f t="shared" si="36"/>
        <v>0</v>
      </c>
      <c r="R72" s="14">
        <f t="shared" si="37"/>
        <v>1.8E-3</v>
      </c>
      <c r="S72" s="14">
        <f t="shared" si="38"/>
        <v>0</v>
      </c>
      <c r="T72" s="14">
        <f t="shared" si="39"/>
        <v>1.8E-3</v>
      </c>
      <c r="U72" s="14">
        <f t="shared" si="6"/>
        <v>3.5999999999999999E-3</v>
      </c>
      <c r="V72" s="59">
        <v>0</v>
      </c>
      <c r="W72" s="59">
        <v>250000000</v>
      </c>
      <c r="X72" s="59">
        <v>0</v>
      </c>
      <c r="Y72" s="59">
        <v>250000000</v>
      </c>
      <c r="Z72" s="63">
        <f t="shared" ref="Z72:Z135" si="40">+V72+W72+X72+Y72</f>
        <v>500000000</v>
      </c>
    </row>
    <row r="73" spans="2:26" ht="36" x14ac:dyDescent="0.2">
      <c r="B73" s="192"/>
      <c r="C73" s="209"/>
      <c r="D73" s="179"/>
      <c r="E73" s="180"/>
      <c r="F73" s="181"/>
      <c r="G73" s="182"/>
      <c r="H73" s="136" t="s">
        <v>65</v>
      </c>
      <c r="I73" s="12" t="s">
        <v>489</v>
      </c>
      <c r="J73" s="9" t="s">
        <v>490</v>
      </c>
      <c r="K73" s="131">
        <v>0.2</v>
      </c>
      <c r="L73" s="46">
        <v>0</v>
      </c>
      <c r="M73" s="17">
        <v>1</v>
      </c>
      <c r="N73" s="123">
        <v>1</v>
      </c>
      <c r="O73" s="46">
        <v>0</v>
      </c>
      <c r="P73" s="45">
        <f t="shared" si="23"/>
        <v>2</v>
      </c>
      <c r="Q73" s="14">
        <f t="shared" si="36"/>
        <v>0</v>
      </c>
      <c r="R73" s="14">
        <f t="shared" si="37"/>
        <v>1.2000000000000001E-3</v>
      </c>
      <c r="S73" s="14">
        <f>+$C$44*$E$59*$G$70*K73*(N73/P73)</f>
        <v>1.2000000000000001E-3</v>
      </c>
      <c r="T73" s="14">
        <f t="shared" si="39"/>
        <v>0</v>
      </c>
      <c r="U73" s="14">
        <f t="shared" si="6"/>
        <v>2.4000000000000002E-3</v>
      </c>
      <c r="V73" s="59">
        <v>0</v>
      </c>
      <c r="W73" s="59">
        <v>150000000</v>
      </c>
      <c r="X73" s="59">
        <v>150000000</v>
      </c>
      <c r="Y73" s="59">
        <v>0</v>
      </c>
      <c r="Z73" s="63">
        <f t="shared" si="40"/>
        <v>300000000</v>
      </c>
    </row>
    <row r="74" spans="2:26" ht="61" thickBot="1" x14ac:dyDescent="0.25">
      <c r="B74" s="205"/>
      <c r="C74" s="210"/>
      <c r="D74" s="211"/>
      <c r="E74" s="212"/>
      <c r="F74" s="125" t="s">
        <v>73</v>
      </c>
      <c r="G74" s="143">
        <v>0.1</v>
      </c>
      <c r="H74" s="138" t="s">
        <v>66</v>
      </c>
      <c r="I74" s="138" t="s">
        <v>491</v>
      </c>
      <c r="J74" s="137" t="s">
        <v>492</v>
      </c>
      <c r="K74" s="135">
        <v>1</v>
      </c>
      <c r="L74" s="74">
        <v>1</v>
      </c>
      <c r="M74" s="74">
        <v>1</v>
      </c>
      <c r="N74" s="125">
        <v>1</v>
      </c>
      <c r="O74" s="125">
        <v>1</v>
      </c>
      <c r="P74" s="70">
        <f>+L74+M74+N74+O74</f>
        <v>4</v>
      </c>
      <c r="Q74" s="58">
        <f>+$C$44*$E$59*$G$74*K74*(L74/P74)</f>
        <v>1.5E-3</v>
      </c>
      <c r="R74" s="58">
        <f>+$C$44*$E$59*$G$74*K74*(M74/P74)</f>
        <v>1.5E-3</v>
      </c>
      <c r="S74" s="58">
        <f>+$C$44*$E$59*$G$74*K74*(N74/P74)</f>
        <v>1.5E-3</v>
      </c>
      <c r="T74" s="58">
        <f>+$C$44*$E$59*$G$74*K74*(O74/P74)</f>
        <v>1.5E-3</v>
      </c>
      <c r="U74" s="58">
        <f t="shared" ref="U74:U143" si="41">+Q74+R74+S74+T74</f>
        <v>6.0000000000000001E-3</v>
      </c>
      <c r="V74" s="60">
        <v>100000000</v>
      </c>
      <c r="W74" s="60">
        <v>100000000</v>
      </c>
      <c r="X74" s="60">
        <v>100000000</v>
      </c>
      <c r="Y74" s="60">
        <v>100000000</v>
      </c>
      <c r="Z74" s="71">
        <f t="shared" si="40"/>
        <v>400000000</v>
      </c>
    </row>
    <row r="75" spans="2:26" ht="24" x14ac:dyDescent="0.2">
      <c r="B75" s="191" t="s">
        <v>80</v>
      </c>
      <c r="C75" s="188">
        <v>0.15</v>
      </c>
      <c r="D75" s="207" t="s">
        <v>220</v>
      </c>
      <c r="E75" s="195">
        <v>0.35</v>
      </c>
      <c r="F75" s="203" t="s">
        <v>223</v>
      </c>
      <c r="G75" s="201">
        <v>0.25</v>
      </c>
      <c r="H75" s="1" t="s">
        <v>237</v>
      </c>
      <c r="I75" s="1" t="s">
        <v>496</v>
      </c>
      <c r="J75" s="23" t="s">
        <v>497</v>
      </c>
      <c r="K75" s="20">
        <v>0.25</v>
      </c>
      <c r="L75" s="47">
        <v>5</v>
      </c>
      <c r="M75" s="47">
        <v>17</v>
      </c>
      <c r="N75" s="47">
        <v>0</v>
      </c>
      <c r="O75" s="47">
        <v>0</v>
      </c>
      <c r="P75" s="24">
        <f>+L75+M75+N75+O75</f>
        <v>22</v>
      </c>
      <c r="Q75" s="25">
        <f>+$C$75*$E$75*$G$75*K75*(L75/P75)</f>
        <v>7.4573863636363629E-4</v>
      </c>
      <c r="R75" s="25">
        <f>+$C$75*$E$75*$G$75*K75*(M75/P75)</f>
        <v>2.5355113636363635E-3</v>
      </c>
      <c r="S75" s="25">
        <f>+$C$75*$E$75*$G$75*K75*(N75/P75)</f>
        <v>0</v>
      </c>
      <c r="T75" s="25">
        <f>+$C$75*$E$75*$G$75*K75*(O75/P75)</f>
        <v>0</v>
      </c>
      <c r="U75" s="25">
        <f t="shared" si="41"/>
        <v>3.2812499999999999E-3</v>
      </c>
      <c r="V75" s="61">
        <v>150000000</v>
      </c>
      <c r="W75" s="61">
        <v>510000000</v>
      </c>
      <c r="X75" s="61">
        <v>0</v>
      </c>
      <c r="Y75" s="61">
        <v>0</v>
      </c>
      <c r="Z75" s="62">
        <f t="shared" si="40"/>
        <v>660000000</v>
      </c>
    </row>
    <row r="76" spans="2:26" ht="36" x14ac:dyDescent="0.2">
      <c r="B76" s="192"/>
      <c r="C76" s="209"/>
      <c r="D76" s="206"/>
      <c r="E76" s="180"/>
      <c r="F76" s="186"/>
      <c r="G76" s="182"/>
      <c r="H76" s="136" t="s">
        <v>238</v>
      </c>
      <c r="I76" s="136" t="s">
        <v>498</v>
      </c>
      <c r="J76" s="11" t="s">
        <v>499</v>
      </c>
      <c r="K76" s="131">
        <v>0.5</v>
      </c>
      <c r="L76" s="17">
        <v>0</v>
      </c>
      <c r="M76" s="17">
        <v>10</v>
      </c>
      <c r="N76" s="17">
        <v>20</v>
      </c>
      <c r="O76" s="17">
        <v>14</v>
      </c>
      <c r="P76" s="7">
        <f>+L76+M76+N76+O76</f>
        <v>44</v>
      </c>
      <c r="Q76" s="14">
        <f t="shared" ref="Q76:Q77" si="42">+$C$75*$E$75*$G$75*K76*(L76/P76)</f>
        <v>0</v>
      </c>
      <c r="R76" s="14">
        <f t="shared" ref="R76:R77" si="43">+$C$75*$E$75*$G$75*K76*(M76/P76)</f>
        <v>1.4914772727272726E-3</v>
      </c>
      <c r="S76" s="14">
        <f t="shared" ref="S76:S77" si="44">+$C$75*$E$75*$G$75*K76*(N76/P76)</f>
        <v>2.9829545454545451E-3</v>
      </c>
      <c r="T76" s="14">
        <f t="shared" ref="T76:T77" si="45">+$C$75*$E$75*$G$75*K76*(O76/P76)</f>
        <v>2.0880681818181818E-3</v>
      </c>
      <c r="U76" s="14">
        <f t="shared" si="41"/>
        <v>6.5624999999999989E-3</v>
      </c>
      <c r="V76" s="59">
        <v>0</v>
      </c>
      <c r="W76" s="59">
        <v>500000000</v>
      </c>
      <c r="X76" s="59">
        <v>1000000000</v>
      </c>
      <c r="Y76" s="59">
        <v>80000000</v>
      </c>
      <c r="Z76" s="63">
        <f t="shared" si="40"/>
        <v>1580000000</v>
      </c>
    </row>
    <row r="77" spans="2:26" ht="24" x14ac:dyDescent="0.2">
      <c r="B77" s="192"/>
      <c r="C77" s="209"/>
      <c r="D77" s="206"/>
      <c r="E77" s="180"/>
      <c r="F77" s="186"/>
      <c r="G77" s="182"/>
      <c r="H77" s="136" t="s">
        <v>239</v>
      </c>
      <c r="I77" s="136" t="s">
        <v>500</v>
      </c>
      <c r="J77" s="9" t="s">
        <v>501</v>
      </c>
      <c r="K77" s="131">
        <v>0.25</v>
      </c>
      <c r="L77" s="17">
        <v>1</v>
      </c>
      <c r="M77" s="17">
        <v>1</v>
      </c>
      <c r="N77" s="17">
        <v>1</v>
      </c>
      <c r="O77" s="17">
        <v>1</v>
      </c>
      <c r="P77" s="7">
        <f t="shared" ref="P77:P105" si="46">+L77+M77+N77+O77</f>
        <v>4</v>
      </c>
      <c r="Q77" s="14">
        <f t="shared" si="42"/>
        <v>8.2031249999999997E-4</v>
      </c>
      <c r="R77" s="14">
        <f t="shared" si="43"/>
        <v>8.2031249999999997E-4</v>
      </c>
      <c r="S77" s="14">
        <f t="shared" si="44"/>
        <v>8.2031249999999997E-4</v>
      </c>
      <c r="T77" s="14">
        <f t="shared" si="45"/>
        <v>8.2031249999999997E-4</v>
      </c>
      <c r="U77" s="14">
        <f t="shared" si="41"/>
        <v>3.2812499999999999E-3</v>
      </c>
      <c r="V77" s="59">
        <v>100000000</v>
      </c>
      <c r="W77" s="59">
        <v>150000000</v>
      </c>
      <c r="X77" s="59">
        <v>150000000</v>
      </c>
      <c r="Y77" s="59">
        <v>100000000</v>
      </c>
      <c r="Z77" s="63">
        <f t="shared" si="40"/>
        <v>500000000</v>
      </c>
    </row>
    <row r="78" spans="2:26" ht="48" x14ac:dyDescent="0.2">
      <c r="B78" s="192"/>
      <c r="C78" s="209"/>
      <c r="D78" s="206"/>
      <c r="E78" s="180"/>
      <c r="F78" s="186" t="s">
        <v>224</v>
      </c>
      <c r="G78" s="182">
        <v>0.25</v>
      </c>
      <c r="H78" s="136" t="s">
        <v>240</v>
      </c>
      <c r="I78" s="136" t="s">
        <v>502</v>
      </c>
      <c r="J78" s="9" t="s">
        <v>503</v>
      </c>
      <c r="K78" s="131">
        <v>0.45</v>
      </c>
      <c r="L78" s="17">
        <v>15</v>
      </c>
      <c r="M78" s="17">
        <v>50</v>
      </c>
      <c r="N78" s="17">
        <v>50</v>
      </c>
      <c r="O78" s="17">
        <v>18</v>
      </c>
      <c r="P78" s="7">
        <f t="shared" si="46"/>
        <v>133</v>
      </c>
      <c r="Q78" s="14">
        <f>+$C$75*$E$75*$G$78*K78*(L78/P78)</f>
        <v>6.661184210526315E-4</v>
      </c>
      <c r="R78" s="14">
        <f>+$C$75*$E$75*$G$78*K78*(M78/P78)</f>
        <v>2.2203947368421052E-3</v>
      </c>
      <c r="S78" s="14">
        <f>+$C$75*$E$75*$G$78*K78*(N78/P78)</f>
        <v>2.2203947368421052E-3</v>
      </c>
      <c r="T78" s="14">
        <f>+$C$75*$E$75*$G$78*K78*(O78/P78)</f>
        <v>7.9934210526315787E-4</v>
      </c>
      <c r="U78" s="14">
        <f t="shared" si="41"/>
        <v>5.90625E-3</v>
      </c>
      <c r="V78" s="59">
        <v>650000000</v>
      </c>
      <c r="W78" s="59">
        <v>650000000</v>
      </c>
      <c r="X78" s="59">
        <v>650000000</v>
      </c>
      <c r="Y78" s="59">
        <v>650000000</v>
      </c>
      <c r="Z78" s="63">
        <f t="shared" si="40"/>
        <v>2600000000</v>
      </c>
    </row>
    <row r="79" spans="2:26" ht="48" x14ac:dyDescent="0.2">
      <c r="B79" s="192"/>
      <c r="C79" s="209"/>
      <c r="D79" s="206"/>
      <c r="E79" s="180"/>
      <c r="F79" s="186"/>
      <c r="G79" s="182"/>
      <c r="H79" s="136" t="s">
        <v>241</v>
      </c>
      <c r="I79" s="136" t="s">
        <v>504</v>
      </c>
      <c r="J79" s="9" t="s">
        <v>505</v>
      </c>
      <c r="K79" s="131">
        <v>0.25</v>
      </c>
      <c r="L79" s="17">
        <v>5</v>
      </c>
      <c r="M79" s="17">
        <v>20</v>
      </c>
      <c r="N79" s="17">
        <v>20</v>
      </c>
      <c r="O79" s="17">
        <v>5</v>
      </c>
      <c r="P79" s="7">
        <f t="shared" si="46"/>
        <v>50</v>
      </c>
      <c r="Q79" s="14">
        <f t="shared" ref="Q79:Q80" si="47">+$C$75*$E$75*$G$78*K79*(L79/P79)</f>
        <v>3.2812500000000002E-4</v>
      </c>
      <c r="R79" s="14">
        <f t="shared" ref="R79:R80" si="48">+$C$75*$E$75*$G$78*K79*(M79/P79)</f>
        <v>1.3125000000000001E-3</v>
      </c>
      <c r="S79" s="14">
        <f t="shared" ref="S79:S80" si="49">+$C$75*$E$75*$G$78*K79*(N79/P79)</f>
        <v>1.3125000000000001E-3</v>
      </c>
      <c r="T79" s="14">
        <f t="shared" ref="T79:T80" si="50">+$C$75*$E$75*$G$78*K79*(O79/P79)</f>
        <v>3.2812500000000002E-4</v>
      </c>
      <c r="U79" s="14">
        <f t="shared" si="41"/>
        <v>3.2812499999999999E-3</v>
      </c>
      <c r="V79" s="59">
        <v>150000000</v>
      </c>
      <c r="W79" s="59">
        <v>350000000</v>
      </c>
      <c r="X79" s="59">
        <v>350000000</v>
      </c>
      <c r="Y79" s="59">
        <v>150000000</v>
      </c>
      <c r="Z79" s="63">
        <f t="shared" si="40"/>
        <v>1000000000</v>
      </c>
    </row>
    <row r="80" spans="2:26" ht="48" x14ac:dyDescent="0.2">
      <c r="B80" s="192"/>
      <c r="C80" s="209"/>
      <c r="D80" s="206"/>
      <c r="E80" s="180"/>
      <c r="F80" s="186"/>
      <c r="G80" s="182"/>
      <c r="H80" s="136" t="s">
        <v>242</v>
      </c>
      <c r="I80" s="136" t="s">
        <v>506</v>
      </c>
      <c r="J80" s="9" t="s">
        <v>507</v>
      </c>
      <c r="K80" s="131">
        <v>0.15</v>
      </c>
      <c r="L80" s="17">
        <v>1</v>
      </c>
      <c r="M80" s="17">
        <v>1</v>
      </c>
      <c r="N80" s="17">
        <v>1</v>
      </c>
      <c r="O80" s="17">
        <v>1</v>
      </c>
      <c r="P80" s="7">
        <f t="shared" si="46"/>
        <v>4</v>
      </c>
      <c r="Q80" s="14">
        <f t="shared" si="47"/>
        <v>4.921875E-4</v>
      </c>
      <c r="R80" s="14">
        <f t="shared" si="48"/>
        <v>4.921875E-4</v>
      </c>
      <c r="S80" s="14">
        <f t="shared" si="49"/>
        <v>4.921875E-4</v>
      </c>
      <c r="T80" s="14">
        <f t="shared" si="50"/>
        <v>4.921875E-4</v>
      </c>
      <c r="U80" s="14">
        <f t="shared" si="41"/>
        <v>1.96875E-3</v>
      </c>
      <c r="V80" s="59">
        <v>100000000</v>
      </c>
      <c r="W80" s="59">
        <v>100000000</v>
      </c>
      <c r="X80" s="59">
        <v>100000000</v>
      </c>
      <c r="Y80" s="59">
        <v>100000000</v>
      </c>
      <c r="Z80" s="63">
        <f t="shared" si="40"/>
        <v>400000000</v>
      </c>
    </row>
    <row r="81" spans="2:26" ht="36" x14ac:dyDescent="0.2">
      <c r="B81" s="192"/>
      <c r="C81" s="209"/>
      <c r="D81" s="206"/>
      <c r="E81" s="180"/>
      <c r="F81" s="186"/>
      <c r="G81" s="182"/>
      <c r="H81" s="185" t="s">
        <v>243</v>
      </c>
      <c r="I81" s="136" t="s">
        <v>508</v>
      </c>
      <c r="J81" s="9" t="s">
        <v>509</v>
      </c>
      <c r="K81" s="172">
        <v>0.15</v>
      </c>
      <c r="L81" s="17">
        <v>0</v>
      </c>
      <c r="M81" s="17">
        <v>1</v>
      </c>
      <c r="N81" s="17">
        <v>0</v>
      </c>
      <c r="O81" s="17">
        <v>0</v>
      </c>
      <c r="P81" s="7">
        <f t="shared" si="46"/>
        <v>1</v>
      </c>
      <c r="Q81" s="14">
        <f>+$C$75*$E$75*$G$78*K81/2*(L81/P81)</f>
        <v>0</v>
      </c>
      <c r="R81" s="14">
        <f>+$C$75*$E$75*$G$78*K81/2*(M81/P81)</f>
        <v>9.8437500000000001E-4</v>
      </c>
      <c r="S81" s="14">
        <f>+$C$75*$E$75*$G$78*K81/2*(N81/P81)</f>
        <v>0</v>
      </c>
      <c r="T81" s="14">
        <f>+$C$75*$E$75*$G$78*K81/2*(O81/P81)</f>
        <v>0</v>
      </c>
      <c r="U81" s="14">
        <f t="shared" si="41"/>
        <v>9.8437500000000001E-4</v>
      </c>
      <c r="V81" s="59">
        <v>0</v>
      </c>
      <c r="W81" s="59">
        <v>400000000</v>
      </c>
      <c r="X81" s="59">
        <v>0</v>
      </c>
      <c r="Y81" s="59">
        <v>0</v>
      </c>
      <c r="Z81" s="63">
        <f t="shared" si="40"/>
        <v>400000000</v>
      </c>
    </row>
    <row r="82" spans="2:26" ht="24" x14ac:dyDescent="0.2">
      <c r="B82" s="192"/>
      <c r="C82" s="209"/>
      <c r="D82" s="206"/>
      <c r="E82" s="180"/>
      <c r="F82" s="186"/>
      <c r="G82" s="182"/>
      <c r="H82" s="185"/>
      <c r="I82" s="136" t="s">
        <v>510</v>
      </c>
      <c r="J82" s="9" t="s">
        <v>511</v>
      </c>
      <c r="K82" s="172"/>
      <c r="L82" s="17">
        <v>0</v>
      </c>
      <c r="M82" s="17">
        <v>0</v>
      </c>
      <c r="N82" s="17">
        <v>1</v>
      </c>
      <c r="O82" s="17">
        <v>0</v>
      </c>
      <c r="P82" s="7">
        <f t="shared" si="46"/>
        <v>1</v>
      </c>
      <c r="Q82" s="14">
        <f>+$C$75*$E$75*$G$78*K81/2*(L82/P82)</f>
        <v>0</v>
      </c>
      <c r="R82" s="14">
        <f>+$C$75*$E$75*$G$78*K81/2*(M82/P82)</f>
        <v>0</v>
      </c>
      <c r="S82" s="14">
        <f>+$C$75*$E$75*$G$78*K81/2*(N82/P82)</f>
        <v>9.8437500000000001E-4</v>
      </c>
      <c r="T82" s="14">
        <f>+$C$75*$E$75*$G$78*K81/2*(O82/P82)</f>
        <v>0</v>
      </c>
      <c r="U82" s="14">
        <f t="shared" si="41"/>
        <v>9.8437500000000001E-4</v>
      </c>
      <c r="V82" s="59">
        <v>0</v>
      </c>
      <c r="W82" s="59">
        <v>0</v>
      </c>
      <c r="X82" s="59">
        <v>120000000</v>
      </c>
      <c r="Y82" s="59">
        <v>0</v>
      </c>
      <c r="Z82" s="63">
        <f t="shared" si="40"/>
        <v>120000000</v>
      </c>
    </row>
    <row r="83" spans="2:26" ht="37" x14ac:dyDescent="0.2">
      <c r="B83" s="192"/>
      <c r="C83" s="209"/>
      <c r="D83" s="206"/>
      <c r="E83" s="180"/>
      <c r="F83" s="186" t="s">
        <v>225</v>
      </c>
      <c r="G83" s="182">
        <v>0.25</v>
      </c>
      <c r="H83" s="2" t="s">
        <v>235</v>
      </c>
      <c r="I83" s="136" t="s">
        <v>512</v>
      </c>
      <c r="J83" s="9" t="s">
        <v>513</v>
      </c>
      <c r="K83" s="131">
        <v>0.7</v>
      </c>
      <c r="L83" s="17">
        <v>5</v>
      </c>
      <c r="M83" s="17">
        <v>10</v>
      </c>
      <c r="N83" s="17">
        <v>10</v>
      </c>
      <c r="O83" s="17">
        <v>8</v>
      </c>
      <c r="P83" s="7">
        <f t="shared" si="46"/>
        <v>33</v>
      </c>
      <c r="Q83" s="14">
        <f>+$C$75*$E$75*$G$83*K83*(L83/P83)</f>
        <v>1.3920454545454544E-3</v>
      </c>
      <c r="R83" s="14">
        <f>+$C$75*$E$75*$G$83*K83*(M83/P83)</f>
        <v>2.7840909090909088E-3</v>
      </c>
      <c r="S83" s="14">
        <f>+$C$75*$E$75*$G$83*K83*(N83/P83)</f>
        <v>2.7840909090909088E-3</v>
      </c>
      <c r="T83" s="14">
        <f>+$C$75*$E$75*$G$83*K83*(O83/P83)</f>
        <v>2.227272727272727E-3</v>
      </c>
      <c r="U83" s="14">
        <f t="shared" si="41"/>
        <v>9.1874999999999978E-3</v>
      </c>
      <c r="V83" s="59">
        <v>600000000</v>
      </c>
      <c r="W83" s="59">
        <v>720000000</v>
      </c>
      <c r="X83" s="59">
        <v>720000000</v>
      </c>
      <c r="Y83" s="59">
        <v>440000000</v>
      </c>
      <c r="Z83" s="63">
        <f t="shared" si="40"/>
        <v>2480000000</v>
      </c>
    </row>
    <row r="84" spans="2:26" ht="25" x14ac:dyDescent="0.2">
      <c r="B84" s="192"/>
      <c r="C84" s="209"/>
      <c r="D84" s="206"/>
      <c r="E84" s="180"/>
      <c r="F84" s="186"/>
      <c r="G84" s="182"/>
      <c r="H84" s="2" t="s">
        <v>236</v>
      </c>
      <c r="I84" s="49" t="s">
        <v>514</v>
      </c>
      <c r="J84" s="146" t="s">
        <v>515</v>
      </c>
      <c r="K84" s="156">
        <v>0.3</v>
      </c>
      <c r="L84" s="152">
        <v>0</v>
      </c>
      <c r="M84" s="152">
        <v>110</v>
      </c>
      <c r="N84" s="152">
        <v>110</v>
      </c>
      <c r="O84" s="152">
        <v>110</v>
      </c>
      <c r="P84" s="157">
        <f t="shared" si="46"/>
        <v>330</v>
      </c>
      <c r="Q84" s="14">
        <f>+$C$75*$E$75*$G$83*K84*(L84/P84)</f>
        <v>0</v>
      </c>
      <c r="R84" s="14">
        <f t="shared" ref="R84" si="51">+$C$75*$E$75*$G$83*K84*(M84/P84)</f>
        <v>1.3124999999999999E-3</v>
      </c>
      <c r="S84" s="14">
        <f t="shared" ref="S84" si="52">+$C$75*$E$75*$G$83*K84*(N84/P84)</f>
        <v>1.3124999999999999E-3</v>
      </c>
      <c r="T84" s="14">
        <f t="shared" ref="T84" si="53">+$C$75*$E$75*$G$83*K84*(O84/P84)</f>
        <v>1.3124999999999999E-3</v>
      </c>
      <c r="U84" s="14">
        <f t="shared" si="41"/>
        <v>3.9375E-3</v>
      </c>
      <c r="V84" s="59">
        <v>0</v>
      </c>
      <c r="W84" s="59">
        <v>350000000</v>
      </c>
      <c r="X84" s="59">
        <v>350000000</v>
      </c>
      <c r="Y84" s="59">
        <v>350000000</v>
      </c>
      <c r="Z84" s="63">
        <f t="shared" si="40"/>
        <v>1050000000</v>
      </c>
    </row>
    <row r="85" spans="2:26" ht="37" x14ac:dyDescent="0.2">
      <c r="B85" s="192"/>
      <c r="C85" s="209"/>
      <c r="D85" s="206"/>
      <c r="E85" s="180"/>
      <c r="F85" s="186" t="s">
        <v>226</v>
      </c>
      <c r="G85" s="182">
        <v>0.25</v>
      </c>
      <c r="H85" s="2" t="s">
        <v>244</v>
      </c>
      <c r="I85" s="49" t="s">
        <v>516</v>
      </c>
      <c r="J85" s="146" t="s">
        <v>517</v>
      </c>
      <c r="K85" s="156">
        <v>0.25</v>
      </c>
      <c r="L85" s="150">
        <v>2</v>
      </c>
      <c r="M85" s="150">
        <v>2</v>
      </c>
      <c r="N85" s="150">
        <v>3</v>
      </c>
      <c r="O85" s="150">
        <v>0</v>
      </c>
      <c r="P85" s="157">
        <f t="shared" si="46"/>
        <v>7</v>
      </c>
      <c r="Q85" s="14">
        <f>+$C$75*$E$75*$G$85*K85*(L85/P85)</f>
        <v>9.3749999999999997E-4</v>
      </c>
      <c r="R85" s="14">
        <f>+$C$75*$E$75*$G$85*K85*(M85/P85)</f>
        <v>9.3749999999999997E-4</v>
      </c>
      <c r="S85" s="14">
        <f>+$C$75*$E$75*$G$85*K85*(N85/P85)</f>
        <v>1.4062499999999999E-3</v>
      </c>
      <c r="T85" s="14">
        <f>+$C$75*$E$75*$G$85*K85*(O85/P85)</f>
        <v>0</v>
      </c>
      <c r="U85" s="14">
        <f t="shared" si="41"/>
        <v>3.2812499999999999E-3</v>
      </c>
      <c r="V85" s="59">
        <v>240000000</v>
      </c>
      <c r="W85" s="59">
        <v>240000000</v>
      </c>
      <c r="X85" s="59">
        <v>360000000</v>
      </c>
      <c r="Y85" s="59">
        <v>0</v>
      </c>
      <c r="Z85" s="63">
        <f t="shared" si="40"/>
        <v>840000000</v>
      </c>
    </row>
    <row r="86" spans="2:26" ht="36" x14ac:dyDescent="0.2">
      <c r="B86" s="192"/>
      <c r="C86" s="209"/>
      <c r="D86" s="206"/>
      <c r="E86" s="180"/>
      <c r="F86" s="186"/>
      <c r="G86" s="182"/>
      <c r="H86" s="136" t="s">
        <v>245</v>
      </c>
      <c r="I86" s="49" t="s">
        <v>678</v>
      </c>
      <c r="J86" s="146" t="s">
        <v>518</v>
      </c>
      <c r="K86" s="156">
        <v>0.75</v>
      </c>
      <c r="L86" s="152">
        <v>25</v>
      </c>
      <c r="M86" s="152">
        <v>73</v>
      </c>
      <c r="N86" s="152">
        <v>35</v>
      </c>
      <c r="O86" s="152">
        <v>0</v>
      </c>
      <c r="P86" s="157">
        <f t="shared" si="46"/>
        <v>133</v>
      </c>
      <c r="Q86" s="14">
        <f t="shared" ref="Q86" si="54">+$C$75*$E$75*$G$85*K86*(L86/P86)</f>
        <v>1.8503289473684209E-3</v>
      </c>
      <c r="R86" s="14">
        <f t="shared" ref="R86" si="55">+$C$75*$E$75*$G$85*K86*(M86/P86)</f>
        <v>5.4029605263157896E-3</v>
      </c>
      <c r="S86" s="14">
        <f t="shared" ref="S86" si="56">+$C$75*$E$75*$G$85*K86*(N86/P86)</f>
        <v>2.5904605263157893E-3</v>
      </c>
      <c r="T86" s="14">
        <f t="shared" ref="T86" si="57">+$C$75*$E$75*$G$85*K86*(O86/P86)</f>
        <v>0</v>
      </c>
      <c r="U86" s="14">
        <f t="shared" si="41"/>
        <v>9.8437500000000001E-3</v>
      </c>
      <c r="V86" s="59">
        <v>600000000</v>
      </c>
      <c r="W86" s="59">
        <v>1200000000</v>
      </c>
      <c r="X86" s="59">
        <v>600000000</v>
      </c>
      <c r="Y86" s="59">
        <v>0</v>
      </c>
      <c r="Z86" s="63">
        <f t="shared" si="40"/>
        <v>2400000000</v>
      </c>
    </row>
    <row r="87" spans="2:26" ht="61" x14ac:dyDescent="0.2">
      <c r="B87" s="192"/>
      <c r="C87" s="209"/>
      <c r="D87" s="206" t="s">
        <v>221</v>
      </c>
      <c r="E87" s="180">
        <v>0.35</v>
      </c>
      <c r="F87" s="186" t="s">
        <v>227</v>
      </c>
      <c r="G87" s="182">
        <v>0.25</v>
      </c>
      <c r="H87" s="2" t="s">
        <v>246</v>
      </c>
      <c r="I87" s="49" t="s">
        <v>519</v>
      </c>
      <c r="J87" s="146" t="s">
        <v>520</v>
      </c>
      <c r="K87" s="156">
        <v>0.5</v>
      </c>
      <c r="L87" s="156">
        <v>1</v>
      </c>
      <c r="M87" s="156">
        <v>1</v>
      </c>
      <c r="N87" s="156">
        <v>1</v>
      </c>
      <c r="O87" s="156">
        <v>1</v>
      </c>
      <c r="P87" s="157"/>
      <c r="Q87" s="14">
        <f>+$C$75*$E$87*$G$87*K87*(1/4)</f>
        <v>1.6406249999999999E-3</v>
      </c>
      <c r="R87" s="14">
        <f>+$C$75*$E$87*$G$87*K87*(1/4)</f>
        <v>1.6406249999999999E-3</v>
      </c>
      <c r="S87" s="14">
        <f>+$C$75*$E$87*$G$87*K87*(1/4)</f>
        <v>1.6406249999999999E-3</v>
      </c>
      <c r="T87" s="14">
        <f>+$C$75*$E$87*$G$87*K87*(1/4)</f>
        <v>1.6406249999999999E-3</v>
      </c>
      <c r="U87" s="14">
        <f t="shared" si="41"/>
        <v>6.5624999999999998E-3</v>
      </c>
      <c r="V87" s="59">
        <v>150000000</v>
      </c>
      <c r="W87" s="59">
        <v>300000000</v>
      </c>
      <c r="X87" s="59">
        <v>300000000</v>
      </c>
      <c r="Y87" s="59">
        <v>250000000</v>
      </c>
      <c r="Z87" s="63">
        <f t="shared" si="40"/>
        <v>1000000000</v>
      </c>
    </row>
    <row r="88" spans="2:26" ht="48" x14ac:dyDescent="0.2">
      <c r="B88" s="192"/>
      <c r="C88" s="209"/>
      <c r="D88" s="206"/>
      <c r="E88" s="180"/>
      <c r="F88" s="186"/>
      <c r="G88" s="182"/>
      <c r="H88" s="2" t="s">
        <v>234</v>
      </c>
      <c r="I88" s="49" t="s">
        <v>521</v>
      </c>
      <c r="J88" s="146" t="s">
        <v>522</v>
      </c>
      <c r="K88" s="156">
        <v>0.5</v>
      </c>
      <c r="L88" s="150">
        <v>0</v>
      </c>
      <c r="M88" s="150">
        <v>10</v>
      </c>
      <c r="N88" s="150">
        <v>12</v>
      </c>
      <c r="O88" s="150">
        <v>0</v>
      </c>
      <c r="P88" s="157">
        <f t="shared" si="46"/>
        <v>22</v>
      </c>
      <c r="Q88" s="14">
        <f>+$C$75*$E$87*$G$87*K88*(L88/P88)</f>
        <v>0</v>
      </c>
      <c r="R88" s="14">
        <f>+$C$75*$E$87*$G$87*K88*(M88/P88)</f>
        <v>2.9829545454545451E-3</v>
      </c>
      <c r="S88" s="14">
        <f>+$C$75*$E$87*$G$87*K88*(N88/P88)</f>
        <v>3.5795454545454542E-3</v>
      </c>
      <c r="T88" s="14">
        <f t="shared" ref="T88" si="58">+$C$75*$E$87*$G$87*K88*(O88/P88)</f>
        <v>0</v>
      </c>
      <c r="U88" s="14">
        <f t="shared" si="41"/>
        <v>6.5624999999999989E-3</v>
      </c>
      <c r="V88" s="59">
        <v>0</v>
      </c>
      <c r="W88" s="59">
        <v>450000000</v>
      </c>
      <c r="X88" s="59">
        <v>550000000</v>
      </c>
      <c r="Y88" s="59">
        <v>0</v>
      </c>
      <c r="Z88" s="63">
        <f t="shared" si="40"/>
        <v>1000000000</v>
      </c>
    </row>
    <row r="89" spans="2:26" ht="48" x14ac:dyDescent="0.2">
      <c r="B89" s="192"/>
      <c r="C89" s="209"/>
      <c r="D89" s="206"/>
      <c r="E89" s="180"/>
      <c r="F89" s="186" t="s">
        <v>228</v>
      </c>
      <c r="G89" s="182">
        <v>0.25</v>
      </c>
      <c r="H89" s="185" t="s">
        <v>247</v>
      </c>
      <c r="I89" s="49" t="s">
        <v>523</v>
      </c>
      <c r="J89" s="146" t="s">
        <v>524</v>
      </c>
      <c r="K89" s="184">
        <v>0.7</v>
      </c>
      <c r="L89" s="152">
        <v>2</v>
      </c>
      <c r="M89" s="152">
        <v>7</v>
      </c>
      <c r="N89" s="152">
        <v>7</v>
      </c>
      <c r="O89" s="152">
        <v>4</v>
      </c>
      <c r="P89" s="157">
        <f t="shared" si="46"/>
        <v>20</v>
      </c>
      <c r="Q89" s="14">
        <f>+$C$75*$E$87*$G$89*K89/2*(L89/P89)</f>
        <v>4.5937499999999999E-4</v>
      </c>
      <c r="R89" s="14">
        <f>+$C$75*$E$87*$G$89*K89/2*(M89/P89)</f>
        <v>1.6078124999999999E-3</v>
      </c>
      <c r="S89" s="14">
        <f>+$C$75*$E$87*$G$89*K89/2*(N89/P89)</f>
        <v>1.6078124999999999E-3</v>
      </c>
      <c r="T89" s="14">
        <f>+$C$75*$E$87*$G$89*K89/2*(O89/P89)</f>
        <v>9.1874999999999997E-4</v>
      </c>
      <c r="U89" s="14">
        <f t="shared" si="41"/>
        <v>4.5937499999999997E-3</v>
      </c>
      <c r="V89" s="59">
        <v>400000000</v>
      </c>
      <c r="W89" s="59">
        <v>1000000000</v>
      </c>
      <c r="X89" s="59">
        <v>1000000000</v>
      </c>
      <c r="Y89" s="59">
        <v>400000000</v>
      </c>
      <c r="Z89" s="63">
        <f t="shared" si="40"/>
        <v>2800000000</v>
      </c>
    </row>
    <row r="90" spans="2:26" ht="36" x14ac:dyDescent="0.2">
      <c r="B90" s="192"/>
      <c r="C90" s="209"/>
      <c r="D90" s="206"/>
      <c r="E90" s="180"/>
      <c r="F90" s="186"/>
      <c r="G90" s="182"/>
      <c r="H90" s="185"/>
      <c r="I90" s="49" t="s">
        <v>525</v>
      </c>
      <c r="J90" s="146" t="s">
        <v>526</v>
      </c>
      <c r="K90" s="184"/>
      <c r="L90" s="152">
        <v>1</v>
      </c>
      <c r="M90" s="152">
        <v>1</v>
      </c>
      <c r="N90" s="152">
        <v>1</v>
      </c>
      <c r="O90" s="152">
        <v>1</v>
      </c>
      <c r="P90" s="157">
        <f t="shared" si="46"/>
        <v>4</v>
      </c>
      <c r="Q90" s="14">
        <f>+$C$75*$E$87*$G$89*K89/2*(L90/P90)</f>
        <v>1.1484374999999999E-3</v>
      </c>
      <c r="R90" s="14">
        <f>+$C$75*$E$87*$G$89*K89/2*(M90/P90)</f>
        <v>1.1484374999999999E-3</v>
      </c>
      <c r="S90" s="14">
        <f>+$C$75*$E$87*$G$89*K89/2*(N90/P90)</f>
        <v>1.1484374999999999E-3</v>
      </c>
      <c r="T90" s="14">
        <f>+$C$75*$E$87*$G$89*K89/2*(O90/P90)</f>
        <v>1.1484374999999999E-3</v>
      </c>
      <c r="U90" s="14">
        <f t="shared" si="41"/>
        <v>4.5937499999999997E-3</v>
      </c>
      <c r="V90" s="59">
        <v>80000000</v>
      </c>
      <c r="W90" s="59">
        <v>80000000</v>
      </c>
      <c r="X90" s="59">
        <v>80000000</v>
      </c>
      <c r="Y90" s="59">
        <v>80000000</v>
      </c>
      <c r="Z90" s="63">
        <f t="shared" si="40"/>
        <v>320000000</v>
      </c>
    </row>
    <row r="91" spans="2:26" ht="48" x14ac:dyDescent="0.2">
      <c r="B91" s="192"/>
      <c r="C91" s="209"/>
      <c r="D91" s="206"/>
      <c r="E91" s="180"/>
      <c r="F91" s="186"/>
      <c r="G91" s="182"/>
      <c r="H91" s="2" t="s">
        <v>248</v>
      </c>
      <c r="I91" s="136" t="s">
        <v>527</v>
      </c>
      <c r="J91" s="9" t="s">
        <v>528</v>
      </c>
      <c r="K91" s="131">
        <v>0.3</v>
      </c>
      <c r="L91" s="17">
        <v>1</v>
      </c>
      <c r="M91" s="17">
        <v>1</v>
      </c>
      <c r="N91" s="17">
        <v>1</v>
      </c>
      <c r="O91" s="17">
        <v>1</v>
      </c>
      <c r="P91" s="7">
        <f t="shared" si="46"/>
        <v>4</v>
      </c>
      <c r="Q91" s="14">
        <f t="shared" ref="Q91" si="59">+$C$75*$E$87*$G$89*K91*(L91/P91)</f>
        <v>9.8437500000000001E-4</v>
      </c>
      <c r="R91" s="14">
        <f t="shared" ref="R91" si="60">+$C$75*$E$87*$G$89*K91*(M91/P91)</f>
        <v>9.8437500000000001E-4</v>
      </c>
      <c r="S91" s="14">
        <f t="shared" ref="S91" si="61">+$C$75*$E$87*$G$89*K91*(N91/P91)</f>
        <v>9.8437500000000001E-4</v>
      </c>
      <c r="T91" s="14">
        <f t="shared" ref="T91" si="62">+$C$75*$E$87*$G$89*K91*(O91/P91)</f>
        <v>9.8437500000000001E-4</v>
      </c>
      <c r="U91" s="14">
        <f t="shared" si="41"/>
        <v>3.9375E-3</v>
      </c>
      <c r="V91" s="59">
        <v>200000000</v>
      </c>
      <c r="W91" s="59">
        <v>200000000</v>
      </c>
      <c r="X91" s="59">
        <v>200000000</v>
      </c>
      <c r="Y91" s="59">
        <v>200000000</v>
      </c>
      <c r="Z91" s="63">
        <f t="shared" si="40"/>
        <v>800000000</v>
      </c>
    </row>
    <row r="92" spans="2:26" ht="36" x14ac:dyDescent="0.2">
      <c r="B92" s="192"/>
      <c r="C92" s="209"/>
      <c r="D92" s="206"/>
      <c r="E92" s="180"/>
      <c r="F92" s="186" t="s">
        <v>229</v>
      </c>
      <c r="G92" s="182">
        <v>0.25</v>
      </c>
      <c r="H92" s="185" t="s">
        <v>251</v>
      </c>
      <c r="I92" s="136" t="s">
        <v>529</v>
      </c>
      <c r="J92" s="9" t="s">
        <v>530</v>
      </c>
      <c r="K92" s="172">
        <v>0.2</v>
      </c>
      <c r="L92" s="17">
        <v>1</v>
      </c>
      <c r="M92" s="17">
        <v>1</v>
      </c>
      <c r="N92" s="17">
        <v>1</v>
      </c>
      <c r="O92" s="17">
        <v>1</v>
      </c>
      <c r="P92" s="7">
        <f t="shared" si="46"/>
        <v>4</v>
      </c>
      <c r="Q92" s="14">
        <f>+$C$75*$E$87*$G$92*K92/2*(L92/P92)</f>
        <v>3.2812500000000002E-4</v>
      </c>
      <c r="R92" s="14">
        <f>+$C$75*$E$87*$G$92*K92/2*(M92/P92)</f>
        <v>3.2812500000000002E-4</v>
      </c>
      <c r="S92" s="14">
        <f>+$C$75*$E$87*$G$92*K92/2*(N92/P92)</f>
        <v>3.2812500000000002E-4</v>
      </c>
      <c r="T92" s="14">
        <f>+$C$75*$E$87*$G$92*K92/2*(O92/P92)</f>
        <v>3.2812500000000002E-4</v>
      </c>
      <c r="U92" s="14">
        <f t="shared" si="41"/>
        <v>1.3125000000000001E-3</v>
      </c>
      <c r="V92" s="59">
        <v>50000000</v>
      </c>
      <c r="W92" s="59">
        <v>50000000</v>
      </c>
      <c r="X92" s="59">
        <v>50000000</v>
      </c>
      <c r="Y92" s="59">
        <v>50000000</v>
      </c>
      <c r="Z92" s="63">
        <f t="shared" si="40"/>
        <v>200000000</v>
      </c>
    </row>
    <row r="93" spans="2:26" ht="36" x14ac:dyDescent="0.2">
      <c r="B93" s="192"/>
      <c r="C93" s="209"/>
      <c r="D93" s="206"/>
      <c r="E93" s="180"/>
      <c r="F93" s="186"/>
      <c r="G93" s="182"/>
      <c r="H93" s="185"/>
      <c r="I93" s="136" t="s">
        <v>531</v>
      </c>
      <c r="J93" s="9" t="s">
        <v>532</v>
      </c>
      <c r="K93" s="172"/>
      <c r="L93" s="17">
        <v>1</v>
      </c>
      <c r="M93" s="17">
        <v>1</v>
      </c>
      <c r="N93" s="17">
        <v>1</v>
      </c>
      <c r="O93" s="17">
        <v>1</v>
      </c>
      <c r="P93" s="7">
        <f t="shared" si="46"/>
        <v>4</v>
      </c>
      <c r="Q93" s="14">
        <f>+$C$75*$E$87*$G$92*K92/2*(L93/P93)</f>
        <v>3.2812500000000002E-4</v>
      </c>
      <c r="R93" s="14">
        <f>+$C$75*$E$87*$G$92*K92/2*(M93/P93)</f>
        <v>3.2812500000000002E-4</v>
      </c>
      <c r="S93" s="14">
        <f>+$C$75*$E$87*$G$92*K92/2*(N93/P93)</f>
        <v>3.2812500000000002E-4</v>
      </c>
      <c r="T93" s="14">
        <f>+$C$75*$E$87*$G$92*K92/2*(O93/P93)</f>
        <v>3.2812500000000002E-4</v>
      </c>
      <c r="U93" s="14">
        <f t="shared" si="41"/>
        <v>1.3125000000000001E-3</v>
      </c>
      <c r="V93" s="59">
        <v>50000000</v>
      </c>
      <c r="W93" s="59">
        <v>50000000</v>
      </c>
      <c r="X93" s="59">
        <v>50000000</v>
      </c>
      <c r="Y93" s="59">
        <v>50000000</v>
      </c>
      <c r="Z93" s="63">
        <f t="shared" si="40"/>
        <v>200000000</v>
      </c>
    </row>
    <row r="94" spans="2:26" ht="37" x14ac:dyDescent="0.2">
      <c r="B94" s="192"/>
      <c r="C94" s="209"/>
      <c r="D94" s="206"/>
      <c r="E94" s="180"/>
      <c r="F94" s="186"/>
      <c r="G94" s="182"/>
      <c r="H94" s="2" t="s">
        <v>252</v>
      </c>
      <c r="I94" s="136" t="s">
        <v>533</v>
      </c>
      <c r="J94" s="9" t="s">
        <v>534</v>
      </c>
      <c r="K94" s="131">
        <v>0.2</v>
      </c>
      <c r="L94" s="17">
        <v>0</v>
      </c>
      <c r="M94" s="17">
        <v>2</v>
      </c>
      <c r="N94" s="17">
        <v>2</v>
      </c>
      <c r="O94" s="17">
        <v>0</v>
      </c>
      <c r="P94" s="7">
        <f t="shared" si="46"/>
        <v>4</v>
      </c>
      <c r="Q94" s="14">
        <f t="shared" ref="Q94:Q95" si="63">+$C$75*$E$87*$G$92*K94*(L94/P94)</f>
        <v>0</v>
      </c>
      <c r="R94" s="14">
        <f t="shared" ref="R94:R95" si="64">+$C$75*$E$87*$G$92*K94*(M94/P94)</f>
        <v>1.3125000000000001E-3</v>
      </c>
      <c r="S94" s="14">
        <f t="shared" ref="S94:S95" si="65">+$C$75*$E$87*$G$92*K94*(N94/P94)</f>
        <v>1.3125000000000001E-3</v>
      </c>
      <c r="T94" s="14">
        <f t="shared" ref="T94:T95" si="66">+$C$75*$E$87*$G$92*K94*(O94/P94)</f>
        <v>0</v>
      </c>
      <c r="U94" s="14">
        <f t="shared" si="41"/>
        <v>2.6250000000000002E-3</v>
      </c>
      <c r="V94" s="59">
        <v>0</v>
      </c>
      <c r="W94" s="59">
        <v>80000000</v>
      </c>
      <c r="X94" s="59">
        <v>80000000</v>
      </c>
      <c r="Y94" s="59">
        <v>0</v>
      </c>
      <c r="Z94" s="63">
        <f t="shared" si="40"/>
        <v>160000000</v>
      </c>
    </row>
    <row r="95" spans="2:26" ht="50" customHeight="1" x14ac:dyDescent="0.2">
      <c r="B95" s="192"/>
      <c r="C95" s="209"/>
      <c r="D95" s="206"/>
      <c r="E95" s="180"/>
      <c r="F95" s="186"/>
      <c r="G95" s="182"/>
      <c r="H95" s="2" t="s">
        <v>253</v>
      </c>
      <c r="I95" s="136" t="s">
        <v>535</v>
      </c>
      <c r="J95" s="9" t="s">
        <v>536</v>
      </c>
      <c r="K95" s="131">
        <v>0.3</v>
      </c>
      <c r="L95" s="17">
        <v>1</v>
      </c>
      <c r="M95" s="17">
        <v>1</v>
      </c>
      <c r="N95" s="17">
        <v>1</v>
      </c>
      <c r="O95" s="17">
        <v>1</v>
      </c>
      <c r="P95" s="7">
        <f t="shared" si="46"/>
        <v>4</v>
      </c>
      <c r="Q95" s="14">
        <f t="shared" si="63"/>
        <v>9.8437500000000001E-4</v>
      </c>
      <c r="R95" s="14">
        <f t="shared" si="64"/>
        <v>9.8437500000000001E-4</v>
      </c>
      <c r="S95" s="14">
        <f t="shared" si="65"/>
        <v>9.8437500000000001E-4</v>
      </c>
      <c r="T95" s="14">
        <f t="shared" si="66"/>
        <v>9.8437500000000001E-4</v>
      </c>
      <c r="U95" s="14">
        <f t="shared" si="41"/>
        <v>3.9375E-3</v>
      </c>
      <c r="V95" s="59">
        <v>200000000</v>
      </c>
      <c r="W95" s="59">
        <v>200000000</v>
      </c>
      <c r="X95" s="59">
        <v>200000000</v>
      </c>
      <c r="Y95" s="59">
        <v>200000000</v>
      </c>
      <c r="Z95" s="63">
        <f t="shared" si="40"/>
        <v>800000000</v>
      </c>
    </row>
    <row r="96" spans="2:26" ht="48" x14ac:dyDescent="0.2">
      <c r="B96" s="192"/>
      <c r="C96" s="209"/>
      <c r="D96" s="206"/>
      <c r="E96" s="180"/>
      <c r="F96" s="186"/>
      <c r="G96" s="182"/>
      <c r="H96" s="185" t="s">
        <v>254</v>
      </c>
      <c r="I96" s="37" t="s">
        <v>537</v>
      </c>
      <c r="J96" s="9" t="s">
        <v>538</v>
      </c>
      <c r="K96" s="172">
        <v>0.3</v>
      </c>
      <c r="L96" s="17">
        <v>0</v>
      </c>
      <c r="M96" s="17">
        <v>1</v>
      </c>
      <c r="N96" s="17">
        <v>0</v>
      </c>
      <c r="O96" s="17">
        <v>1</v>
      </c>
      <c r="P96" s="7">
        <f t="shared" si="46"/>
        <v>2</v>
      </c>
      <c r="Q96" s="14">
        <f>+$C$75*$E$87*$G$92*K96/2*(L96/P96)</f>
        <v>0</v>
      </c>
      <c r="R96" s="14">
        <f>+$C$75*$E$87*$G$92*K96/2*(M96/P96)</f>
        <v>9.8437500000000001E-4</v>
      </c>
      <c r="S96" s="14">
        <f>+$C$75*$E$87*$G$92*K96/2*(N96/P96)</f>
        <v>0</v>
      </c>
      <c r="T96" s="14">
        <f>+$C$75*$E$87*$G$92*K96/2*(O96/P96)</f>
        <v>9.8437500000000001E-4</v>
      </c>
      <c r="U96" s="14">
        <f t="shared" si="41"/>
        <v>1.96875E-3</v>
      </c>
      <c r="V96" s="59">
        <v>0</v>
      </c>
      <c r="W96" s="59">
        <v>420000000</v>
      </c>
      <c r="X96" s="59">
        <v>0</v>
      </c>
      <c r="Y96" s="59">
        <v>420000000</v>
      </c>
      <c r="Z96" s="63">
        <f t="shared" si="40"/>
        <v>840000000</v>
      </c>
    </row>
    <row r="97" spans="2:26" ht="36" x14ac:dyDescent="0.2">
      <c r="B97" s="192"/>
      <c r="C97" s="209"/>
      <c r="D97" s="206"/>
      <c r="E97" s="180"/>
      <c r="F97" s="186"/>
      <c r="G97" s="182"/>
      <c r="H97" s="185"/>
      <c r="I97" s="37" t="s">
        <v>539</v>
      </c>
      <c r="J97" s="9" t="s">
        <v>540</v>
      </c>
      <c r="K97" s="172"/>
      <c r="L97" s="17">
        <v>0</v>
      </c>
      <c r="M97" s="17">
        <v>1</v>
      </c>
      <c r="N97" s="17">
        <v>1</v>
      </c>
      <c r="O97" s="17">
        <v>1</v>
      </c>
      <c r="P97" s="7">
        <f t="shared" si="46"/>
        <v>3</v>
      </c>
      <c r="Q97" s="14">
        <f>+$C$75*$E$87*$G$92*K96/2*(L97/P97)</f>
        <v>0</v>
      </c>
      <c r="R97" s="14">
        <f>+$C$75*$E$87*$G$92*K96/2*(M97/P97)</f>
        <v>6.5624999999999993E-4</v>
      </c>
      <c r="S97" s="14">
        <f>+$C$75*$E$87*$G$92*K96/2*(N97/P97)</f>
        <v>6.5624999999999993E-4</v>
      </c>
      <c r="T97" s="14">
        <f>+$C$75*$E$87*$G$92*K96/2*(O97/P97)</f>
        <v>6.5624999999999993E-4</v>
      </c>
      <c r="U97" s="14">
        <f t="shared" si="41"/>
        <v>1.96875E-3</v>
      </c>
      <c r="V97" s="59">
        <v>0</v>
      </c>
      <c r="W97" s="59">
        <v>30000000</v>
      </c>
      <c r="X97" s="59">
        <v>30000000</v>
      </c>
      <c r="Y97" s="59">
        <v>30000000</v>
      </c>
      <c r="Z97" s="63">
        <f t="shared" si="40"/>
        <v>90000000</v>
      </c>
    </row>
    <row r="98" spans="2:26" ht="70" x14ac:dyDescent="0.2">
      <c r="B98" s="192"/>
      <c r="C98" s="209"/>
      <c r="D98" s="206"/>
      <c r="E98" s="180"/>
      <c r="F98" s="127" t="s">
        <v>230</v>
      </c>
      <c r="G98" s="131">
        <v>0.25</v>
      </c>
      <c r="H98" s="136" t="s">
        <v>679</v>
      </c>
      <c r="I98" s="37" t="s">
        <v>541</v>
      </c>
      <c r="J98" s="9" t="s">
        <v>542</v>
      </c>
      <c r="K98" s="131">
        <v>1</v>
      </c>
      <c r="L98" s="17">
        <v>1</v>
      </c>
      <c r="M98" s="17">
        <v>1</v>
      </c>
      <c r="N98" s="17">
        <v>1</v>
      </c>
      <c r="O98" s="17">
        <v>1</v>
      </c>
      <c r="P98" s="7">
        <f t="shared" si="46"/>
        <v>4</v>
      </c>
      <c r="Q98" s="14">
        <f>+$C$75*$E$87*$G$98*K98*(L98/P98)</f>
        <v>3.2812499999999999E-3</v>
      </c>
      <c r="R98" s="14">
        <f>+$C$75*$E$87*$G$98*K98*(M98/P98)</f>
        <v>3.2812499999999999E-3</v>
      </c>
      <c r="S98" s="14">
        <f>+$C$75*$E$87*$G$98*K98*(N98/P98)</f>
        <v>3.2812499999999999E-3</v>
      </c>
      <c r="T98" s="14">
        <f>+$C$75*$E$87*$G$98*K98*(O98/P98)</f>
        <v>3.2812499999999999E-3</v>
      </c>
      <c r="U98" s="14">
        <f t="shared" si="41"/>
        <v>1.3125E-2</v>
      </c>
      <c r="V98" s="59">
        <v>100000000</v>
      </c>
      <c r="W98" s="59">
        <v>100000000</v>
      </c>
      <c r="X98" s="59">
        <v>100000000</v>
      </c>
      <c r="Y98" s="59">
        <v>100000000</v>
      </c>
      <c r="Z98" s="63">
        <f t="shared" si="40"/>
        <v>400000000</v>
      </c>
    </row>
    <row r="99" spans="2:26" ht="42" customHeight="1" x14ac:dyDescent="0.2">
      <c r="B99" s="192"/>
      <c r="C99" s="209"/>
      <c r="D99" s="206" t="s">
        <v>222</v>
      </c>
      <c r="E99" s="180">
        <v>0.15</v>
      </c>
      <c r="F99" s="186" t="s">
        <v>231</v>
      </c>
      <c r="G99" s="182">
        <v>1</v>
      </c>
      <c r="H99" s="2" t="s">
        <v>683</v>
      </c>
      <c r="I99" s="37" t="s">
        <v>543</v>
      </c>
      <c r="J99" s="9" t="s">
        <v>544</v>
      </c>
      <c r="K99" s="131">
        <v>0.25</v>
      </c>
      <c r="L99" s="17">
        <v>1</v>
      </c>
      <c r="M99" s="17">
        <v>1</v>
      </c>
      <c r="N99" s="17">
        <v>1</v>
      </c>
      <c r="O99" s="17">
        <v>1</v>
      </c>
      <c r="P99" s="7">
        <f t="shared" si="46"/>
        <v>4</v>
      </c>
      <c r="Q99" s="14">
        <f>+$C$75*$E$99*$G$99*K99*(L99/P99)</f>
        <v>1.4062499999999999E-3</v>
      </c>
      <c r="R99" s="14">
        <f>+$C$75*$E$99*$G$99*K99*(M99/P99)</f>
        <v>1.4062499999999999E-3</v>
      </c>
      <c r="S99" s="14">
        <f>+$C$75*$E$99*$G$99*K99*(N99/P99)</f>
        <v>1.4062499999999999E-3</v>
      </c>
      <c r="T99" s="14">
        <f>+$C$75*$E$99*$G$99*K99*(O99/P99)</f>
        <v>1.4062499999999999E-3</v>
      </c>
      <c r="U99" s="14">
        <f t="shared" si="41"/>
        <v>5.6249999999999998E-3</v>
      </c>
      <c r="V99" s="59">
        <v>100000000</v>
      </c>
      <c r="W99" s="59">
        <v>250000000</v>
      </c>
      <c r="X99" s="59">
        <v>250000000</v>
      </c>
      <c r="Y99" s="59">
        <v>150000000</v>
      </c>
      <c r="Z99" s="63">
        <f t="shared" si="40"/>
        <v>750000000</v>
      </c>
    </row>
    <row r="100" spans="2:26" ht="48" x14ac:dyDescent="0.2">
      <c r="B100" s="192"/>
      <c r="C100" s="209"/>
      <c r="D100" s="206"/>
      <c r="E100" s="180"/>
      <c r="F100" s="186"/>
      <c r="G100" s="182"/>
      <c r="H100" s="2" t="s">
        <v>680</v>
      </c>
      <c r="I100" s="37" t="s">
        <v>545</v>
      </c>
      <c r="J100" s="9" t="s">
        <v>546</v>
      </c>
      <c r="K100" s="131">
        <v>0.25</v>
      </c>
      <c r="L100" s="17">
        <v>1</v>
      </c>
      <c r="M100" s="17">
        <v>1</v>
      </c>
      <c r="N100" s="17">
        <v>1</v>
      </c>
      <c r="O100" s="17">
        <v>1</v>
      </c>
      <c r="P100" s="7">
        <f t="shared" si="46"/>
        <v>4</v>
      </c>
      <c r="Q100" s="14">
        <f t="shared" ref="Q100:Q102" si="67">+$C$75*$E$99*$G$99*K100*(L100/P100)</f>
        <v>1.4062499999999999E-3</v>
      </c>
      <c r="R100" s="14">
        <f t="shared" ref="R100:R102" si="68">+$C$75*$E$99*$G$99*K100*(M100/P100)</f>
        <v>1.4062499999999999E-3</v>
      </c>
      <c r="S100" s="14">
        <f t="shared" ref="S100:S102" si="69">+$C$75*$E$99*$G$99*K100*(N100/P100)</f>
        <v>1.4062499999999999E-3</v>
      </c>
      <c r="T100" s="14">
        <f t="shared" ref="T100:T102" si="70">+$C$75*$E$99*$G$99*K100*(O100/P100)</f>
        <v>1.4062499999999999E-3</v>
      </c>
      <c r="U100" s="14">
        <f t="shared" si="41"/>
        <v>5.6249999999999998E-3</v>
      </c>
      <c r="V100" s="59">
        <v>100000000</v>
      </c>
      <c r="W100" s="59">
        <v>250000000</v>
      </c>
      <c r="X100" s="59">
        <v>250000000</v>
      </c>
      <c r="Y100" s="59">
        <v>150000000</v>
      </c>
      <c r="Z100" s="63">
        <f t="shared" si="40"/>
        <v>750000000</v>
      </c>
    </row>
    <row r="101" spans="2:26" ht="72" x14ac:dyDescent="0.2">
      <c r="B101" s="192"/>
      <c r="C101" s="209"/>
      <c r="D101" s="206"/>
      <c r="E101" s="180"/>
      <c r="F101" s="186"/>
      <c r="G101" s="182"/>
      <c r="H101" s="2" t="s">
        <v>681</v>
      </c>
      <c r="I101" s="37" t="s">
        <v>547</v>
      </c>
      <c r="J101" s="9" t="s">
        <v>546</v>
      </c>
      <c r="K101" s="131">
        <v>0.25</v>
      </c>
      <c r="L101" s="17">
        <v>1</v>
      </c>
      <c r="M101" s="17">
        <v>1</v>
      </c>
      <c r="N101" s="17">
        <v>1</v>
      </c>
      <c r="O101" s="17">
        <v>1</v>
      </c>
      <c r="P101" s="7">
        <f t="shared" si="46"/>
        <v>4</v>
      </c>
      <c r="Q101" s="14">
        <f t="shared" si="67"/>
        <v>1.4062499999999999E-3</v>
      </c>
      <c r="R101" s="14">
        <f t="shared" si="68"/>
        <v>1.4062499999999999E-3</v>
      </c>
      <c r="S101" s="14">
        <f t="shared" si="69"/>
        <v>1.4062499999999999E-3</v>
      </c>
      <c r="T101" s="14">
        <f t="shared" si="70"/>
        <v>1.4062499999999999E-3</v>
      </c>
      <c r="U101" s="14">
        <f t="shared" si="41"/>
        <v>5.6249999999999998E-3</v>
      </c>
      <c r="V101" s="59">
        <v>100000000</v>
      </c>
      <c r="W101" s="59">
        <v>250000000</v>
      </c>
      <c r="X101" s="59">
        <v>250000000</v>
      </c>
      <c r="Y101" s="59">
        <v>150000000</v>
      </c>
      <c r="Z101" s="63">
        <f t="shared" si="40"/>
        <v>750000000</v>
      </c>
    </row>
    <row r="102" spans="2:26" ht="48" x14ac:dyDescent="0.2">
      <c r="B102" s="192"/>
      <c r="C102" s="209"/>
      <c r="D102" s="206"/>
      <c r="E102" s="180"/>
      <c r="F102" s="186"/>
      <c r="G102" s="182"/>
      <c r="H102" s="2" t="s">
        <v>682</v>
      </c>
      <c r="I102" s="37" t="s">
        <v>548</v>
      </c>
      <c r="J102" s="9" t="s">
        <v>549</v>
      </c>
      <c r="K102" s="131">
        <v>0.25</v>
      </c>
      <c r="L102" s="17">
        <v>1</v>
      </c>
      <c r="M102" s="17">
        <v>1</v>
      </c>
      <c r="N102" s="17">
        <v>1</v>
      </c>
      <c r="O102" s="17">
        <v>1</v>
      </c>
      <c r="P102" s="7">
        <f t="shared" si="46"/>
        <v>4</v>
      </c>
      <c r="Q102" s="14">
        <f t="shared" si="67"/>
        <v>1.4062499999999999E-3</v>
      </c>
      <c r="R102" s="14">
        <f t="shared" si="68"/>
        <v>1.4062499999999999E-3</v>
      </c>
      <c r="S102" s="14">
        <f t="shared" si="69"/>
        <v>1.4062499999999999E-3</v>
      </c>
      <c r="T102" s="14">
        <f t="shared" si="70"/>
        <v>1.4062499999999999E-3</v>
      </c>
      <c r="U102" s="14">
        <f t="shared" si="41"/>
        <v>5.6249999999999998E-3</v>
      </c>
      <c r="V102" s="59">
        <v>100000000</v>
      </c>
      <c r="W102" s="59">
        <v>250000000</v>
      </c>
      <c r="X102" s="59">
        <v>250000000</v>
      </c>
      <c r="Y102" s="59">
        <v>150000000</v>
      </c>
      <c r="Z102" s="63">
        <f t="shared" si="40"/>
        <v>750000000</v>
      </c>
    </row>
    <row r="103" spans="2:26" ht="24" x14ac:dyDescent="0.2">
      <c r="B103" s="192"/>
      <c r="C103" s="209"/>
      <c r="D103" s="206" t="s">
        <v>265</v>
      </c>
      <c r="E103" s="180">
        <v>0.15</v>
      </c>
      <c r="F103" s="186" t="s">
        <v>232</v>
      </c>
      <c r="G103" s="172">
        <v>0.8</v>
      </c>
      <c r="H103" s="185" t="s">
        <v>249</v>
      </c>
      <c r="I103" s="37" t="s">
        <v>550</v>
      </c>
      <c r="J103" s="9" t="s">
        <v>551</v>
      </c>
      <c r="K103" s="172">
        <v>1</v>
      </c>
      <c r="L103" s="17">
        <v>0</v>
      </c>
      <c r="M103" s="17">
        <v>23</v>
      </c>
      <c r="N103" s="17">
        <v>0</v>
      </c>
      <c r="O103" s="17">
        <v>0</v>
      </c>
      <c r="P103" s="7">
        <f t="shared" si="46"/>
        <v>23</v>
      </c>
      <c r="Q103" s="14">
        <f>+$C$75*$E$103*$G$103*K103/2*(L103/P103)</f>
        <v>0</v>
      </c>
      <c r="R103" s="14">
        <f>+$C$75*$E$103*$G$103*K103/2*(M103/P103)</f>
        <v>8.9999999999999993E-3</v>
      </c>
      <c r="S103" s="14">
        <f>+$C$75*$E$103*$G$103*K103/2*(N103/P103)</f>
        <v>0</v>
      </c>
      <c r="T103" s="14">
        <f>+$C$75*$E$103*$G$103*K103/2*(O103/P103)</f>
        <v>0</v>
      </c>
      <c r="U103" s="14">
        <f t="shared" si="41"/>
        <v>8.9999999999999993E-3</v>
      </c>
      <c r="V103" s="59">
        <v>0</v>
      </c>
      <c r="W103" s="59">
        <v>80000000</v>
      </c>
      <c r="X103" s="59">
        <v>0</v>
      </c>
      <c r="Y103" s="59">
        <v>0</v>
      </c>
      <c r="Z103" s="63">
        <f t="shared" si="40"/>
        <v>80000000</v>
      </c>
    </row>
    <row r="104" spans="2:26" ht="48" x14ac:dyDescent="0.2">
      <c r="B104" s="192"/>
      <c r="C104" s="209"/>
      <c r="D104" s="206"/>
      <c r="E104" s="180"/>
      <c r="F104" s="186"/>
      <c r="G104" s="172"/>
      <c r="H104" s="185"/>
      <c r="I104" s="37" t="s">
        <v>552</v>
      </c>
      <c r="J104" s="9" t="s">
        <v>553</v>
      </c>
      <c r="K104" s="172"/>
      <c r="L104" s="17">
        <v>0</v>
      </c>
      <c r="M104" s="131">
        <v>1</v>
      </c>
      <c r="N104" s="131">
        <v>1</v>
      </c>
      <c r="O104" s="131">
        <v>1</v>
      </c>
      <c r="P104" s="7"/>
      <c r="Q104" s="14">
        <f>+$C$75*$E$103*$G$103*K103/2*(L104)</f>
        <v>0</v>
      </c>
      <c r="R104" s="14">
        <f>+$C$75*$E$103*$G$103*K103/2*(1/3)</f>
        <v>2.9999999999999996E-3</v>
      </c>
      <c r="S104" s="14">
        <f>+$C$75*$E$103*$G$103*K103/2*(1/3)</f>
        <v>2.9999999999999996E-3</v>
      </c>
      <c r="T104" s="14">
        <f>+$C$75*$E$103*$G$103*K103/2*(1/3)</f>
        <v>2.9999999999999996E-3</v>
      </c>
      <c r="U104" s="14">
        <f t="shared" si="41"/>
        <v>8.9999999999999993E-3</v>
      </c>
      <c r="V104" s="59">
        <v>0</v>
      </c>
      <c r="W104" s="59">
        <v>1260000000</v>
      </c>
      <c r="X104" s="59">
        <v>1260000000</v>
      </c>
      <c r="Y104" s="59">
        <v>1260000000</v>
      </c>
      <c r="Z104" s="63">
        <f t="shared" si="40"/>
        <v>3780000000</v>
      </c>
    </row>
    <row r="105" spans="2:26" ht="99" thickBot="1" x14ac:dyDescent="0.25">
      <c r="B105" s="205"/>
      <c r="C105" s="210"/>
      <c r="D105" s="208"/>
      <c r="E105" s="212"/>
      <c r="F105" s="134" t="s">
        <v>233</v>
      </c>
      <c r="G105" s="135">
        <v>0.2</v>
      </c>
      <c r="H105" s="138" t="s">
        <v>250</v>
      </c>
      <c r="I105" s="75" t="s">
        <v>554</v>
      </c>
      <c r="J105" s="137" t="s">
        <v>555</v>
      </c>
      <c r="K105" s="135">
        <v>1</v>
      </c>
      <c r="L105" s="74">
        <v>1</v>
      </c>
      <c r="M105" s="74">
        <v>1</v>
      </c>
      <c r="N105" s="74">
        <v>1</v>
      </c>
      <c r="O105" s="74">
        <v>1</v>
      </c>
      <c r="P105" s="70">
        <f t="shared" si="46"/>
        <v>4</v>
      </c>
      <c r="Q105" s="58">
        <f>+$C$75*$E$103*$G$105*K105*(L105/P105)</f>
        <v>1.1249999999999999E-3</v>
      </c>
      <c r="R105" s="58">
        <f>+$C$75*$E$103*$G$105*K105*(M105/P105)</f>
        <v>1.1249999999999999E-3</v>
      </c>
      <c r="S105" s="58">
        <f>+$C$75*$E$103*$G$105*K105*(N105/P105)</f>
        <v>1.1249999999999999E-3</v>
      </c>
      <c r="T105" s="58">
        <f>+$C$75*$E$103*$G$105*K105*(O105/P105)</f>
        <v>1.1249999999999999E-3</v>
      </c>
      <c r="U105" s="58">
        <f t="shared" si="41"/>
        <v>4.4999999999999997E-3</v>
      </c>
      <c r="V105" s="60">
        <v>125000000</v>
      </c>
      <c r="W105" s="60">
        <v>125000000</v>
      </c>
      <c r="X105" s="60">
        <v>125000000</v>
      </c>
      <c r="Y105" s="60">
        <v>125000000</v>
      </c>
      <c r="Z105" s="71">
        <f t="shared" si="40"/>
        <v>500000000</v>
      </c>
    </row>
    <row r="106" spans="2:26" ht="60" x14ac:dyDescent="0.2">
      <c r="B106" s="191" t="s">
        <v>139</v>
      </c>
      <c r="C106" s="188">
        <v>0.15</v>
      </c>
      <c r="D106" s="129" t="s">
        <v>132</v>
      </c>
      <c r="E106" s="76">
        <v>0.05</v>
      </c>
      <c r="F106" s="128" t="s">
        <v>111</v>
      </c>
      <c r="G106" s="20">
        <v>1</v>
      </c>
      <c r="H106" s="1" t="s">
        <v>81</v>
      </c>
      <c r="I106" s="77" t="s">
        <v>556</v>
      </c>
      <c r="J106" s="78" t="s">
        <v>557</v>
      </c>
      <c r="K106" s="20">
        <v>1</v>
      </c>
      <c r="L106" s="128">
        <v>0</v>
      </c>
      <c r="M106" s="128">
        <v>1</v>
      </c>
      <c r="N106" s="128">
        <v>1</v>
      </c>
      <c r="O106" s="128">
        <v>1</v>
      </c>
      <c r="P106" s="79">
        <f>+L106+M106+N106+O106</f>
        <v>3</v>
      </c>
      <c r="Q106" s="25">
        <f>+$C$106*$E$106*$G$106*K106*(L106/P106)</f>
        <v>0</v>
      </c>
      <c r="R106" s="25">
        <f>+$C$106*$E$106*$G$106*K106*(M106/P106)</f>
        <v>2.4999999999999996E-3</v>
      </c>
      <c r="S106" s="25">
        <f>+$C$106*$E$106*$G$106*K106*(N106/P106)</f>
        <v>2.4999999999999996E-3</v>
      </c>
      <c r="T106" s="25">
        <f>+$C$106*$E$106*$G$106*K106*(O106/P106)</f>
        <v>2.4999999999999996E-3</v>
      </c>
      <c r="U106" s="25">
        <f t="shared" si="41"/>
        <v>7.4999999999999989E-3</v>
      </c>
      <c r="V106" s="61">
        <v>0</v>
      </c>
      <c r="W106" s="61">
        <v>200000000</v>
      </c>
      <c r="X106" s="61">
        <v>200000000</v>
      </c>
      <c r="Y106" s="61">
        <v>200000000</v>
      </c>
      <c r="Z106" s="62">
        <f t="shared" si="40"/>
        <v>600000000</v>
      </c>
    </row>
    <row r="107" spans="2:26" ht="85" customHeight="1" x14ac:dyDescent="0.2">
      <c r="B107" s="192"/>
      <c r="C107" s="189"/>
      <c r="D107" s="206" t="s">
        <v>133</v>
      </c>
      <c r="E107" s="180">
        <v>0.1</v>
      </c>
      <c r="F107" s="127" t="s">
        <v>112</v>
      </c>
      <c r="G107" s="133">
        <v>0.3</v>
      </c>
      <c r="H107" s="136" t="s">
        <v>82</v>
      </c>
      <c r="I107" s="12" t="s">
        <v>558</v>
      </c>
      <c r="J107" s="9" t="s">
        <v>559</v>
      </c>
      <c r="K107" s="131">
        <v>1</v>
      </c>
      <c r="L107" s="123">
        <v>1</v>
      </c>
      <c r="M107" s="123">
        <v>1</v>
      </c>
      <c r="N107" s="123">
        <v>1</v>
      </c>
      <c r="O107" s="123">
        <v>1</v>
      </c>
      <c r="P107" s="45">
        <f>+L107+M107+N107+O107</f>
        <v>4</v>
      </c>
      <c r="Q107" s="14">
        <f>+$C$106*$E$107*$G$107*K107*(L107/P107)</f>
        <v>1.1249999999999999E-3</v>
      </c>
      <c r="R107" s="14">
        <f>+$C$106*$E$107*$G$107*K107*(M107/P107)</f>
        <v>1.1249999999999999E-3</v>
      </c>
      <c r="S107" s="14">
        <f>+$C$106*$E$107*$G$107*K107*(N107/P107)</f>
        <v>1.1249999999999999E-3</v>
      </c>
      <c r="T107" s="14">
        <f>+$C$106*$E$107*$G$107*K107*(O107/P107)</f>
        <v>1.1249999999999999E-3</v>
      </c>
      <c r="U107" s="14">
        <f t="shared" si="41"/>
        <v>4.4999999999999997E-3</v>
      </c>
      <c r="V107" s="59">
        <v>120000000</v>
      </c>
      <c r="W107" s="59">
        <v>160000000</v>
      </c>
      <c r="X107" s="59">
        <v>120000000</v>
      </c>
      <c r="Y107" s="59">
        <v>110000000</v>
      </c>
      <c r="Z107" s="63">
        <f t="shared" si="40"/>
        <v>510000000</v>
      </c>
    </row>
    <row r="108" spans="2:26" ht="60" x14ac:dyDescent="0.2">
      <c r="B108" s="192"/>
      <c r="C108" s="189"/>
      <c r="D108" s="206"/>
      <c r="E108" s="180"/>
      <c r="F108" s="127" t="s">
        <v>113</v>
      </c>
      <c r="G108" s="133">
        <v>0.4</v>
      </c>
      <c r="H108" s="136" t="s">
        <v>83</v>
      </c>
      <c r="I108" s="12" t="s">
        <v>560</v>
      </c>
      <c r="J108" s="13" t="s">
        <v>559</v>
      </c>
      <c r="K108" s="131">
        <v>1</v>
      </c>
      <c r="L108" s="127">
        <v>1</v>
      </c>
      <c r="M108" s="127">
        <v>1</v>
      </c>
      <c r="N108" s="127">
        <v>1</v>
      </c>
      <c r="O108" s="127">
        <v>1</v>
      </c>
      <c r="P108" s="45">
        <f t="shared" ref="P108:P146" si="71">+L108+M108+N108+O108</f>
        <v>4</v>
      </c>
      <c r="Q108" s="14">
        <f>+$C$106*$E$107*$G$108*K108*(L108/P108)</f>
        <v>1.5E-3</v>
      </c>
      <c r="R108" s="14">
        <f>+$C$106*$E$107*$G$108*K108*(M108/P108)</f>
        <v>1.5E-3</v>
      </c>
      <c r="S108" s="14">
        <f>+$C$106*$E$107*$G$108*K108*(N108/P108)</f>
        <v>1.5E-3</v>
      </c>
      <c r="T108" s="14">
        <f>+$C$106*$E$107*$G$108*K108*(O108/P108)</f>
        <v>1.5E-3</v>
      </c>
      <c r="U108" s="14">
        <f t="shared" si="41"/>
        <v>6.0000000000000001E-3</v>
      </c>
      <c r="V108" s="59">
        <v>90000000</v>
      </c>
      <c r="W108" s="59">
        <v>180000000</v>
      </c>
      <c r="X108" s="59">
        <v>180000000</v>
      </c>
      <c r="Y108" s="59">
        <v>180000000</v>
      </c>
      <c r="Z108" s="63">
        <f t="shared" si="40"/>
        <v>630000000</v>
      </c>
    </row>
    <row r="109" spans="2:26" ht="36" x14ac:dyDescent="0.2">
      <c r="B109" s="192"/>
      <c r="C109" s="189"/>
      <c r="D109" s="206"/>
      <c r="E109" s="180"/>
      <c r="F109" s="127" t="s">
        <v>114</v>
      </c>
      <c r="G109" s="133">
        <v>0.3</v>
      </c>
      <c r="H109" s="136" t="s">
        <v>84</v>
      </c>
      <c r="I109" s="12" t="s">
        <v>561</v>
      </c>
      <c r="J109" s="13" t="s">
        <v>562</v>
      </c>
      <c r="K109" s="131">
        <v>1</v>
      </c>
      <c r="L109" s="127">
        <v>0</v>
      </c>
      <c r="M109" s="127">
        <v>1</v>
      </c>
      <c r="N109" s="127">
        <v>1</v>
      </c>
      <c r="O109" s="127">
        <v>0</v>
      </c>
      <c r="P109" s="45">
        <f t="shared" si="71"/>
        <v>2</v>
      </c>
      <c r="Q109" s="14">
        <f>+$C$106*$E$107*$G$109*K109*(L109/P109)</f>
        <v>0</v>
      </c>
      <c r="R109" s="14">
        <f>+$C$106*$E$107*$G$109*K109*(M109/P109)</f>
        <v>2.2499999999999998E-3</v>
      </c>
      <c r="S109" s="14">
        <f>+$C$106*$E$107*$G$109*K109*(N109/P109)</f>
        <v>2.2499999999999998E-3</v>
      </c>
      <c r="T109" s="14">
        <f>+$C$106*$E$107*$G$109*K109*(O109/P109)</f>
        <v>0</v>
      </c>
      <c r="U109" s="14">
        <f t="shared" si="41"/>
        <v>4.4999999999999997E-3</v>
      </c>
      <c r="V109" s="59">
        <v>0</v>
      </c>
      <c r="W109" s="59">
        <v>200000000</v>
      </c>
      <c r="X109" s="59">
        <v>200000000</v>
      </c>
      <c r="Y109" s="59">
        <v>0</v>
      </c>
      <c r="Z109" s="63">
        <f t="shared" si="40"/>
        <v>400000000</v>
      </c>
    </row>
    <row r="110" spans="2:26" ht="63" customHeight="1" x14ac:dyDescent="0.2">
      <c r="B110" s="192"/>
      <c r="C110" s="189"/>
      <c r="D110" s="206" t="s">
        <v>134</v>
      </c>
      <c r="E110" s="180">
        <v>0.1</v>
      </c>
      <c r="F110" s="186" t="s">
        <v>115</v>
      </c>
      <c r="G110" s="172">
        <v>0.4</v>
      </c>
      <c r="H110" s="136" t="s">
        <v>85</v>
      </c>
      <c r="I110" s="136" t="s">
        <v>563</v>
      </c>
      <c r="J110" s="9" t="s">
        <v>564</v>
      </c>
      <c r="K110" s="131">
        <v>0.4</v>
      </c>
      <c r="L110" s="123">
        <v>23</v>
      </c>
      <c r="M110" s="123">
        <v>23</v>
      </c>
      <c r="N110" s="123">
        <v>23</v>
      </c>
      <c r="O110" s="123">
        <v>23</v>
      </c>
      <c r="P110" s="45">
        <v>23</v>
      </c>
      <c r="Q110" s="14">
        <f>+$C$106*$E$110*$G$110*K110*(1/4)</f>
        <v>6.0000000000000006E-4</v>
      </c>
      <c r="R110" s="14">
        <f>+$C$106*$E$110*$G$110*K110*(1/4)</f>
        <v>6.0000000000000006E-4</v>
      </c>
      <c r="S110" s="14">
        <f>+$C$106*$E$110*$G$110*K110*(1/4)</f>
        <v>6.0000000000000006E-4</v>
      </c>
      <c r="T110" s="14">
        <f>+$C$106*$E$110*$G$110*K110*(1/4)</f>
        <v>6.0000000000000006E-4</v>
      </c>
      <c r="U110" s="14">
        <f t="shared" si="41"/>
        <v>2.4000000000000002E-3</v>
      </c>
      <c r="V110" s="59">
        <v>200000000</v>
      </c>
      <c r="W110" s="59">
        <v>200000000</v>
      </c>
      <c r="X110" s="59">
        <v>200000000</v>
      </c>
      <c r="Y110" s="59">
        <v>200000000</v>
      </c>
      <c r="Z110" s="63">
        <f t="shared" si="40"/>
        <v>800000000</v>
      </c>
    </row>
    <row r="111" spans="2:26" x14ac:dyDescent="0.2">
      <c r="B111" s="192"/>
      <c r="C111" s="189"/>
      <c r="D111" s="206"/>
      <c r="E111" s="180"/>
      <c r="F111" s="186"/>
      <c r="G111" s="172"/>
      <c r="H111" s="136" t="s">
        <v>86</v>
      </c>
      <c r="I111" s="136" t="s">
        <v>565</v>
      </c>
      <c r="J111" s="9" t="s">
        <v>566</v>
      </c>
      <c r="K111" s="131">
        <v>0.6</v>
      </c>
      <c r="L111" s="123">
        <v>0</v>
      </c>
      <c r="M111" s="123">
        <v>0</v>
      </c>
      <c r="N111" s="123">
        <v>1</v>
      </c>
      <c r="O111" s="123">
        <v>0</v>
      </c>
      <c r="P111" s="45">
        <f t="shared" si="71"/>
        <v>1</v>
      </c>
      <c r="Q111" s="14">
        <f>+$C$106*$E$110*$G$110*K111*(L111/P111)</f>
        <v>0</v>
      </c>
      <c r="R111" s="14">
        <f>+$C$106*$E$110*$G$110*K111*(M111/P111)</f>
        <v>0</v>
      </c>
      <c r="S111" s="14">
        <f>+$C$106*$E$110*$G$110*K111*(N111/P111)</f>
        <v>3.5999999999999999E-3</v>
      </c>
      <c r="T111" s="14">
        <f>+$C$106*$E$110*$G$110*K111*(O111/P111)</f>
        <v>0</v>
      </c>
      <c r="U111" s="14">
        <f t="shared" si="41"/>
        <v>3.5999999999999999E-3</v>
      </c>
      <c r="V111" s="59">
        <v>0</v>
      </c>
      <c r="W111" s="59">
        <v>0</v>
      </c>
      <c r="X111" s="59">
        <v>1000000000</v>
      </c>
      <c r="Y111" s="59">
        <v>0</v>
      </c>
      <c r="Z111" s="63">
        <f t="shared" si="40"/>
        <v>1000000000</v>
      </c>
    </row>
    <row r="112" spans="2:26" ht="48" x14ac:dyDescent="0.2">
      <c r="B112" s="192"/>
      <c r="C112" s="189"/>
      <c r="D112" s="206"/>
      <c r="E112" s="180"/>
      <c r="F112" s="127" t="s">
        <v>116</v>
      </c>
      <c r="G112" s="133">
        <v>0.15</v>
      </c>
      <c r="H112" s="136" t="s">
        <v>87</v>
      </c>
      <c r="I112" s="136" t="s">
        <v>567</v>
      </c>
      <c r="J112" s="9" t="s">
        <v>568</v>
      </c>
      <c r="K112" s="131">
        <v>1</v>
      </c>
      <c r="L112" s="29">
        <v>24</v>
      </c>
      <c r="M112" s="29">
        <v>24</v>
      </c>
      <c r="N112" s="29">
        <v>24</v>
      </c>
      <c r="O112" s="29">
        <v>24</v>
      </c>
      <c r="P112" s="45">
        <v>24</v>
      </c>
      <c r="Q112" s="14">
        <f>+$C$106*$E$110*$G$112*K112*(1/4)</f>
        <v>5.6249999999999996E-4</v>
      </c>
      <c r="R112" s="14">
        <f>+$C$106*$E$110*$G$112*K112*(1/4)</f>
        <v>5.6249999999999996E-4</v>
      </c>
      <c r="S112" s="14">
        <f>+$C$106*$E$110*$G$112*K112*(1/4)</f>
        <v>5.6249999999999996E-4</v>
      </c>
      <c r="T112" s="14">
        <f>+$C$106*$E$110*$G$112*K112*(1/4)</f>
        <v>5.6249999999999996E-4</v>
      </c>
      <c r="U112" s="14">
        <f t="shared" si="41"/>
        <v>2.2499999999999998E-3</v>
      </c>
      <c r="V112" s="59">
        <v>100000000</v>
      </c>
      <c r="W112" s="59">
        <v>100000000</v>
      </c>
      <c r="X112" s="59">
        <v>100000000</v>
      </c>
      <c r="Y112" s="59">
        <v>100000000</v>
      </c>
      <c r="Z112" s="63">
        <f t="shared" si="40"/>
        <v>400000000</v>
      </c>
    </row>
    <row r="113" spans="2:26" ht="48" x14ac:dyDescent="0.2">
      <c r="B113" s="192"/>
      <c r="C113" s="189"/>
      <c r="D113" s="206"/>
      <c r="E113" s="180"/>
      <c r="F113" s="127" t="s">
        <v>117</v>
      </c>
      <c r="G113" s="133">
        <v>0.3</v>
      </c>
      <c r="H113" s="136" t="s">
        <v>88</v>
      </c>
      <c r="I113" s="136" t="s">
        <v>569</v>
      </c>
      <c r="J113" s="9" t="s">
        <v>570</v>
      </c>
      <c r="K113" s="131">
        <v>1</v>
      </c>
      <c r="L113" s="29">
        <v>1</v>
      </c>
      <c r="M113" s="29">
        <v>0</v>
      </c>
      <c r="N113" s="29">
        <v>1</v>
      </c>
      <c r="O113" s="29">
        <v>1</v>
      </c>
      <c r="P113" s="45">
        <f t="shared" si="71"/>
        <v>3</v>
      </c>
      <c r="Q113" s="14">
        <f>+$C$106*$E$110*$G$113*K113*(L113/P113)</f>
        <v>1.4999999999999998E-3</v>
      </c>
      <c r="R113" s="14">
        <f>+$C$106*$E$110*$G$113*K113*(M113/P113)</f>
        <v>0</v>
      </c>
      <c r="S113" s="14">
        <f>+$C$106*$E$110*$G$113*K113*(N113/P113)</f>
        <v>1.4999999999999998E-3</v>
      </c>
      <c r="T113" s="14">
        <f>+$C$106*$E$110*$G$113*K113*(O113/P113)</f>
        <v>1.4999999999999998E-3</v>
      </c>
      <c r="U113" s="14">
        <f t="shared" si="41"/>
        <v>4.4999999999999997E-3</v>
      </c>
      <c r="V113" s="59">
        <v>400000000</v>
      </c>
      <c r="W113" s="59">
        <v>0</v>
      </c>
      <c r="X113" s="59">
        <v>400000000</v>
      </c>
      <c r="Y113" s="59">
        <v>400000000</v>
      </c>
      <c r="Z113" s="63">
        <f t="shared" si="40"/>
        <v>1200000000</v>
      </c>
    </row>
    <row r="114" spans="2:26" ht="31.25" customHeight="1" x14ac:dyDescent="0.2">
      <c r="B114" s="192"/>
      <c r="C114" s="189"/>
      <c r="D114" s="206"/>
      <c r="E114" s="180"/>
      <c r="F114" s="127" t="s">
        <v>118</v>
      </c>
      <c r="G114" s="133">
        <v>0.15</v>
      </c>
      <c r="H114" s="136" t="s">
        <v>89</v>
      </c>
      <c r="I114" s="136" t="s">
        <v>571</v>
      </c>
      <c r="J114" s="9" t="s">
        <v>572</v>
      </c>
      <c r="K114" s="131">
        <v>1</v>
      </c>
      <c r="L114" s="123">
        <v>0</v>
      </c>
      <c r="M114" s="123">
        <v>1</v>
      </c>
      <c r="N114" s="123">
        <v>1</v>
      </c>
      <c r="O114" s="123">
        <v>0</v>
      </c>
      <c r="P114" s="45">
        <f t="shared" si="71"/>
        <v>2</v>
      </c>
      <c r="Q114" s="14">
        <f>+$C$106*$E$110*$G$114*K114*(L114/P114)</f>
        <v>0</v>
      </c>
      <c r="R114" s="14">
        <f>+$C$106*$E$110*$G$114*K114*(M114/P114)</f>
        <v>1.1249999999999999E-3</v>
      </c>
      <c r="S114" s="14">
        <f>+$C$106*$E$110*$G$114*K114*(N114/P114)</f>
        <v>1.1249999999999999E-3</v>
      </c>
      <c r="T114" s="14">
        <f>+$C$106*$E$110*$G$114*K114*(O114/P114)</f>
        <v>0</v>
      </c>
      <c r="U114" s="14">
        <f t="shared" si="41"/>
        <v>2.2499999999999998E-3</v>
      </c>
      <c r="V114" s="59">
        <v>0</v>
      </c>
      <c r="W114" s="59">
        <v>250000000</v>
      </c>
      <c r="X114" s="59">
        <v>250000000</v>
      </c>
      <c r="Y114" s="59">
        <v>0</v>
      </c>
      <c r="Z114" s="63">
        <f t="shared" si="40"/>
        <v>500000000</v>
      </c>
    </row>
    <row r="115" spans="2:26" ht="84" x14ac:dyDescent="0.2">
      <c r="B115" s="192"/>
      <c r="C115" s="189"/>
      <c r="D115" s="206" t="s">
        <v>135</v>
      </c>
      <c r="E115" s="180">
        <v>0.2</v>
      </c>
      <c r="F115" s="186" t="s">
        <v>119</v>
      </c>
      <c r="G115" s="182">
        <v>0.45</v>
      </c>
      <c r="H115" s="136" t="s">
        <v>127</v>
      </c>
      <c r="I115" s="136" t="s">
        <v>573</v>
      </c>
      <c r="J115" s="9" t="s">
        <v>574</v>
      </c>
      <c r="K115" s="131">
        <v>0.4</v>
      </c>
      <c r="L115" s="50">
        <v>8</v>
      </c>
      <c r="M115" s="50">
        <v>8</v>
      </c>
      <c r="N115" s="50">
        <v>8</v>
      </c>
      <c r="O115" s="50">
        <v>8</v>
      </c>
      <c r="P115" s="45">
        <v>8</v>
      </c>
      <c r="Q115" s="14">
        <f>+$C$106*$E$115*$G$115*K115*(1/4)</f>
        <v>1.3500000000000001E-3</v>
      </c>
      <c r="R115" s="14">
        <f>+$C$106*$E$115*$G$115*K115*(1/4)</f>
        <v>1.3500000000000001E-3</v>
      </c>
      <c r="S115" s="14">
        <f>+$C$106*$E$115*$G$115*K115*(1/4)</f>
        <v>1.3500000000000001E-3</v>
      </c>
      <c r="T115" s="14">
        <f>+$C$106*$E$115*$G$115*K115*(1/4)</f>
        <v>1.3500000000000001E-3</v>
      </c>
      <c r="U115" s="14">
        <f t="shared" si="41"/>
        <v>5.4000000000000003E-3</v>
      </c>
      <c r="V115" s="59">
        <v>380000000</v>
      </c>
      <c r="W115" s="59">
        <v>380000000</v>
      </c>
      <c r="X115" s="59">
        <v>380000000</v>
      </c>
      <c r="Y115" s="59">
        <v>380000000</v>
      </c>
      <c r="Z115" s="63">
        <f t="shared" si="40"/>
        <v>1520000000</v>
      </c>
    </row>
    <row r="116" spans="2:26" ht="103.75" customHeight="1" x14ac:dyDescent="0.2">
      <c r="B116" s="192"/>
      <c r="C116" s="189"/>
      <c r="D116" s="206"/>
      <c r="E116" s="180"/>
      <c r="F116" s="186"/>
      <c r="G116" s="182"/>
      <c r="H116" s="136" t="s">
        <v>128</v>
      </c>
      <c r="I116" s="136" t="s">
        <v>575</v>
      </c>
      <c r="J116" s="9" t="s">
        <v>576</v>
      </c>
      <c r="K116" s="131">
        <v>0.05</v>
      </c>
      <c r="L116" s="123">
        <v>0</v>
      </c>
      <c r="M116" s="123">
        <v>0</v>
      </c>
      <c r="N116" s="123">
        <v>1</v>
      </c>
      <c r="O116" s="123">
        <v>0</v>
      </c>
      <c r="P116" s="45">
        <f t="shared" si="71"/>
        <v>1</v>
      </c>
      <c r="Q116" s="14">
        <f>+$C$106*$E$115*$G$115*K116*(L116/P116)</f>
        <v>0</v>
      </c>
      <c r="R116" s="14">
        <f>+$C$106*$E$115*$G$115*K116*(M116/P116)</f>
        <v>0</v>
      </c>
      <c r="S116" s="14">
        <f>+$C$106*$E$115*$G$115*K116*(N116/P116)</f>
        <v>6.7500000000000004E-4</v>
      </c>
      <c r="T116" s="14">
        <f>+$C$106*$E$115*$G$115*K116*(O116/P116)</f>
        <v>0</v>
      </c>
      <c r="U116" s="14">
        <f t="shared" si="41"/>
        <v>6.7500000000000004E-4</v>
      </c>
      <c r="V116" s="59">
        <v>0</v>
      </c>
      <c r="W116" s="59">
        <v>0</v>
      </c>
      <c r="X116" s="59">
        <v>120000000</v>
      </c>
      <c r="Y116" s="59">
        <v>0</v>
      </c>
      <c r="Z116" s="63">
        <f t="shared" si="40"/>
        <v>120000000</v>
      </c>
    </row>
    <row r="117" spans="2:26" ht="36" x14ac:dyDescent="0.2">
      <c r="B117" s="192"/>
      <c r="C117" s="189"/>
      <c r="D117" s="206"/>
      <c r="E117" s="180"/>
      <c r="F117" s="186"/>
      <c r="G117" s="182"/>
      <c r="H117" s="136" t="s">
        <v>129</v>
      </c>
      <c r="I117" s="136" t="s">
        <v>577</v>
      </c>
      <c r="J117" s="9" t="s">
        <v>578</v>
      </c>
      <c r="K117" s="131">
        <v>0.05</v>
      </c>
      <c r="L117" s="51">
        <v>6</v>
      </c>
      <c r="M117" s="51">
        <v>12</v>
      </c>
      <c r="N117" s="51">
        <v>12</v>
      </c>
      <c r="O117" s="51">
        <v>12</v>
      </c>
      <c r="P117" s="45"/>
      <c r="Q117" s="14">
        <f>+$C$106*$E$115*$G$115*K117*(1/4)</f>
        <v>1.6875000000000001E-4</v>
      </c>
      <c r="R117" s="14">
        <f>+$C$106*$E$115*$G$115*K117*(1/4)</f>
        <v>1.6875000000000001E-4</v>
      </c>
      <c r="S117" s="14">
        <f>+$C$106*$E$115*$G$115*K117*(1/4)</f>
        <v>1.6875000000000001E-4</v>
      </c>
      <c r="T117" s="14">
        <f>+$C$106*$E$115*$G$115*K117*(1/4)</f>
        <v>1.6875000000000001E-4</v>
      </c>
      <c r="U117" s="14">
        <f t="shared" si="41"/>
        <v>6.7500000000000004E-4</v>
      </c>
      <c r="V117" s="59">
        <v>25000000</v>
      </c>
      <c r="W117" s="59">
        <v>25000000</v>
      </c>
      <c r="X117" s="59">
        <v>25000000</v>
      </c>
      <c r="Y117" s="59">
        <v>25000000</v>
      </c>
      <c r="Z117" s="63">
        <f t="shared" si="40"/>
        <v>100000000</v>
      </c>
    </row>
    <row r="118" spans="2:26" ht="36" x14ac:dyDescent="0.2">
      <c r="B118" s="192"/>
      <c r="C118" s="189"/>
      <c r="D118" s="206"/>
      <c r="E118" s="180"/>
      <c r="F118" s="186"/>
      <c r="G118" s="182"/>
      <c r="H118" s="136" t="s">
        <v>130</v>
      </c>
      <c r="I118" s="136" t="s">
        <v>579</v>
      </c>
      <c r="J118" s="9" t="s">
        <v>580</v>
      </c>
      <c r="K118" s="131">
        <v>0.05</v>
      </c>
      <c r="L118" s="123">
        <v>0</v>
      </c>
      <c r="M118" s="16">
        <v>1</v>
      </c>
      <c r="N118" s="16">
        <v>1</v>
      </c>
      <c r="O118" s="123">
        <v>0</v>
      </c>
      <c r="P118" s="45">
        <f>+L118+M118+N118+O118</f>
        <v>2</v>
      </c>
      <c r="Q118" s="14">
        <f t="shared" ref="Q118:Q121" si="72">+$C$106*$E$115*$G$115*K118*(L118/P118)</f>
        <v>0</v>
      </c>
      <c r="R118" s="14">
        <f t="shared" ref="R118:R121" si="73">+$C$106*$E$115*$G$115*K118*(M118/P118)</f>
        <v>3.3750000000000002E-4</v>
      </c>
      <c r="S118" s="14">
        <f t="shared" ref="S118:S121" si="74">+$C$106*$E$115*$G$115*K118*(N118/P118)</f>
        <v>3.3750000000000002E-4</v>
      </c>
      <c r="T118" s="14">
        <f t="shared" ref="T118:T121" si="75">+$C$106*$E$115*$G$115*K118*(O118/P118)</f>
        <v>0</v>
      </c>
      <c r="U118" s="14">
        <f t="shared" si="41"/>
        <v>6.7500000000000004E-4</v>
      </c>
      <c r="V118" s="59">
        <v>0</v>
      </c>
      <c r="W118" s="59">
        <v>92500000</v>
      </c>
      <c r="X118" s="59">
        <v>92500000</v>
      </c>
      <c r="Y118" s="59">
        <v>0</v>
      </c>
      <c r="Z118" s="63">
        <f t="shared" si="40"/>
        <v>185000000</v>
      </c>
    </row>
    <row r="119" spans="2:26" ht="36" x14ac:dyDescent="0.2">
      <c r="B119" s="192"/>
      <c r="C119" s="189"/>
      <c r="D119" s="206"/>
      <c r="E119" s="180"/>
      <c r="F119" s="186"/>
      <c r="G119" s="182"/>
      <c r="H119" s="136" t="s">
        <v>131</v>
      </c>
      <c r="I119" s="136" t="s">
        <v>581</v>
      </c>
      <c r="J119" s="13" t="s">
        <v>582</v>
      </c>
      <c r="K119" s="131">
        <v>0.3</v>
      </c>
      <c r="L119" s="52">
        <v>1</v>
      </c>
      <c r="M119" s="52">
        <v>1</v>
      </c>
      <c r="N119" s="52">
        <v>1</v>
      </c>
      <c r="O119" s="52">
        <v>1</v>
      </c>
      <c r="P119" s="45"/>
      <c r="Q119" s="14">
        <f>+$C$106*$E$115*$G$115*K119*(1/4)</f>
        <v>1.0124999999999999E-3</v>
      </c>
      <c r="R119" s="14">
        <f>+$C$106*$E$115*$G$115*K119*(1/4)</f>
        <v>1.0124999999999999E-3</v>
      </c>
      <c r="S119" s="14">
        <f>+$C$106*$E$115*$G$115*K119*(1/4)</f>
        <v>1.0124999999999999E-3</v>
      </c>
      <c r="T119" s="14">
        <f>+$C$106*$E$115*$G$115*K119*(1/4)</f>
        <v>1.0124999999999999E-3</v>
      </c>
      <c r="U119" s="14">
        <f t="shared" si="41"/>
        <v>4.0499999999999998E-3</v>
      </c>
      <c r="V119" s="59">
        <v>100000000</v>
      </c>
      <c r="W119" s="59">
        <v>300000000</v>
      </c>
      <c r="X119" s="59">
        <v>300000000</v>
      </c>
      <c r="Y119" s="59">
        <v>300000000</v>
      </c>
      <c r="Z119" s="63">
        <f t="shared" si="40"/>
        <v>1000000000</v>
      </c>
    </row>
    <row r="120" spans="2:26" ht="48" x14ac:dyDescent="0.2">
      <c r="B120" s="192"/>
      <c r="C120" s="189"/>
      <c r="D120" s="206"/>
      <c r="E120" s="180"/>
      <c r="F120" s="186"/>
      <c r="G120" s="182"/>
      <c r="H120" s="136" t="s">
        <v>90</v>
      </c>
      <c r="I120" s="136" t="s">
        <v>583</v>
      </c>
      <c r="J120" s="13" t="s">
        <v>584</v>
      </c>
      <c r="K120" s="131">
        <v>0.1</v>
      </c>
      <c r="L120" s="123">
        <v>0</v>
      </c>
      <c r="M120" s="123">
        <v>0</v>
      </c>
      <c r="N120" s="123">
        <v>0</v>
      </c>
      <c r="O120" s="123">
        <v>1</v>
      </c>
      <c r="P120" s="45">
        <f t="shared" si="71"/>
        <v>1</v>
      </c>
      <c r="Q120" s="14">
        <f t="shared" si="72"/>
        <v>0</v>
      </c>
      <c r="R120" s="14">
        <f t="shared" si="73"/>
        <v>0</v>
      </c>
      <c r="S120" s="14">
        <f t="shared" si="74"/>
        <v>0</v>
      </c>
      <c r="T120" s="14">
        <f t="shared" si="75"/>
        <v>1.3500000000000001E-3</v>
      </c>
      <c r="U120" s="14">
        <f t="shared" si="41"/>
        <v>1.3500000000000001E-3</v>
      </c>
      <c r="V120" s="59">
        <v>0</v>
      </c>
      <c r="W120" s="59">
        <v>0</v>
      </c>
      <c r="X120" s="59">
        <v>0</v>
      </c>
      <c r="Y120" s="59">
        <v>400000000</v>
      </c>
      <c r="Z120" s="63">
        <f t="shared" si="40"/>
        <v>400000000</v>
      </c>
    </row>
    <row r="121" spans="2:26" ht="45.5" customHeight="1" x14ac:dyDescent="0.2">
      <c r="B121" s="192"/>
      <c r="C121" s="189"/>
      <c r="D121" s="206"/>
      <c r="E121" s="180"/>
      <c r="F121" s="186"/>
      <c r="G121" s="182"/>
      <c r="H121" s="136" t="s">
        <v>91</v>
      </c>
      <c r="I121" s="136" t="s">
        <v>585</v>
      </c>
      <c r="J121" s="9" t="s">
        <v>586</v>
      </c>
      <c r="K121" s="131">
        <v>0.05</v>
      </c>
      <c r="L121" s="123">
        <v>0</v>
      </c>
      <c r="M121" s="123">
        <v>1</v>
      </c>
      <c r="N121" s="123">
        <v>0</v>
      </c>
      <c r="O121" s="123">
        <v>0</v>
      </c>
      <c r="P121" s="45">
        <f t="shared" si="71"/>
        <v>1</v>
      </c>
      <c r="Q121" s="14">
        <f t="shared" si="72"/>
        <v>0</v>
      </c>
      <c r="R121" s="14">
        <f t="shared" si="73"/>
        <v>6.7500000000000004E-4</v>
      </c>
      <c r="S121" s="14">
        <f t="shared" si="74"/>
        <v>0</v>
      </c>
      <c r="T121" s="14">
        <f t="shared" si="75"/>
        <v>0</v>
      </c>
      <c r="U121" s="14">
        <f t="shared" si="41"/>
        <v>6.7500000000000004E-4</v>
      </c>
      <c r="V121" s="59">
        <v>0</v>
      </c>
      <c r="W121" s="59">
        <v>120000000</v>
      </c>
      <c r="X121" s="59">
        <v>0</v>
      </c>
      <c r="Y121" s="59">
        <v>0</v>
      </c>
      <c r="Z121" s="63">
        <f t="shared" si="40"/>
        <v>120000000</v>
      </c>
    </row>
    <row r="122" spans="2:26" ht="48" x14ac:dyDescent="0.2">
      <c r="B122" s="192"/>
      <c r="C122" s="189"/>
      <c r="D122" s="206"/>
      <c r="E122" s="180"/>
      <c r="F122" s="127" t="s">
        <v>120</v>
      </c>
      <c r="G122" s="133">
        <v>0.05</v>
      </c>
      <c r="H122" s="136" t="s">
        <v>92</v>
      </c>
      <c r="I122" s="136" t="s">
        <v>587</v>
      </c>
      <c r="J122" s="9" t="s">
        <v>588</v>
      </c>
      <c r="K122" s="131">
        <v>1</v>
      </c>
      <c r="L122" s="123">
        <v>1</v>
      </c>
      <c r="M122" s="123">
        <v>2</v>
      </c>
      <c r="N122" s="123">
        <v>2</v>
      </c>
      <c r="O122" s="123">
        <v>2</v>
      </c>
      <c r="P122" s="45">
        <f t="shared" si="71"/>
        <v>7</v>
      </c>
      <c r="Q122" s="14">
        <f>+$C$106*$E$115*$G$122*K122*(L122/P122)</f>
        <v>2.1428571428571427E-4</v>
      </c>
      <c r="R122" s="14">
        <f>+$C$106*$E$115*$G$122*K122*(M122/P122)</f>
        <v>4.2857142857142855E-4</v>
      </c>
      <c r="S122" s="14">
        <f>+$C$106*$E$115*$G$122*K122*(N122/P122)</f>
        <v>4.2857142857142855E-4</v>
      </c>
      <c r="T122" s="14">
        <f>+$C$106*$E$115*$G$122*K122*(O122/P122)</f>
        <v>4.2857142857142855E-4</v>
      </c>
      <c r="U122" s="14">
        <f t="shared" si="41"/>
        <v>1.4999999999999998E-3</v>
      </c>
      <c r="V122" s="59">
        <v>20000000</v>
      </c>
      <c r="W122" s="59">
        <v>40000000</v>
      </c>
      <c r="X122" s="59">
        <v>40000000</v>
      </c>
      <c r="Y122" s="59">
        <v>40000000</v>
      </c>
      <c r="Z122" s="63">
        <f t="shared" si="40"/>
        <v>140000000</v>
      </c>
    </row>
    <row r="123" spans="2:26" ht="60" x14ac:dyDescent="0.2">
      <c r="B123" s="192"/>
      <c r="C123" s="189"/>
      <c r="D123" s="206"/>
      <c r="E123" s="180"/>
      <c r="F123" s="186" t="s">
        <v>121</v>
      </c>
      <c r="G123" s="182">
        <v>0.2</v>
      </c>
      <c r="H123" s="136" t="s">
        <v>93</v>
      </c>
      <c r="I123" s="136" t="s">
        <v>589</v>
      </c>
      <c r="J123" s="9" t="s">
        <v>590</v>
      </c>
      <c r="K123" s="131">
        <v>0.7</v>
      </c>
      <c r="L123" s="123">
        <v>0</v>
      </c>
      <c r="M123" s="123">
        <v>1</v>
      </c>
      <c r="N123" s="123">
        <v>1</v>
      </c>
      <c r="O123" s="123">
        <v>1</v>
      </c>
      <c r="P123" s="45">
        <f t="shared" si="71"/>
        <v>3</v>
      </c>
      <c r="Q123" s="14">
        <f>+$C$106*$E$115*$G$123*K123*(L123/P123)</f>
        <v>0</v>
      </c>
      <c r="R123" s="14">
        <f>+$C$106*$E$115*$G$123*K123*(M123/P123)</f>
        <v>1.3999999999999998E-3</v>
      </c>
      <c r="S123" s="14">
        <f>+$C$106*$E$115*$G$123*K123*(N123/P123)</f>
        <v>1.3999999999999998E-3</v>
      </c>
      <c r="T123" s="14">
        <f>+$C$106*$E$115*$G$123*K123*(O123/P123)</f>
        <v>1.3999999999999998E-3</v>
      </c>
      <c r="U123" s="14">
        <f t="shared" si="41"/>
        <v>4.1999999999999989E-3</v>
      </c>
      <c r="V123" s="59">
        <v>0</v>
      </c>
      <c r="W123" s="59">
        <v>420000000</v>
      </c>
      <c r="X123" s="59">
        <v>350000000</v>
      </c>
      <c r="Y123" s="59">
        <v>350000000</v>
      </c>
      <c r="Z123" s="63">
        <f t="shared" si="40"/>
        <v>1120000000</v>
      </c>
    </row>
    <row r="124" spans="2:26" ht="36" x14ac:dyDescent="0.2">
      <c r="B124" s="192"/>
      <c r="C124" s="189"/>
      <c r="D124" s="206"/>
      <c r="E124" s="180"/>
      <c r="F124" s="186"/>
      <c r="G124" s="182"/>
      <c r="H124" s="136" t="s">
        <v>94</v>
      </c>
      <c r="I124" s="136" t="s">
        <v>591</v>
      </c>
      <c r="J124" s="9" t="s">
        <v>592</v>
      </c>
      <c r="K124" s="131">
        <v>0.15</v>
      </c>
      <c r="L124" s="133">
        <v>1</v>
      </c>
      <c r="M124" s="133">
        <v>1</v>
      </c>
      <c r="N124" s="133">
        <v>1</v>
      </c>
      <c r="O124" s="133">
        <v>1</v>
      </c>
      <c r="P124" s="45"/>
      <c r="Q124" s="14">
        <f>+$C$106*$E$115*$G$123*K124*(1/4)</f>
        <v>2.2499999999999999E-4</v>
      </c>
      <c r="R124" s="14">
        <f>+$C$106*$E$115*$G$123*K124*(1/4)</f>
        <v>2.2499999999999999E-4</v>
      </c>
      <c r="S124" s="14">
        <f>+$C$106*$E$115*$G$123*K124*(1/4)</f>
        <v>2.2499999999999999E-4</v>
      </c>
      <c r="T124" s="14">
        <f>+$C$106*$E$115*$G$123*K124*(1/4)</f>
        <v>2.2499999999999999E-4</v>
      </c>
      <c r="U124" s="14">
        <f t="shared" si="41"/>
        <v>8.9999999999999998E-4</v>
      </c>
      <c r="V124" s="59">
        <v>20000000</v>
      </c>
      <c r="W124" s="59">
        <v>40000000</v>
      </c>
      <c r="X124" s="59">
        <v>40000000</v>
      </c>
      <c r="Y124" s="59">
        <v>40000000</v>
      </c>
      <c r="Z124" s="63">
        <f t="shared" si="40"/>
        <v>140000000</v>
      </c>
    </row>
    <row r="125" spans="2:26" ht="36" x14ac:dyDescent="0.2">
      <c r="B125" s="192"/>
      <c r="C125" s="189"/>
      <c r="D125" s="206"/>
      <c r="E125" s="180"/>
      <c r="F125" s="186"/>
      <c r="G125" s="182"/>
      <c r="H125" s="185" t="s">
        <v>95</v>
      </c>
      <c r="I125" s="136" t="s">
        <v>593</v>
      </c>
      <c r="J125" s="9" t="s">
        <v>594</v>
      </c>
      <c r="K125" s="172">
        <v>0.15</v>
      </c>
      <c r="L125" s="123">
        <v>0</v>
      </c>
      <c r="M125" s="123">
        <v>2</v>
      </c>
      <c r="N125" s="123">
        <v>0</v>
      </c>
      <c r="O125" s="123">
        <v>0</v>
      </c>
      <c r="P125" s="45">
        <v>2</v>
      </c>
      <c r="Q125" s="14">
        <f>+$C$106*$E$115*$G$123*K125/2*(L125/P125)</f>
        <v>0</v>
      </c>
      <c r="R125" s="14">
        <f>+$C$106*$E$115*$G$123*K125/2*(M125/P125)</f>
        <v>4.4999999999999999E-4</v>
      </c>
      <c r="S125" s="14">
        <f>+$C$106*$E$115*$G$123*K125/2*(N125/P125)</f>
        <v>0</v>
      </c>
      <c r="T125" s="14">
        <f>+$C$106*$E$115*$G$123*K125/2*(O125/P125)</f>
        <v>0</v>
      </c>
      <c r="U125" s="14">
        <f t="shared" si="41"/>
        <v>4.4999999999999999E-4</v>
      </c>
      <c r="V125" s="59">
        <v>0</v>
      </c>
      <c r="W125" s="59">
        <v>85000000</v>
      </c>
      <c r="X125" s="59">
        <v>0</v>
      </c>
      <c r="Y125" s="59">
        <v>0</v>
      </c>
      <c r="Z125" s="63">
        <f t="shared" si="40"/>
        <v>85000000</v>
      </c>
    </row>
    <row r="126" spans="2:26" ht="24" x14ac:dyDescent="0.2">
      <c r="B126" s="192"/>
      <c r="C126" s="189"/>
      <c r="D126" s="206"/>
      <c r="E126" s="180"/>
      <c r="F126" s="186"/>
      <c r="G126" s="182"/>
      <c r="H126" s="185"/>
      <c r="I126" s="136" t="s">
        <v>595</v>
      </c>
      <c r="J126" s="9" t="s">
        <v>596</v>
      </c>
      <c r="K126" s="172"/>
      <c r="L126" s="123">
        <v>2</v>
      </c>
      <c r="M126" s="123">
        <v>2</v>
      </c>
      <c r="N126" s="123">
        <v>4</v>
      </c>
      <c r="O126" s="123">
        <v>4</v>
      </c>
      <c r="P126" s="45"/>
      <c r="Q126" s="14">
        <f>+$C$106*$E$115*$G$123*K125/2*(1/4)</f>
        <v>1.125E-4</v>
      </c>
      <c r="R126" s="14">
        <f>+$C$106*$E$115*$G$123*K125/2*(1/4)</f>
        <v>1.125E-4</v>
      </c>
      <c r="S126" s="14">
        <f>+$C$106*$E$115*$G$123*K125/2*(1/4)</f>
        <v>1.125E-4</v>
      </c>
      <c r="T126" s="14">
        <f>+$C$106*$E$115*$G$123*K125/2*(1/4)</f>
        <v>1.125E-4</v>
      </c>
      <c r="U126" s="14">
        <f t="shared" si="41"/>
        <v>4.4999999999999999E-4</v>
      </c>
      <c r="V126" s="59">
        <v>20000000</v>
      </c>
      <c r="W126" s="59">
        <v>20000000</v>
      </c>
      <c r="X126" s="59">
        <v>30000000</v>
      </c>
      <c r="Y126" s="59">
        <v>30000000</v>
      </c>
      <c r="Z126" s="63">
        <f t="shared" si="40"/>
        <v>100000000</v>
      </c>
    </row>
    <row r="127" spans="2:26" ht="48" x14ac:dyDescent="0.2">
      <c r="B127" s="192"/>
      <c r="C127" s="189"/>
      <c r="D127" s="206"/>
      <c r="E127" s="180"/>
      <c r="F127" s="186" t="s">
        <v>122</v>
      </c>
      <c r="G127" s="182">
        <v>0.3</v>
      </c>
      <c r="H127" s="136" t="s">
        <v>96</v>
      </c>
      <c r="I127" s="136" t="s">
        <v>597</v>
      </c>
      <c r="J127" s="9" t="s">
        <v>598</v>
      </c>
      <c r="K127" s="131">
        <v>0.3</v>
      </c>
      <c r="L127" s="123">
        <v>0</v>
      </c>
      <c r="M127" s="123">
        <v>2</v>
      </c>
      <c r="N127" s="123">
        <v>0</v>
      </c>
      <c r="O127" s="123">
        <v>2</v>
      </c>
      <c r="P127" s="45">
        <f t="shared" si="71"/>
        <v>4</v>
      </c>
      <c r="Q127" s="14">
        <f>+$C$106*$E$115*$G$127*K127*(L127/P127)</f>
        <v>0</v>
      </c>
      <c r="R127" s="14">
        <f>+$C$106*$E$115*$G$127*K127*(M127/P127)</f>
        <v>1.3499999999999999E-3</v>
      </c>
      <c r="S127" s="14">
        <f>+$C$106*$E$115*$G$127*K127*(N127/P127)</f>
        <v>0</v>
      </c>
      <c r="T127" s="14">
        <f>+$C$106*$E$115*$G$127*K127*(O127/P127)</f>
        <v>1.3499999999999999E-3</v>
      </c>
      <c r="U127" s="14">
        <f t="shared" si="41"/>
        <v>2.6999999999999997E-3</v>
      </c>
      <c r="V127" s="59">
        <v>0</v>
      </c>
      <c r="W127" s="59">
        <v>400000000</v>
      </c>
      <c r="X127" s="59">
        <v>0</v>
      </c>
      <c r="Y127" s="59">
        <v>400000000</v>
      </c>
      <c r="Z127" s="63">
        <f t="shared" si="40"/>
        <v>800000000</v>
      </c>
    </row>
    <row r="128" spans="2:26" ht="48" x14ac:dyDescent="0.2">
      <c r="B128" s="192"/>
      <c r="C128" s="189"/>
      <c r="D128" s="206"/>
      <c r="E128" s="180"/>
      <c r="F128" s="186"/>
      <c r="G128" s="182"/>
      <c r="H128" s="136" t="s">
        <v>97</v>
      </c>
      <c r="I128" s="136" t="s">
        <v>599</v>
      </c>
      <c r="J128" s="13" t="s">
        <v>600</v>
      </c>
      <c r="K128" s="131">
        <v>0.1</v>
      </c>
      <c r="L128" s="50">
        <v>23</v>
      </c>
      <c r="M128" s="50">
        <v>23</v>
      </c>
      <c r="N128" s="50">
        <v>23</v>
      </c>
      <c r="O128" s="50">
        <v>23</v>
      </c>
      <c r="P128" s="45"/>
      <c r="Q128" s="14">
        <f>+$C$106*$E$115*$G$127*K128*(1/4)</f>
        <v>2.2499999999999999E-4</v>
      </c>
      <c r="R128" s="14">
        <f>+$C$106*$E$115*$G$127*K128*(1/4)</f>
        <v>2.2499999999999999E-4</v>
      </c>
      <c r="S128" s="14">
        <f>+$C$106*$E$115*$G$127*K128*(1/4)</f>
        <v>2.2499999999999999E-4</v>
      </c>
      <c r="T128" s="14">
        <f>+$C$106*$E$115*$G$127*K128*(1/4)</f>
        <v>2.2499999999999999E-4</v>
      </c>
      <c r="U128" s="14">
        <f t="shared" si="41"/>
        <v>8.9999999999999998E-4</v>
      </c>
      <c r="V128" s="168">
        <v>140000000</v>
      </c>
      <c r="W128" s="168">
        <v>140000000</v>
      </c>
      <c r="X128" s="168">
        <v>140000000</v>
      </c>
      <c r="Y128" s="168">
        <v>140000000</v>
      </c>
      <c r="Z128" s="162">
        <f t="shared" si="40"/>
        <v>560000000</v>
      </c>
    </row>
    <row r="129" spans="2:26" ht="60" x14ac:dyDescent="0.2">
      <c r="B129" s="192"/>
      <c r="C129" s="189"/>
      <c r="D129" s="206"/>
      <c r="E129" s="180"/>
      <c r="F129" s="186"/>
      <c r="G129" s="182"/>
      <c r="H129" s="136" t="s">
        <v>637</v>
      </c>
      <c r="I129" s="136" t="s">
        <v>601</v>
      </c>
      <c r="J129" s="13" t="s">
        <v>602</v>
      </c>
      <c r="K129" s="131">
        <v>0.1</v>
      </c>
      <c r="L129" s="53">
        <v>1</v>
      </c>
      <c r="M129" s="53">
        <v>1</v>
      </c>
      <c r="N129" s="53">
        <v>1</v>
      </c>
      <c r="O129" s="53">
        <v>1</v>
      </c>
      <c r="P129" s="45"/>
      <c r="Q129" s="14">
        <f t="shared" ref="Q129:Q130" si="76">+$C$106*$E$115*$G$127*K129*(1/4)</f>
        <v>2.2499999999999999E-4</v>
      </c>
      <c r="R129" s="14">
        <f t="shared" ref="R129:R130" si="77">+$C$106*$E$115*$G$127*K129*(1/4)</f>
        <v>2.2499999999999999E-4</v>
      </c>
      <c r="S129" s="14">
        <f t="shared" ref="S129:S130" si="78">+$C$106*$E$115*$G$127*K129*(1/4)</f>
        <v>2.2499999999999999E-4</v>
      </c>
      <c r="T129" s="14">
        <f t="shared" ref="T129:T130" si="79">+$C$106*$E$115*$G$127*K129*(1/4)</f>
        <v>2.2499999999999999E-4</v>
      </c>
      <c r="U129" s="14">
        <f t="shared" si="41"/>
        <v>8.9999999999999998E-4</v>
      </c>
      <c r="V129" s="168"/>
      <c r="W129" s="168"/>
      <c r="X129" s="168"/>
      <c r="Y129" s="168"/>
      <c r="Z129" s="162"/>
    </row>
    <row r="130" spans="2:26" ht="24" x14ac:dyDescent="0.2">
      <c r="B130" s="192"/>
      <c r="C130" s="189"/>
      <c r="D130" s="206"/>
      <c r="E130" s="180"/>
      <c r="F130" s="186"/>
      <c r="G130" s="182"/>
      <c r="H130" s="136" t="s">
        <v>638</v>
      </c>
      <c r="I130" s="136" t="s">
        <v>603</v>
      </c>
      <c r="J130" s="9" t="s">
        <v>604</v>
      </c>
      <c r="K130" s="131">
        <v>0.1</v>
      </c>
      <c r="L130" s="53">
        <v>1</v>
      </c>
      <c r="M130" s="53">
        <v>1</v>
      </c>
      <c r="N130" s="53">
        <v>1</v>
      </c>
      <c r="O130" s="53">
        <v>1</v>
      </c>
      <c r="P130" s="45"/>
      <c r="Q130" s="14">
        <f t="shared" si="76"/>
        <v>2.2499999999999999E-4</v>
      </c>
      <c r="R130" s="14">
        <f t="shared" si="77"/>
        <v>2.2499999999999999E-4</v>
      </c>
      <c r="S130" s="14">
        <f t="shared" si="78"/>
        <v>2.2499999999999999E-4</v>
      </c>
      <c r="T130" s="14">
        <f t="shared" si="79"/>
        <v>2.2499999999999999E-4</v>
      </c>
      <c r="U130" s="14">
        <f t="shared" si="41"/>
        <v>8.9999999999999998E-4</v>
      </c>
      <c r="V130" s="168"/>
      <c r="W130" s="168"/>
      <c r="X130" s="168"/>
      <c r="Y130" s="168"/>
      <c r="Z130" s="162"/>
    </row>
    <row r="131" spans="2:26" ht="84" x14ac:dyDescent="0.2">
      <c r="B131" s="192"/>
      <c r="C131" s="189"/>
      <c r="D131" s="206"/>
      <c r="E131" s="180"/>
      <c r="F131" s="186"/>
      <c r="G131" s="182"/>
      <c r="H131" s="136" t="s">
        <v>639</v>
      </c>
      <c r="I131" s="136" t="s">
        <v>605</v>
      </c>
      <c r="J131" s="13" t="s">
        <v>606</v>
      </c>
      <c r="K131" s="131">
        <v>0.1</v>
      </c>
      <c r="L131" s="50">
        <v>0</v>
      </c>
      <c r="M131" s="50">
        <v>1</v>
      </c>
      <c r="N131" s="50">
        <v>0</v>
      </c>
      <c r="O131" s="50">
        <v>0</v>
      </c>
      <c r="P131" s="45">
        <f t="shared" si="71"/>
        <v>1</v>
      </c>
      <c r="Q131" s="14">
        <f t="shared" ref="Q131:Q132" si="80">+$C$106*$E$115*$G$127*K131*(L131/P131)</f>
        <v>0</v>
      </c>
      <c r="R131" s="14">
        <f t="shared" ref="R131:R132" si="81">+$C$106*$E$115*$G$127*K131*(M131/P131)</f>
        <v>8.9999999999999998E-4</v>
      </c>
      <c r="S131" s="14">
        <f t="shared" ref="S131:S132" si="82">+$C$106*$E$115*$G$127*K131*(N131/P131)</f>
        <v>0</v>
      </c>
      <c r="T131" s="14">
        <f t="shared" ref="T131:T132" si="83">+$C$106*$E$115*$G$127*K131*(O131/P131)</f>
        <v>0</v>
      </c>
      <c r="U131" s="14">
        <f t="shared" si="41"/>
        <v>8.9999999999999998E-4</v>
      </c>
      <c r="V131" s="59">
        <v>0</v>
      </c>
      <c r="W131" s="59">
        <v>100000000</v>
      </c>
      <c r="X131" s="59">
        <v>0</v>
      </c>
      <c r="Y131" s="59">
        <v>0</v>
      </c>
      <c r="Z131" s="63">
        <f t="shared" si="40"/>
        <v>100000000</v>
      </c>
    </row>
    <row r="132" spans="2:26" ht="72" customHeight="1" x14ac:dyDescent="0.2">
      <c r="B132" s="192"/>
      <c r="C132" s="189"/>
      <c r="D132" s="206"/>
      <c r="E132" s="180"/>
      <c r="F132" s="186"/>
      <c r="G132" s="182"/>
      <c r="H132" s="136" t="s">
        <v>640</v>
      </c>
      <c r="I132" s="136" t="s">
        <v>607</v>
      </c>
      <c r="J132" s="9" t="s">
        <v>608</v>
      </c>
      <c r="K132" s="131">
        <v>0.3</v>
      </c>
      <c r="L132" s="123">
        <v>0</v>
      </c>
      <c r="M132" s="123">
        <v>2</v>
      </c>
      <c r="N132" s="123">
        <v>2</v>
      </c>
      <c r="O132" s="123">
        <v>0</v>
      </c>
      <c r="P132" s="45">
        <f t="shared" si="71"/>
        <v>4</v>
      </c>
      <c r="Q132" s="14">
        <f t="shared" si="80"/>
        <v>0</v>
      </c>
      <c r="R132" s="14">
        <f t="shared" si="81"/>
        <v>1.3499999999999999E-3</v>
      </c>
      <c r="S132" s="14">
        <f t="shared" si="82"/>
        <v>1.3499999999999999E-3</v>
      </c>
      <c r="T132" s="14">
        <f t="shared" si="83"/>
        <v>0</v>
      </c>
      <c r="U132" s="14">
        <f t="shared" si="41"/>
        <v>2.6999999999999997E-3</v>
      </c>
      <c r="V132" s="59">
        <v>0</v>
      </c>
      <c r="W132" s="59">
        <v>400000000</v>
      </c>
      <c r="X132" s="59">
        <v>400000000</v>
      </c>
      <c r="Y132" s="59">
        <v>0</v>
      </c>
      <c r="Z132" s="63">
        <f t="shared" si="40"/>
        <v>800000000</v>
      </c>
    </row>
    <row r="133" spans="2:26" ht="48" x14ac:dyDescent="0.2">
      <c r="B133" s="192"/>
      <c r="C133" s="189"/>
      <c r="D133" s="206" t="s">
        <v>136</v>
      </c>
      <c r="E133" s="180">
        <v>0.25</v>
      </c>
      <c r="F133" s="186" t="s">
        <v>123</v>
      </c>
      <c r="G133" s="182">
        <v>0.9</v>
      </c>
      <c r="H133" s="136" t="s">
        <v>98</v>
      </c>
      <c r="I133" s="136" t="s">
        <v>609</v>
      </c>
      <c r="J133" s="10" t="s">
        <v>610</v>
      </c>
      <c r="K133" s="131">
        <v>0.3</v>
      </c>
      <c r="L133" s="53">
        <v>1</v>
      </c>
      <c r="M133" s="53">
        <v>1</v>
      </c>
      <c r="N133" s="53">
        <v>1</v>
      </c>
      <c r="O133" s="53">
        <v>1</v>
      </c>
      <c r="P133" s="45"/>
      <c r="Q133" s="14">
        <f>+$C$106*$E$133*$G$133*K133*(1/4)</f>
        <v>2.5312500000000001E-3</v>
      </c>
      <c r="R133" s="14">
        <f>+$C$106*$E$133*$G$133*K133*(1/4)</f>
        <v>2.5312500000000001E-3</v>
      </c>
      <c r="S133" s="14">
        <f>+$C$106*$E$133*$G$133*K133*(1/4)</f>
        <v>2.5312500000000001E-3</v>
      </c>
      <c r="T133" s="14">
        <f>+$C$106*$E$133*$G$133*K133*(1/4)</f>
        <v>2.5312500000000001E-3</v>
      </c>
      <c r="U133" s="14">
        <f t="shared" si="41"/>
        <v>1.0125E-2</v>
      </c>
      <c r="V133" s="168">
        <v>700000000</v>
      </c>
      <c r="W133" s="168">
        <v>1400000000</v>
      </c>
      <c r="X133" s="168">
        <v>1400000000</v>
      </c>
      <c r="Y133" s="168">
        <v>1400000000</v>
      </c>
      <c r="Z133" s="162">
        <f t="shared" si="40"/>
        <v>4900000000</v>
      </c>
    </row>
    <row r="134" spans="2:26" ht="24" x14ac:dyDescent="0.2">
      <c r="B134" s="192"/>
      <c r="C134" s="189"/>
      <c r="D134" s="206"/>
      <c r="E134" s="180"/>
      <c r="F134" s="186"/>
      <c r="G134" s="182"/>
      <c r="H134" s="49" t="s">
        <v>99</v>
      </c>
      <c r="I134" s="136" t="s">
        <v>611</v>
      </c>
      <c r="J134" s="9" t="s">
        <v>664</v>
      </c>
      <c r="K134" s="131">
        <v>0.1</v>
      </c>
      <c r="L134" s="54">
        <v>1</v>
      </c>
      <c r="M134" s="54">
        <v>1</v>
      </c>
      <c r="N134" s="54">
        <v>1</v>
      </c>
      <c r="O134" s="53">
        <v>1</v>
      </c>
      <c r="P134" s="45"/>
      <c r="Q134" s="14">
        <f t="shared" ref="Q134:Q135" si="84">+$C$106*$E$133*$G$133*K134*(1/4)</f>
        <v>8.437500000000001E-4</v>
      </c>
      <c r="R134" s="14">
        <f t="shared" ref="R134:R135" si="85">+$C$106*$E$133*$G$133*K134*(1/4)</f>
        <v>8.437500000000001E-4</v>
      </c>
      <c r="S134" s="14">
        <f t="shared" ref="S134:S135" si="86">+$C$106*$E$133*$G$133*K134*(1/4)</f>
        <v>8.437500000000001E-4</v>
      </c>
      <c r="T134" s="14">
        <f t="shared" ref="T134:T135" si="87">+$C$106*$E$133*$G$133*K134*(1/4)</f>
        <v>8.437500000000001E-4</v>
      </c>
      <c r="U134" s="14">
        <f t="shared" si="41"/>
        <v>3.3750000000000004E-3</v>
      </c>
      <c r="V134" s="168"/>
      <c r="W134" s="168"/>
      <c r="X134" s="168"/>
      <c r="Y134" s="168"/>
      <c r="Z134" s="162"/>
    </row>
    <row r="135" spans="2:26" ht="36" x14ac:dyDescent="0.2">
      <c r="B135" s="192"/>
      <c r="C135" s="189"/>
      <c r="D135" s="206"/>
      <c r="E135" s="180"/>
      <c r="F135" s="186"/>
      <c r="G135" s="182"/>
      <c r="H135" s="136" t="s">
        <v>100</v>
      </c>
      <c r="I135" s="136" t="s">
        <v>612</v>
      </c>
      <c r="J135" s="9" t="s">
        <v>613</v>
      </c>
      <c r="K135" s="131">
        <v>0.08</v>
      </c>
      <c r="L135" s="53">
        <v>1</v>
      </c>
      <c r="M135" s="53">
        <v>1</v>
      </c>
      <c r="N135" s="53">
        <v>1</v>
      </c>
      <c r="O135" s="53">
        <v>1</v>
      </c>
      <c r="P135" s="45"/>
      <c r="Q135" s="14">
        <f t="shared" si="84"/>
        <v>6.7500000000000004E-4</v>
      </c>
      <c r="R135" s="14">
        <f t="shared" si="85"/>
        <v>6.7500000000000004E-4</v>
      </c>
      <c r="S135" s="14">
        <f t="shared" si="86"/>
        <v>6.7500000000000004E-4</v>
      </c>
      <c r="T135" s="14">
        <f t="shared" si="87"/>
        <v>6.7500000000000004E-4</v>
      </c>
      <c r="U135" s="14">
        <f t="shared" si="41"/>
        <v>2.7000000000000001E-3</v>
      </c>
      <c r="V135" s="59">
        <v>60000000</v>
      </c>
      <c r="W135" s="59">
        <v>60000000</v>
      </c>
      <c r="X135" s="59">
        <v>60000000</v>
      </c>
      <c r="Y135" s="59">
        <v>60000000</v>
      </c>
      <c r="Z135" s="63">
        <f t="shared" si="40"/>
        <v>240000000</v>
      </c>
    </row>
    <row r="136" spans="2:26" ht="48" x14ac:dyDescent="0.2">
      <c r="B136" s="192"/>
      <c r="C136" s="189"/>
      <c r="D136" s="206"/>
      <c r="E136" s="180"/>
      <c r="F136" s="186"/>
      <c r="G136" s="182"/>
      <c r="H136" s="136" t="s">
        <v>101</v>
      </c>
      <c r="I136" s="136" t="s">
        <v>614</v>
      </c>
      <c r="J136" s="9" t="s">
        <v>615</v>
      </c>
      <c r="K136" s="131">
        <v>0.1</v>
      </c>
      <c r="L136" s="55">
        <v>0</v>
      </c>
      <c r="M136" s="56">
        <v>1</v>
      </c>
      <c r="N136" s="55">
        <v>0</v>
      </c>
      <c r="O136" s="55">
        <v>0</v>
      </c>
      <c r="P136" s="45">
        <f t="shared" si="71"/>
        <v>1</v>
      </c>
      <c r="Q136" s="14">
        <f t="shared" ref="Q136:Q140" si="88">+$C$106*$E$133*$G$133*K136*(L136/P136)</f>
        <v>0</v>
      </c>
      <c r="R136" s="14">
        <f t="shared" ref="R136:R140" si="89">+$C$106*$E$133*$G$133*K136*(M136/P136)</f>
        <v>3.3750000000000004E-3</v>
      </c>
      <c r="S136" s="14">
        <f t="shared" ref="S136:S140" si="90">+$C$106*$E$133*$G$133*K136*(N136/P136)</f>
        <v>0</v>
      </c>
      <c r="T136" s="14">
        <f t="shared" ref="T136:T140" si="91">+$C$106*$E$133*$G$133*K136*(O136/P136)</f>
        <v>0</v>
      </c>
      <c r="U136" s="14">
        <f t="shared" si="41"/>
        <v>3.3750000000000004E-3</v>
      </c>
      <c r="V136" s="59">
        <v>0</v>
      </c>
      <c r="W136" s="59">
        <v>250000000</v>
      </c>
      <c r="X136" s="59">
        <v>0</v>
      </c>
      <c r="Y136" s="59">
        <v>0</v>
      </c>
      <c r="Z136" s="63">
        <f t="shared" ref="Z136:Z199" si="92">+V136+W136+X136+Y136</f>
        <v>250000000</v>
      </c>
    </row>
    <row r="137" spans="2:26" ht="36" x14ac:dyDescent="0.2">
      <c r="B137" s="192"/>
      <c r="C137" s="189"/>
      <c r="D137" s="206"/>
      <c r="E137" s="180"/>
      <c r="F137" s="186"/>
      <c r="G137" s="182"/>
      <c r="H137" s="136" t="s">
        <v>102</v>
      </c>
      <c r="I137" s="136" t="s">
        <v>616</v>
      </c>
      <c r="J137" s="9" t="s">
        <v>617</v>
      </c>
      <c r="K137" s="131">
        <v>0.1</v>
      </c>
      <c r="L137" s="38">
        <v>0</v>
      </c>
      <c r="M137" s="38">
        <v>0</v>
      </c>
      <c r="N137" s="38">
        <v>1</v>
      </c>
      <c r="O137" s="38">
        <v>0</v>
      </c>
      <c r="P137" s="158">
        <v>1</v>
      </c>
      <c r="Q137" s="14">
        <f t="shared" si="88"/>
        <v>0</v>
      </c>
      <c r="R137" s="14">
        <f t="shared" si="89"/>
        <v>0</v>
      </c>
      <c r="S137" s="14">
        <f t="shared" si="90"/>
        <v>3.3750000000000004E-3</v>
      </c>
      <c r="T137" s="14">
        <f t="shared" si="91"/>
        <v>0</v>
      </c>
      <c r="U137" s="14">
        <f t="shared" si="41"/>
        <v>3.3750000000000004E-3</v>
      </c>
      <c r="V137" s="59">
        <v>0</v>
      </c>
      <c r="W137" s="59">
        <v>0</v>
      </c>
      <c r="X137" s="59">
        <v>200000000</v>
      </c>
      <c r="Y137" s="59">
        <v>0</v>
      </c>
      <c r="Z137" s="63">
        <f t="shared" si="92"/>
        <v>200000000</v>
      </c>
    </row>
    <row r="138" spans="2:26" ht="48" x14ac:dyDescent="0.2">
      <c r="B138" s="192"/>
      <c r="C138" s="189"/>
      <c r="D138" s="206"/>
      <c r="E138" s="180"/>
      <c r="F138" s="186"/>
      <c r="G138" s="182"/>
      <c r="H138" s="136" t="s">
        <v>103</v>
      </c>
      <c r="I138" s="136" t="s">
        <v>618</v>
      </c>
      <c r="J138" s="9" t="s">
        <v>619</v>
      </c>
      <c r="K138" s="131">
        <v>0.12</v>
      </c>
      <c r="L138" s="54">
        <v>1</v>
      </c>
      <c r="M138" s="54">
        <v>1</v>
      </c>
      <c r="N138" s="54">
        <v>1</v>
      </c>
      <c r="O138" s="53">
        <v>1</v>
      </c>
      <c r="P138" s="45"/>
      <c r="Q138" s="14">
        <f t="shared" ref="Q137:Q139" si="93">+$C$106*$E$133*$G$133*K138*(1/4)</f>
        <v>1.0124999999999999E-3</v>
      </c>
      <c r="R138" s="14">
        <f t="shared" ref="R137:R139" si="94">+$C$106*$E$133*$G$133*K138*(1/4)</f>
        <v>1.0124999999999999E-3</v>
      </c>
      <c r="S138" s="14">
        <f t="shared" ref="S137:S139" si="95">+$C$106*$E$133*$G$133*K138*(1/4)</f>
        <v>1.0124999999999999E-3</v>
      </c>
      <c r="T138" s="14">
        <f t="shared" ref="T137:T139" si="96">+$C$106*$E$133*$G$133*K138*(1/4)</f>
        <v>1.0124999999999999E-3</v>
      </c>
      <c r="U138" s="14">
        <f t="shared" si="41"/>
        <v>4.0499999999999998E-3</v>
      </c>
      <c r="V138" s="168">
        <v>120000000</v>
      </c>
      <c r="W138" s="168">
        <v>250000000</v>
      </c>
      <c r="X138" s="168">
        <v>250000000</v>
      </c>
      <c r="Y138" s="168">
        <v>250000000</v>
      </c>
      <c r="Z138" s="162">
        <f t="shared" si="92"/>
        <v>870000000</v>
      </c>
    </row>
    <row r="139" spans="2:26" ht="48" x14ac:dyDescent="0.2">
      <c r="B139" s="192"/>
      <c r="C139" s="189"/>
      <c r="D139" s="206"/>
      <c r="E139" s="180"/>
      <c r="F139" s="186"/>
      <c r="G139" s="182"/>
      <c r="H139" s="136" t="s">
        <v>104</v>
      </c>
      <c r="I139" s="136" t="s">
        <v>620</v>
      </c>
      <c r="J139" s="9" t="s">
        <v>621</v>
      </c>
      <c r="K139" s="131">
        <v>0.1</v>
      </c>
      <c r="L139" s="38">
        <v>1</v>
      </c>
      <c r="M139" s="38">
        <v>1</v>
      </c>
      <c r="N139" s="38">
        <v>1</v>
      </c>
      <c r="O139" s="38">
        <v>1</v>
      </c>
      <c r="P139" s="45"/>
      <c r="Q139" s="14">
        <f t="shared" si="93"/>
        <v>8.437500000000001E-4</v>
      </c>
      <c r="R139" s="14">
        <f t="shared" si="94"/>
        <v>8.437500000000001E-4</v>
      </c>
      <c r="S139" s="14">
        <f t="shared" si="95"/>
        <v>8.437500000000001E-4</v>
      </c>
      <c r="T139" s="14">
        <f t="shared" si="96"/>
        <v>8.437500000000001E-4</v>
      </c>
      <c r="U139" s="14">
        <f t="shared" si="41"/>
        <v>3.3750000000000004E-3</v>
      </c>
      <c r="V139" s="168"/>
      <c r="W139" s="168"/>
      <c r="X139" s="168"/>
      <c r="Y139" s="168"/>
      <c r="Z139" s="162"/>
    </row>
    <row r="140" spans="2:26" ht="41.5" customHeight="1" x14ac:dyDescent="0.2">
      <c r="B140" s="192"/>
      <c r="C140" s="189"/>
      <c r="D140" s="206"/>
      <c r="E140" s="180"/>
      <c r="F140" s="186"/>
      <c r="G140" s="182"/>
      <c r="H140" s="49" t="s">
        <v>105</v>
      </c>
      <c r="I140" s="136" t="s">
        <v>622</v>
      </c>
      <c r="J140" s="9" t="s">
        <v>623</v>
      </c>
      <c r="K140" s="131">
        <v>0.1</v>
      </c>
      <c r="L140" s="57">
        <v>0</v>
      </c>
      <c r="M140" s="57">
        <v>1</v>
      </c>
      <c r="N140" s="57">
        <v>0</v>
      </c>
      <c r="O140" s="57">
        <v>0</v>
      </c>
      <c r="P140" s="45">
        <f t="shared" si="71"/>
        <v>1</v>
      </c>
      <c r="Q140" s="14">
        <f t="shared" si="88"/>
        <v>0</v>
      </c>
      <c r="R140" s="14">
        <f t="shared" si="89"/>
        <v>3.3750000000000004E-3</v>
      </c>
      <c r="S140" s="14">
        <f t="shared" si="90"/>
        <v>0</v>
      </c>
      <c r="T140" s="14">
        <f t="shared" si="91"/>
        <v>0</v>
      </c>
      <c r="U140" s="14">
        <f t="shared" si="41"/>
        <v>3.3750000000000004E-3</v>
      </c>
      <c r="V140" s="59">
        <v>0</v>
      </c>
      <c r="W140" s="59">
        <v>200000000</v>
      </c>
      <c r="X140" s="59">
        <v>100000000</v>
      </c>
      <c r="Y140" s="59">
        <v>100000000</v>
      </c>
      <c r="Z140" s="63">
        <f t="shared" si="92"/>
        <v>400000000</v>
      </c>
    </row>
    <row r="141" spans="2:26" ht="36" x14ac:dyDescent="0.2">
      <c r="B141" s="192"/>
      <c r="C141" s="189"/>
      <c r="D141" s="206"/>
      <c r="E141" s="180"/>
      <c r="F141" s="127" t="s">
        <v>124</v>
      </c>
      <c r="G141" s="133">
        <v>0.1</v>
      </c>
      <c r="H141" s="136" t="s">
        <v>106</v>
      </c>
      <c r="I141" s="136" t="s">
        <v>624</v>
      </c>
      <c r="J141" s="9" t="s">
        <v>625</v>
      </c>
      <c r="K141" s="131">
        <v>1</v>
      </c>
      <c r="L141" s="29">
        <v>0</v>
      </c>
      <c r="M141" s="29">
        <v>1</v>
      </c>
      <c r="N141" s="29">
        <v>0</v>
      </c>
      <c r="O141" s="29">
        <v>0</v>
      </c>
      <c r="P141" s="45">
        <f t="shared" si="71"/>
        <v>1</v>
      </c>
      <c r="Q141" s="14">
        <f>+$C$106*$E$133*$G$141*K141*(L141/P141)</f>
        <v>0</v>
      </c>
      <c r="R141" s="14">
        <f>+$C$106*$E$133*$G$141*K141*(M141/P141)</f>
        <v>3.7499999999999999E-3</v>
      </c>
      <c r="S141" s="14">
        <f>+$C$106*$E$133*$G$141*K141*(N141/P141)</f>
        <v>0</v>
      </c>
      <c r="T141" s="14">
        <f>+$C$106*$E$133*$G$141*K141*(O141/P141)</f>
        <v>0</v>
      </c>
      <c r="U141" s="14">
        <f t="shared" si="41"/>
        <v>3.7499999999999999E-3</v>
      </c>
      <c r="V141" s="59">
        <v>0</v>
      </c>
      <c r="W141" s="59">
        <v>250000000</v>
      </c>
      <c r="X141" s="59">
        <v>0</v>
      </c>
      <c r="Y141" s="59">
        <v>0</v>
      </c>
      <c r="Z141" s="63">
        <f t="shared" si="92"/>
        <v>250000000</v>
      </c>
    </row>
    <row r="142" spans="2:26" ht="60" x14ac:dyDescent="0.2">
      <c r="B142" s="192"/>
      <c r="C142" s="189"/>
      <c r="D142" s="206" t="s">
        <v>137</v>
      </c>
      <c r="E142" s="180">
        <v>0.15</v>
      </c>
      <c r="F142" s="186" t="s">
        <v>125</v>
      </c>
      <c r="G142" s="182">
        <v>1</v>
      </c>
      <c r="H142" s="136" t="s">
        <v>107</v>
      </c>
      <c r="I142" s="136" t="s">
        <v>626</v>
      </c>
      <c r="J142" s="9" t="s">
        <v>627</v>
      </c>
      <c r="K142" s="131">
        <v>0.3</v>
      </c>
      <c r="L142" s="123">
        <v>0</v>
      </c>
      <c r="M142" s="123">
        <v>0</v>
      </c>
      <c r="N142" s="123">
        <v>0</v>
      </c>
      <c r="O142" s="123">
        <v>4</v>
      </c>
      <c r="P142" s="45">
        <f t="shared" si="71"/>
        <v>4</v>
      </c>
      <c r="Q142" s="14">
        <f>+$C$106*$E$142*$G$142*K142*(L142/P142)</f>
        <v>0</v>
      </c>
      <c r="R142" s="14">
        <f>+$C$106*$E$142*$G$142*K142*(M142/P142)</f>
        <v>0</v>
      </c>
      <c r="S142" s="14">
        <f>+$C$106*$E$142*$G$142*K142*(N142/P142)</f>
        <v>0</v>
      </c>
      <c r="T142" s="14">
        <f>+$C$106*$E$142*$G$142*K142*(O142/P142)</f>
        <v>6.7499999999999999E-3</v>
      </c>
      <c r="U142" s="14">
        <f t="shared" si="41"/>
        <v>6.7499999999999999E-3</v>
      </c>
      <c r="V142" s="59">
        <v>0</v>
      </c>
      <c r="W142" s="59">
        <v>0</v>
      </c>
      <c r="X142" s="59">
        <v>0</v>
      </c>
      <c r="Y142" s="59">
        <v>650000000</v>
      </c>
      <c r="Z142" s="63">
        <f t="shared" si="92"/>
        <v>650000000</v>
      </c>
    </row>
    <row r="143" spans="2:26" ht="48" x14ac:dyDescent="0.2">
      <c r="B143" s="192"/>
      <c r="C143" s="189"/>
      <c r="D143" s="206"/>
      <c r="E143" s="180"/>
      <c r="F143" s="186"/>
      <c r="G143" s="182"/>
      <c r="H143" s="136" t="s">
        <v>108</v>
      </c>
      <c r="I143" s="136" t="s">
        <v>628</v>
      </c>
      <c r="J143" s="9" t="s">
        <v>629</v>
      </c>
      <c r="K143" s="131">
        <v>0.3</v>
      </c>
      <c r="L143" s="123">
        <v>0</v>
      </c>
      <c r="M143" s="123">
        <v>0</v>
      </c>
      <c r="N143" s="123">
        <v>8</v>
      </c>
      <c r="O143" s="123">
        <v>15</v>
      </c>
      <c r="P143" s="45">
        <f t="shared" si="71"/>
        <v>23</v>
      </c>
      <c r="Q143" s="14">
        <f t="shared" ref="Q143" si="97">+$C$106*$E$142*$G$142*K143*(L143/P143)</f>
        <v>0</v>
      </c>
      <c r="R143" s="14">
        <f t="shared" ref="R143" si="98">+$C$106*$E$142*$G$142*K143*(M143/P143)</f>
        <v>0</v>
      </c>
      <c r="S143" s="14">
        <f t="shared" ref="S143" si="99">+$C$106*$E$142*$G$142*K143*(N143/P143)</f>
        <v>2.3478260869565218E-3</v>
      </c>
      <c r="T143" s="14">
        <f t="shared" ref="T143" si="100">+$C$106*$E$142*$G$142*K143*(O143/P143)</f>
        <v>4.4021739130434782E-3</v>
      </c>
      <c r="U143" s="14">
        <f t="shared" si="41"/>
        <v>6.7499999999999999E-3</v>
      </c>
      <c r="V143" s="59">
        <v>0</v>
      </c>
      <c r="W143" s="59">
        <v>0</v>
      </c>
      <c r="X143" s="59">
        <v>350000000</v>
      </c>
      <c r="Y143" s="59">
        <v>600000000</v>
      </c>
      <c r="Z143" s="63">
        <f t="shared" si="92"/>
        <v>950000000</v>
      </c>
    </row>
    <row r="144" spans="2:26" ht="60" x14ac:dyDescent="0.2">
      <c r="B144" s="192"/>
      <c r="C144" s="189"/>
      <c r="D144" s="206"/>
      <c r="E144" s="180"/>
      <c r="F144" s="186"/>
      <c r="G144" s="182"/>
      <c r="H144" s="136" t="s">
        <v>109</v>
      </c>
      <c r="I144" s="136" t="s">
        <v>630</v>
      </c>
      <c r="J144" s="9" t="s">
        <v>631</v>
      </c>
      <c r="K144" s="131">
        <v>0.2</v>
      </c>
      <c r="L144" s="133">
        <v>1</v>
      </c>
      <c r="M144" s="133">
        <v>1</v>
      </c>
      <c r="N144" s="133">
        <v>1</v>
      </c>
      <c r="O144" s="133">
        <v>1</v>
      </c>
      <c r="P144" s="45"/>
      <c r="Q144" s="14">
        <f>+$C$106*$E$142*$G$142*K144*(1/4)</f>
        <v>1.1249999999999999E-3</v>
      </c>
      <c r="R144" s="14">
        <f>+$C$106*$E$142*$G$142*K144*(1/4)</f>
        <v>1.1249999999999999E-3</v>
      </c>
      <c r="S144" s="14">
        <f>+$C$106*$E$142*$G$142*K144*(1/4)</f>
        <v>1.1249999999999999E-3</v>
      </c>
      <c r="T144" s="14">
        <f>+$C$106*$E$142*$G$142*K144*(1/4)</f>
        <v>1.1249999999999999E-3</v>
      </c>
      <c r="U144" s="14">
        <f t="shared" ref="U144:U146" si="101">+Q144+R144+S144+T144</f>
        <v>4.4999999999999997E-3</v>
      </c>
      <c r="V144" s="59">
        <v>100000000</v>
      </c>
      <c r="W144" s="59">
        <v>100000000</v>
      </c>
      <c r="X144" s="59">
        <v>100000000</v>
      </c>
      <c r="Y144" s="59">
        <v>100000000</v>
      </c>
      <c r="Z144" s="63">
        <f t="shared" si="92"/>
        <v>400000000</v>
      </c>
    </row>
    <row r="145" spans="2:26" ht="60" x14ac:dyDescent="0.2">
      <c r="B145" s="192"/>
      <c r="C145" s="189"/>
      <c r="D145" s="206"/>
      <c r="E145" s="180"/>
      <c r="F145" s="186"/>
      <c r="G145" s="182"/>
      <c r="H145" s="136" t="s">
        <v>110</v>
      </c>
      <c r="I145" s="136" t="s">
        <v>632</v>
      </c>
      <c r="J145" s="48" t="s">
        <v>633</v>
      </c>
      <c r="K145" s="131">
        <v>0.2</v>
      </c>
      <c r="L145" s="123">
        <v>23</v>
      </c>
      <c r="M145" s="123">
        <v>23</v>
      </c>
      <c r="N145" s="123">
        <v>23</v>
      </c>
      <c r="O145" s="123">
        <v>23</v>
      </c>
      <c r="P145" s="45"/>
      <c r="Q145" s="14">
        <f>+$C$106*$E$142*$G$142*K145*(1/4)</f>
        <v>1.1249999999999999E-3</v>
      </c>
      <c r="R145" s="14">
        <f>+$C$106*$E$142*$G$142*K145*(1/4)</f>
        <v>1.1249999999999999E-3</v>
      </c>
      <c r="S145" s="14">
        <f>+$C$106*$E$142*$G$142*K145*(1/4)</f>
        <v>1.1249999999999999E-3</v>
      </c>
      <c r="T145" s="14">
        <f>+$C$106*$E$142*$G$142*K145*(1/4)</f>
        <v>1.1249999999999999E-3</v>
      </c>
      <c r="U145" s="14">
        <f t="shared" si="101"/>
        <v>4.4999999999999997E-3</v>
      </c>
      <c r="V145" s="59">
        <v>200000000</v>
      </c>
      <c r="W145" s="59">
        <v>100000000</v>
      </c>
      <c r="X145" s="59">
        <v>100000000</v>
      </c>
      <c r="Y145" s="59">
        <v>100000000</v>
      </c>
      <c r="Z145" s="63">
        <f t="shared" si="92"/>
        <v>500000000</v>
      </c>
    </row>
    <row r="146" spans="2:26" ht="61" thickBot="1" x14ac:dyDescent="0.25">
      <c r="B146" s="205"/>
      <c r="C146" s="204"/>
      <c r="D146" s="130" t="s">
        <v>138</v>
      </c>
      <c r="E146" s="119">
        <v>0.15</v>
      </c>
      <c r="F146" s="134" t="s">
        <v>126</v>
      </c>
      <c r="G146" s="120">
        <v>1</v>
      </c>
      <c r="H146" s="138" t="s">
        <v>665</v>
      </c>
      <c r="I146" s="138" t="s">
        <v>634</v>
      </c>
      <c r="J146" s="137" t="s">
        <v>635</v>
      </c>
      <c r="K146" s="135">
        <v>1</v>
      </c>
      <c r="L146" s="125">
        <v>0</v>
      </c>
      <c r="M146" s="125">
        <v>0</v>
      </c>
      <c r="N146" s="125">
        <v>1</v>
      </c>
      <c r="O146" s="125">
        <v>1</v>
      </c>
      <c r="P146" s="121">
        <f t="shared" si="71"/>
        <v>2</v>
      </c>
      <c r="Q146" s="58">
        <f>+$C$106*$E$146*$G$146*K146*(L146/P146)</f>
        <v>0</v>
      </c>
      <c r="R146" s="58">
        <f>+$C$106*$E$146*$G$146*K146*(M146/P146)</f>
        <v>0</v>
      </c>
      <c r="S146" s="58">
        <f>+$C$106*$E$146*$G$146*K146*(N146/P146)</f>
        <v>1.125E-2</v>
      </c>
      <c r="T146" s="58">
        <f>+$C$106*$E$146*$G$146*K146*(O146/P146)</f>
        <v>1.125E-2</v>
      </c>
      <c r="U146" s="58">
        <f t="shared" si="101"/>
        <v>2.2499999999999999E-2</v>
      </c>
      <c r="V146" s="60">
        <v>0</v>
      </c>
      <c r="W146" s="60">
        <v>0</v>
      </c>
      <c r="X146" s="60">
        <v>1750000000</v>
      </c>
      <c r="Y146" s="60">
        <v>1750000000</v>
      </c>
      <c r="Z146" s="71">
        <f t="shared" si="92"/>
        <v>3500000000</v>
      </c>
    </row>
    <row r="147" spans="2:26" ht="24" x14ac:dyDescent="0.2">
      <c r="B147" s="191" t="s">
        <v>216</v>
      </c>
      <c r="C147" s="188">
        <v>0.15</v>
      </c>
      <c r="D147" s="196" t="s">
        <v>206</v>
      </c>
      <c r="E147" s="195">
        <v>0.1</v>
      </c>
      <c r="F147" s="203" t="s">
        <v>194</v>
      </c>
      <c r="G147" s="201">
        <v>1</v>
      </c>
      <c r="H147" s="1" t="s">
        <v>140</v>
      </c>
      <c r="I147" s="1" t="s">
        <v>272</v>
      </c>
      <c r="J147" s="147" t="s">
        <v>273</v>
      </c>
      <c r="K147" s="20">
        <v>0.1</v>
      </c>
      <c r="L147" s="126">
        <v>0</v>
      </c>
      <c r="M147" s="122">
        <v>1</v>
      </c>
      <c r="N147" s="122">
        <v>0</v>
      </c>
      <c r="O147" s="122">
        <v>0</v>
      </c>
      <c r="P147" s="24">
        <f>+L147+M147+N147+O147</f>
        <v>1</v>
      </c>
      <c r="Q147" s="25">
        <f>+$C$147*$E$147*$G$147*K147*(L147/P147)</f>
        <v>0</v>
      </c>
      <c r="R147" s="25">
        <f>+$C$147*$E$147*$G$147*K147*(M147/P147)</f>
        <v>1.5E-3</v>
      </c>
      <c r="S147" s="25">
        <f>+$C$147*$E$147*$G$147*K147*(N147/P147)</f>
        <v>0</v>
      </c>
      <c r="T147" s="25">
        <f>+$C$147*$E$147*$G$147*K147*(O147/P147)</f>
        <v>0</v>
      </c>
      <c r="U147" s="25">
        <f>+Q147+R147+S147+T147</f>
        <v>1.5E-3</v>
      </c>
      <c r="V147" s="61">
        <v>0</v>
      </c>
      <c r="W147" s="61">
        <v>100000000</v>
      </c>
      <c r="X147" s="61">
        <v>0</v>
      </c>
      <c r="Y147" s="61">
        <v>0</v>
      </c>
      <c r="Z147" s="62">
        <f t="shared" si="92"/>
        <v>100000000</v>
      </c>
    </row>
    <row r="148" spans="2:26" ht="36" x14ac:dyDescent="0.2">
      <c r="B148" s="192"/>
      <c r="C148" s="189"/>
      <c r="D148" s="179"/>
      <c r="E148" s="180"/>
      <c r="F148" s="186"/>
      <c r="G148" s="182"/>
      <c r="H148" s="136" t="s">
        <v>141</v>
      </c>
      <c r="I148" s="136" t="s">
        <v>274</v>
      </c>
      <c r="J148" s="10" t="s">
        <v>275</v>
      </c>
      <c r="K148" s="131">
        <v>0.1</v>
      </c>
      <c r="L148" s="123">
        <v>3</v>
      </c>
      <c r="M148" s="16">
        <v>4</v>
      </c>
      <c r="N148" s="16">
        <v>4</v>
      </c>
      <c r="O148" s="16">
        <v>4</v>
      </c>
      <c r="P148" s="7">
        <f t="shared" ref="P148:P199" si="102">+L148+M148+N148+O148</f>
        <v>15</v>
      </c>
      <c r="Q148" s="14">
        <f t="shared" ref="Q148:Q150" si="103">+$C$147*$E$147*$G$147*K148*(L148/P148)</f>
        <v>3.0000000000000003E-4</v>
      </c>
      <c r="R148" s="14">
        <f t="shared" ref="R148:R150" si="104">+$C$147*$E$147*$G$147*K148*(M148/P148)</f>
        <v>4.0000000000000002E-4</v>
      </c>
      <c r="S148" s="14">
        <f t="shared" ref="S148:S150" si="105">+$C$147*$E$147*$G$147*K148*(N148/P148)</f>
        <v>4.0000000000000002E-4</v>
      </c>
      <c r="T148" s="14">
        <f t="shared" ref="T148:T150" si="106">+$C$147*$E$147*$G$147*K148*(O148/P148)</f>
        <v>4.0000000000000002E-4</v>
      </c>
      <c r="U148" s="14">
        <f t="shared" ref="U148:U199" si="107">+Q148+R148+S148+T148</f>
        <v>1.5E-3</v>
      </c>
      <c r="V148" s="59">
        <v>30000000</v>
      </c>
      <c r="W148" s="59">
        <v>30000000</v>
      </c>
      <c r="X148" s="59">
        <v>30000000</v>
      </c>
      <c r="Y148" s="59">
        <v>30000000</v>
      </c>
      <c r="Z148" s="63">
        <f t="shared" si="92"/>
        <v>120000000</v>
      </c>
    </row>
    <row r="149" spans="2:26" ht="48" x14ac:dyDescent="0.2">
      <c r="B149" s="192"/>
      <c r="C149" s="189"/>
      <c r="D149" s="179"/>
      <c r="E149" s="180"/>
      <c r="F149" s="186"/>
      <c r="G149" s="182"/>
      <c r="H149" s="136" t="s">
        <v>142</v>
      </c>
      <c r="I149" s="136" t="s">
        <v>276</v>
      </c>
      <c r="J149" s="9" t="s">
        <v>277</v>
      </c>
      <c r="K149" s="131">
        <v>0.4</v>
      </c>
      <c r="L149" s="124">
        <v>0.9</v>
      </c>
      <c r="M149" s="124">
        <v>0.9</v>
      </c>
      <c r="N149" s="124">
        <v>0.9</v>
      </c>
      <c r="O149" s="124">
        <v>0.9</v>
      </c>
      <c r="P149" s="7"/>
      <c r="Q149" s="14">
        <f>+$C$147*$E$147*$G$147*K149*(1/4)</f>
        <v>1.5E-3</v>
      </c>
      <c r="R149" s="14">
        <f>+$C$147*$E$147*$G$147*K149*(1/4)</f>
        <v>1.5E-3</v>
      </c>
      <c r="S149" s="14">
        <f>+$C$147*$E$147*$G$147*K149*(1/4)</f>
        <v>1.5E-3</v>
      </c>
      <c r="T149" s="14">
        <f>+$C$147*$E$147*$G$147*K149*(1/4)</f>
        <v>1.5E-3</v>
      </c>
      <c r="U149" s="14">
        <f t="shared" si="107"/>
        <v>6.0000000000000001E-3</v>
      </c>
      <c r="V149" s="59">
        <v>150000000</v>
      </c>
      <c r="W149" s="59">
        <v>300000000</v>
      </c>
      <c r="X149" s="59">
        <v>300000000</v>
      </c>
      <c r="Y149" s="59">
        <v>300000000</v>
      </c>
      <c r="Z149" s="63">
        <f t="shared" si="92"/>
        <v>1050000000</v>
      </c>
    </row>
    <row r="150" spans="2:26" ht="24" x14ac:dyDescent="0.2">
      <c r="B150" s="192"/>
      <c r="C150" s="189"/>
      <c r="D150" s="179"/>
      <c r="E150" s="180"/>
      <c r="F150" s="186"/>
      <c r="G150" s="182"/>
      <c r="H150" s="136" t="s">
        <v>687</v>
      </c>
      <c r="I150" s="136" t="s">
        <v>685</v>
      </c>
      <c r="J150" s="9" t="s">
        <v>686</v>
      </c>
      <c r="K150" s="131">
        <v>0.4</v>
      </c>
      <c r="L150" s="123">
        <v>10</v>
      </c>
      <c r="M150" s="123">
        <v>10</v>
      </c>
      <c r="N150" s="123">
        <v>10</v>
      </c>
      <c r="O150" s="123">
        <v>10</v>
      </c>
      <c r="P150" s="7">
        <f t="shared" si="102"/>
        <v>40</v>
      </c>
      <c r="Q150" s="14">
        <f t="shared" si="103"/>
        <v>1.5E-3</v>
      </c>
      <c r="R150" s="14">
        <f t="shared" si="104"/>
        <v>1.5E-3</v>
      </c>
      <c r="S150" s="14">
        <f t="shared" si="105"/>
        <v>1.5E-3</v>
      </c>
      <c r="T150" s="14">
        <f t="shared" si="106"/>
        <v>1.5E-3</v>
      </c>
      <c r="U150" s="14">
        <f t="shared" si="107"/>
        <v>6.0000000000000001E-3</v>
      </c>
      <c r="V150" s="59">
        <v>250000000</v>
      </c>
      <c r="W150" s="59">
        <v>250000000</v>
      </c>
      <c r="X150" s="59">
        <v>250000000</v>
      </c>
      <c r="Y150" s="59">
        <v>250000000</v>
      </c>
      <c r="Z150" s="63">
        <f t="shared" si="92"/>
        <v>1000000000</v>
      </c>
    </row>
    <row r="151" spans="2:26" ht="60" x14ac:dyDescent="0.2">
      <c r="B151" s="192"/>
      <c r="C151" s="189"/>
      <c r="D151" s="179" t="s">
        <v>207</v>
      </c>
      <c r="E151" s="180">
        <v>0.1</v>
      </c>
      <c r="F151" s="186" t="s">
        <v>189</v>
      </c>
      <c r="G151" s="182">
        <v>0.8</v>
      </c>
      <c r="H151" s="136" t="s">
        <v>143</v>
      </c>
      <c r="I151" s="37" t="s">
        <v>278</v>
      </c>
      <c r="J151" s="9" t="s">
        <v>279</v>
      </c>
      <c r="K151" s="131">
        <v>0.2</v>
      </c>
      <c r="L151" s="123">
        <v>1</v>
      </c>
      <c r="M151" s="123">
        <v>1</v>
      </c>
      <c r="N151" s="17">
        <v>1</v>
      </c>
      <c r="O151" s="17">
        <v>1</v>
      </c>
      <c r="P151" s="7">
        <f t="shared" si="102"/>
        <v>4</v>
      </c>
      <c r="Q151" s="14">
        <f>+$C$147*$E$151*$G$151*K151*(L151/P151)</f>
        <v>6.0000000000000006E-4</v>
      </c>
      <c r="R151" s="14">
        <f>+$C$147*$E$151*$G$151*K151*(M151/P151)</f>
        <v>6.0000000000000006E-4</v>
      </c>
      <c r="S151" s="14">
        <f>+$C$147*$E$151*$G$151*K151*(N151/P151)</f>
        <v>6.0000000000000006E-4</v>
      </c>
      <c r="T151" s="14">
        <f>+$C$147*$E$151*$G$151*K151*(O151/P151)</f>
        <v>6.0000000000000006E-4</v>
      </c>
      <c r="U151" s="14">
        <f t="shared" si="107"/>
        <v>2.4000000000000002E-3</v>
      </c>
      <c r="V151" s="59">
        <v>50000000</v>
      </c>
      <c r="W151" s="59">
        <v>50000000</v>
      </c>
      <c r="X151" s="59">
        <v>50000000</v>
      </c>
      <c r="Y151" s="59">
        <v>50000000</v>
      </c>
      <c r="Z151" s="63">
        <f t="shared" si="92"/>
        <v>200000000</v>
      </c>
    </row>
    <row r="152" spans="2:26" ht="36" x14ac:dyDescent="0.2">
      <c r="B152" s="192"/>
      <c r="C152" s="189"/>
      <c r="D152" s="179"/>
      <c r="E152" s="180"/>
      <c r="F152" s="186"/>
      <c r="G152" s="182"/>
      <c r="H152" s="136" t="s">
        <v>144</v>
      </c>
      <c r="I152" s="37" t="s">
        <v>666</v>
      </c>
      <c r="J152" s="9" t="s">
        <v>280</v>
      </c>
      <c r="K152" s="131">
        <v>0.15</v>
      </c>
      <c r="L152" s="123">
        <v>1</v>
      </c>
      <c r="M152" s="123">
        <v>0</v>
      </c>
      <c r="N152" s="17">
        <v>0</v>
      </c>
      <c r="O152" s="17">
        <v>0</v>
      </c>
      <c r="P152" s="7">
        <f t="shared" si="102"/>
        <v>1</v>
      </c>
      <c r="Q152" s="14">
        <f t="shared" ref="Q152:Q157" si="108">+$C$147*$E$151*$G$151*K152*(L152/P152)</f>
        <v>1.8E-3</v>
      </c>
      <c r="R152" s="14">
        <f t="shared" ref="R152:R157" si="109">+$C$147*$E$151*$G$151*K152*(M152/P152)</f>
        <v>0</v>
      </c>
      <c r="S152" s="14">
        <f t="shared" ref="S152:S157" si="110">+$C$147*$E$151*$G$151*K152*(N152/P152)</f>
        <v>0</v>
      </c>
      <c r="T152" s="14">
        <f t="shared" ref="T152:T157" si="111">+$C$147*$E$151*$G$151*K152*(O152/P152)</f>
        <v>0</v>
      </c>
      <c r="U152" s="14">
        <f t="shared" si="107"/>
        <v>1.8E-3</v>
      </c>
      <c r="V152" s="168">
        <v>80000000</v>
      </c>
      <c r="W152" s="168">
        <v>40000000</v>
      </c>
      <c r="X152" s="168">
        <v>80000000</v>
      </c>
      <c r="Y152" s="168">
        <v>40000000</v>
      </c>
      <c r="Z152" s="162">
        <f t="shared" si="92"/>
        <v>240000000</v>
      </c>
    </row>
    <row r="153" spans="2:26" ht="96" x14ac:dyDescent="0.2">
      <c r="B153" s="192"/>
      <c r="C153" s="189"/>
      <c r="D153" s="179"/>
      <c r="E153" s="180"/>
      <c r="F153" s="186"/>
      <c r="G153" s="182"/>
      <c r="H153" s="136" t="s">
        <v>145</v>
      </c>
      <c r="I153" s="37" t="s">
        <v>281</v>
      </c>
      <c r="J153" s="9" t="s">
        <v>282</v>
      </c>
      <c r="K153" s="131">
        <v>0.15</v>
      </c>
      <c r="L153" s="123">
        <v>1</v>
      </c>
      <c r="M153" s="123">
        <v>0</v>
      </c>
      <c r="N153" s="17">
        <v>1</v>
      </c>
      <c r="O153" s="17">
        <v>0</v>
      </c>
      <c r="P153" s="7">
        <f t="shared" si="102"/>
        <v>2</v>
      </c>
      <c r="Q153" s="14">
        <f t="shared" si="108"/>
        <v>8.9999999999999998E-4</v>
      </c>
      <c r="R153" s="14">
        <f t="shared" si="109"/>
        <v>0</v>
      </c>
      <c r="S153" s="14">
        <f t="shared" si="110"/>
        <v>8.9999999999999998E-4</v>
      </c>
      <c r="T153" s="14">
        <f t="shared" si="111"/>
        <v>0</v>
      </c>
      <c r="U153" s="14">
        <f t="shared" si="107"/>
        <v>1.8E-3</v>
      </c>
      <c r="V153" s="168"/>
      <c r="W153" s="168"/>
      <c r="X153" s="168"/>
      <c r="Y153" s="168"/>
      <c r="Z153" s="162"/>
    </row>
    <row r="154" spans="2:26" ht="72" x14ac:dyDescent="0.2">
      <c r="B154" s="192"/>
      <c r="C154" s="189"/>
      <c r="D154" s="179"/>
      <c r="E154" s="180"/>
      <c r="F154" s="186"/>
      <c r="G154" s="182"/>
      <c r="H154" s="136" t="s">
        <v>146</v>
      </c>
      <c r="I154" s="37" t="s">
        <v>659</v>
      </c>
      <c r="J154" s="9" t="s">
        <v>283</v>
      </c>
      <c r="K154" s="131">
        <v>0.15</v>
      </c>
      <c r="L154" s="123">
        <v>1</v>
      </c>
      <c r="M154" s="123">
        <v>0</v>
      </c>
      <c r="N154" s="17">
        <v>1</v>
      </c>
      <c r="O154" s="17">
        <v>1</v>
      </c>
      <c r="P154" s="7">
        <f t="shared" si="102"/>
        <v>3</v>
      </c>
      <c r="Q154" s="14">
        <f t="shared" si="108"/>
        <v>5.9999999999999995E-4</v>
      </c>
      <c r="R154" s="14">
        <f t="shared" si="109"/>
        <v>0</v>
      </c>
      <c r="S154" s="14">
        <f t="shared" si="110"/>
        <v>5.9999999999999995E-4</v>
      </c>
      <c r="T154" s="14">
        <f t="shared" si="111"/>
        <v>5.9999999999999995E-4</v>
      </c>
      <c r="U154" s="14">
        <f t="shared" si="107"/>
        <v>1.8E-3</v>
      </c>
      <c r="V154" s="168"/>
      <c r="W154" s="168"/>
      <c r="X154" s="168"/>
      <c r="Y154" s="168"/>
      <c r="Z154" s="162"/>
    </row>
    <row r="155" spans="2:26" ht="108" x14ac:dyDescent="0.2">
      <c r="B155" s="192"/>
      <c r="C155" s="189"/>
      <c r="D155" s="179"/>
      <c r="E155" s="180"/>
      <c r="F155" s="186"/>
      <c r="G155" s="182"/>
      <c r="H155" s="136" t="s">
        <v>147</v>
      </c>
      <c r="I155" s="37" t="s">
        <v>284</v>
      </c>
      <c r="J155" s="9" t="s">
        <v>285</v>
      </c>
      <c r="K155" s="131">
        <v>0.15</v>
      </c>
      <c r="L155" s="123">
        <v>1</v>
      </c>
      <c r="M155" s="123">
        <v>1</v>
      </c>
      <c r="N155" s="17">
        <v>1</v>
      </c>
      <c r="O155" s="17">
        <v>1</v>
      </c>
      <c r="P155" s="7">
        <f t="shared" si="102"/>
        <v>4</v>
      </c>
      <c r="Q155" s="14">
        <f t="shared" si="108"/>
        <v>4.4999999999999999E-4</v>
      </c>
      <c r="R155" s="14">
        <f t="shared" si="109"/>
        <v>4.4999999999999999E-4</v>
      </c>
      <c r="S155" s="14">
        <f t="shared" si="110"/>
        <v>4.4999999999999999E-4</v>
      </c>
      <c r="T155" s="14">
        <f t="shared" si="111"/>
        <v>4.4999999999999999E-4</v>
      </c>
      <c r="U155" s="14">
        <f t="shared" si="107"/>
        <v>1.8E-3</v>
      </c>
      <c r="V155" s="59">
        <v>200000000</v>
      </c>
      <c r="W155" s="59">
        <v>150000000</v>
      </c>
      <c r="X155" s="59">
        <v>150000000</v>
      </c>
      <c r="Y155" s="59">
        <v>150000000</v>
      </c>
      <c r="Z155" s="63">
        <f t="shared" si="92"/>
        <v>650000000</v>
      </c>
    </row>
    <row r="156" spans="2:26" ht="48" x14ac:dyDescent="0.2">
      <c r="B156" s="192"/>
      <c r="C156" s="189"/>
      <c r="D156" s="179"/>
      <c r="E156" s="180"/>
      <c r="F156" s="186"/>
      <c r="G156" s="182"/>
      <c r="H156" s="136" t="s">
        <v>148</v>
      </c>
      <c r="I156" s="37" t="s">
        <v>286</v>
      </c>
      <c r="J156" s="9" t="s">
        <v>273</v>
      </c>
      <c r="K156" s="131">
        <v>0.1</v>
      </c>
      <c r="L156" s="123">
        <v>0</v>
      </c>
      <c r="M156" s="123">
        <v>1</v>
      </c>
      <c r="N156" s="17">
        <v>0</v>
      </c>
      <c r="O156" s="17">
        <v>1</v>
      </c>
      <c r="P156" s="7">
        <f t="shared" si="102"/>
        <v>2</v>
      </c>
      <c r="Q156" s="14">
        <f t="shared" si="108"/>
        <v>0</v>
      </c>
      <c r="R156" s="14">
        <f t="shared" si="109"/>
        <v>6.0000000000000006E-4</v>
      </c>
      <c r="S156" s="14">
        <f t="shared" si="110"/>
        <v>0</v>
      </c>
      <c r="T156" s="14">
        <f t="shared" si="111"/>
        <v>6.0000000000000006E-4</v>
      </c>
      <c r="U156" s="14">
        <f t="shared" si="107"/>
        <v>1.2000000000000001E-3</v>
      </c>
      <c r="V156" s="59">
        <v>0</v>
      </c>
      <c r="W156" s="59">
        <v>40000000</v>
      </c>
      <c r="X156" s="59">
        <v>0</v>
      </c>
      <c r="Y156" s="59">
        <v>40000000</v>
      </c>
      <c r="Z156" s="63">
        <f t="shared" si="92"/>
        <v>80000000</v>
      </c>
    </row>
    <row r="157" spans="2:26" ht="48" x14ac:dyDescent="0.2">
      <c r="B157" s="192"/>
      <c r="C157" s="189"/>
      <c r="D157" s="179"/>
      <c r="E157" s="180"/>
      <c r="F157" s="186"/>
      <c r="G157" s="182"/>
      <c r="H157" s="136" t="s">
        <v>149</v>
      </c>
      <c r="I157" s="37" t="s">
        <v>287</v>
      </c>
      <c r="J157" s="9" t="s">
        <v>288</v>
      </c>
      <c r="K157" s="131">
        <v>0.1</v>
      </c>
      <c r="L157" s="123">
        <v>1</v>
      </c>
      <c r="M157" s="123">
        <v>1</v>
      </c>
      <c r="N157" s="123">
        <v>1</v>
      </c>
      <c r="O157" s="123">
        <v>1</v>
      </c>
      <c r="P157" s="7">
        <f t="shared" si="102"/>
        <v>4</v>
      </c>
      <c r="Q157" s="14">
        <f t="shared" si="108"/>
        <v>3.0000000000000003E-4</v>
      </c>
      <c r="R157" s="14">
        <f t="shared" si="109"/>
        <v>3.0000000000000003E-4</v>
      </c>
      <c r="S157" s="14">
        <f t="shared" si="110"/>
        <v>3.0000000000000003E-4</v>
      </c>
      <c r="T157" s="14">
        <f t="shared" si="111"/>
        <v>3.0000000000000003E-4</v>
      </c>
      <c r="U157" s="14">
        <f t="shared" si="107"/>
        <v>1.2000000000000001E-3</v>
      </c>
      <c r="V157" s="59">
        <v>20000000</v>
      </c>
      <c r="W157" s="59">
        <v>20000000</v>
      </c>
      <c r="X157" s="59">
        <v>20000000</v>
      </c>
      <c r="Y157" s="59">
        <v>20000000</v>
      </c>
      <c r="Z157" s="63">
        <f t="shared" si="92"/>
        <v>80000000</v>
      </c>
    </row>
    <row r="158" spans="2:26" ht="36" x14ac:dyDescent="0.2">
      <c r="B158" s="192"/>
      <c r="C158" s="189"/>
      <c r="D158" s="179"/>
      <c r="E158" s="180"/>
      <c r="F158" s="127" t="s">
        <v>217</v>
      </c>
      <c r="G158" s="133">
        <v>0.2</v>
      </c>
      <c r="H158" s="136" t="s">
        <v>150</v>
      </c>
      <c r="I158" s="37" t="s">
        <v>289</v>
      </c>
      <c r="J158" s="9" t="s">
        <v>290</v>
      </c>
      <c r="K158" s="149">
        <v>1</v>
      </c>
      <c r="L158" s="151">
        <v>1</v>
      </c>
      <c r="M158" s="151">
        <v>1</v>
      </c>
      <c r="N158" s="152">
        <v>1</v>
      </c>
      <c r="O158" s="17">
        <v>1</v>
      </c>
      <c r="P158" s="7">
        <f t="shared" si="102"/>
        <v>4</v>
      </c>
      <c r="Q158" s="14">
        <f>+$C$147*$E$151*$G$158*K158*(L158/P158)</f>
        <v>7.5000000000000002E-4</v>
      </c>
      <c r="R158" s="14">
        <f>+$C$147*$E$151*$G$158*K158*(M158/P158)</f>
        <v>7.5000000000000002E-4</v>
      </c>
      <c r="S158" s="14">
        <f>+$C$147*$E$151*$G$158*K158*(N158/P158)</f>
        <v>7.5000000000000002E-4</v>
      </c>
      <c r="T158" s="14">
        <f>+$C$147*$E$151*$G$158*K158*(O158/P158)</f>
        <v>7.5000000000000002E-4</v>
      </c>
      <c r="U158" s="14">
        <f t="shared" si="107"/>
        <v>3.0000000000000001E-3</v>
      </c>
      <c r="V158" s="59">
        <v>80000000</v>
      </c>
      <c r="W158" s="59">
        <v>80000000</v>
      </c>
      <c r="X158" s="59">
        <v>80000000</v>
      </c>
      <c r="Y158" s="59">
        <v>80000000</v>
      </c>
      <c r="Z158" s="63">
        <f t="shared" si="92"/>
        <v>320000000</v>
      </c>
    </row>
    <row r="159" spans="2:26" ht="36" x14ac:dyDescent="0.2">
      <c r="B159" s="192"/>
      <c r="C159" s="189"/>
      <c r="D159" s="179" t="s">
        <v>208</v>
      </c>
      <c r="E159" s="180">
        <v>0.1</v>
      </c>
      <c r="F159" s="186" t="s">
        <v>195</v>
      </c>
      <c r="G159" s="182">
        <v>0.2</v>
      </c>
      <c r="H159" s="136" t="s">
        <v>151</v>
      </c>
      <c r="I159" s="37" t="s">
        <v>291</v>
      </c>
      <c r="J159" s="10" t="s">
        <v>292</v>
      </c>
      <c r="K159" s="149">
        <v>0.4</v>
      </c>
      <c r="L159" s="151">
        <v>0</v>
      </c>
      <c r="M159" s="151">
        <v>1</v>
      </c>
      <c r="N159" s="152">
        <v>0</v>
      </c>
      <c r="O159" s="17">
        <v>0</v>
      </c>
      <c r="P159" s="7">
        <f t="shared" si="102"/>
        <v>1</v>
      </c>
      <c r="Q159" s="14">
        <f>+$C$147*$E$159*$G$159*K159*(L159/P159)</f>
        <v>0</v>
      </c>
      <c r="R159" s="14">
        <f>+$C$147*$E$159*$G$159*K159*(M159/P159)</f>
        <v>1.2000000000000001E-3</v>
      </c>
      <c r="S159" s="14">
        <f>+$C$147*$E$159*$G$159*K159*(N159/P159)</f>
        <v>0</v>
      </c>
      <c r="T159" s="14">
        <f>+$C$147*$E$159*$G$159*K159*(O159/P159)</f>
        <v>0</v>
      </c>
      <c r="U159" s="14">
        <f t="shared" si="107"/>
        <v>1.2000000000000001E-3</v>
      </c>
      <c r="V159" s="167">
        <v>32500000</v>
      </c>
      <c r="W159" s="167">
        <v>172500000</v>
      </c>
      <c r="X159" s="167">
        <v>122500000</v>
      </c>
      <c r="Y159" s="167">
        <v>122500000</v>
      </c>
      <c r="Z159" s="162">
        <f t="shared" si="92"/>
        <v>450000000</v>
      </c>
    </row>
    <row r="160" spans="2:26" ht="24" x14ac:dyDescent="0.2">
      <c r="B160" s="192"/>
      <c r="C160" s="189"/>
      <c r="D160" s="179"/>
      <c r="E160" s="180"/>
      <c r="F160" s="186"/>
      <c r="G160" s="182"/>
      <c r="H160" s="136" t="s">
        <v>152</v>
      </c>
      <c r="I160" s="136" t="s">
        <v>293</v>
      </c>
      <c r="J160" s="9" t="s">
        <v>294</v>
      </c>
      <c r="K160" s="149">
        <v>0.3</v>
      </c>
      <c r="L160" s="151">
        <v>0</v>
      </c>
      <c r="M160" s="27">
        <v>1</v>
      </c>
      <c r="N160" s="28">
        <v>1</v>
      </c>
      <c r="O160" s="18">
        <v>1</v>
      </c>
      <c r="P160" s="7"/>
      <c r="Q160" s="14">
        <f>+$C$147*$E$159*$G$159*K160*(L160/3)</f>
        <v>0</v>
      </c>
      <c r="R160" s="14">
        <f>+$C$147*$E$159*$G$159*K160*(1/3)</f>
        <v>2.9999999999999997E-4</v>
      </c>
      <c r="S160" s="14">
        <f>+$C$147*$E$159*$G$159*K160*(1/3)</f>
        <v>2.9999999999999997E-4</v>
      </c>
      <c r="T160" s="14">
        <f>+$C$147*$E$159*$G$159*K160*(1/3)</f>
        <v>2.9999999999999997E-4</v>
      </c>
      <c r="U160" s="14">
        <f t="shared" si="107"/>
        <v>8.9999999999999998E-4</v>
      </c>
      <c r="V160" s="167"/>
      <c r="W160" s="167"/>
      <c r="X160" s="167"/>
      <c r="Y160" s="167"/>
      <c r="Z160" s="162"/>
    </row>
    <row r="161" spans="2:26" ht="36" x14ac:dyDescent="0.2">
      <c r="B161" s="192"/>
      <c r="C161" s="189"/>
      <c r="D161" s="179"/>
      <c r="E161" s="180"/>
      <c r="F161" s="186"/>
      <c r="G161" s="182"/>
      <c r="H161" s="136" t="s">
        <v>153</v>
      </c>
      <c r="I161" s="37" t="s">
        <v>295</v>
      </c>
      <c r="J161" s="10" t="s">
        <v>296</v>
      </c>
      <c r="K161" s="149">
        <v>0.3</v>
      </c>
      <c r="L161" s="151">
        <v>0</v>
      </c>
      <c r="M161" s="151">
        <v>0</v>
      </c>
      <c r="N161" s="152">
        <v>1</v>
      </c>
      <c r="O161" s="17">
        <v>1</v>
      </c>
      <c r="P161" s="7">
        <f t="shared" si="102"/>
        <v>2</v>
      </c>
      <c r="Q161" s="14">
        <f t="shared" ref="Q161" si="112">+$C$147*$E$159*$G$159*K161*(L161/P161)</f>
        <v>0</v>
      </c>
      <c r="R161" s="14">
        <f t="shared" ref="R161" si="113">+$C$147*$E$159*$G$159*K161*(M161/P161)</f>
        <v>0</v>
      </c>
      <c r="S161" s="14">
        <f t="shared" ref="S161" si="114">+$C$147*$E$159*$G$159*K161*(N161/P161)</f>
        <v>4.4999999999999999E-4</v>
      </c>
      <c r="T161" s="14">
        <f t="shared" ref="T161" si="115">+$C$147*$E$159*$G$159*K161*(O161/P161)</f>
        <v>4.4999999999999999E-4</v>
      </c>
      <c r="U161" s="14">
        <f t="shared" si="107"/>
        <v>8.9999999999999998E-4</v>
      </c>
      <c r="V161" s="167"/>
      <c r="W161" s="167"/>
      <c r="X161" s="167"/>
      <c r="Y161" s="167"/>
      <c r="Z161" s="162"/>
    </row>
    <row r="162" spans="2:26" ht="48" x14ac:dyDescent="0.2">
      <c r="B162" s="192"/>
      <c r="C162" s="189"/>
      <c r="D162" s="179"/>
      <c r="E162" s="180"/>
      <c r="F162" s="186" t="s">
        <v>196</v>
      </c>
      <c r="G162" s="182">
        <v>0.8</v>
      </c>
      <c r="H162" s="136" t="s">
        <v>154</v>
      </c>
      <c r="I162" s="37" t="s">
        <v>297</v>
      </c>
      <c r="J162" s="10" t="s">
        <v>298</v>
      </c>
      <c r="K162" s="149">
        <v>0.35</v>
      </c>
      <c r="L162" s="27">
        <v>0.5</v>
      </c>
      <c r="M162" s="27">
        <v>0.4</v>
      </c>
      <c r="N162" s="28">
        <v>0.05</v>
      </c>
      <c r="O162" s="18">
        <v>0.05</v>
      </c>
      <c r="P162" s="8">
        <f>+L162+M162+N162+O162</f>
        <v>1</v>
      </c>
      <c r="Q162" s="14">
        <f>+$C$147*$E$159*$G$162*K162*(L162/P162)</f>
        <v>2.0999999999999999E-3</v>
      </c>
      <c r="R162" s="14">
        <f>+$C$147*$E$159*$G$162*K162*(M162/P162)</f>
        <v>1.6800000000000001E-3</v>
      </c>
      <c r="S162" s="14">
        <f>+$C$147*$E$159*$G$162*K162*(N162/P162)</f>
        <v>2.1000000000000001E-4</v>
      </c>
      <c r="T162" s="14">
        <f>+$C$147*$E$159*$G$162*K162*(O162/P162)</f>
        <v>2.1000000000000001E-4</v>
      </c>
      <c r="U162" s="14">
        <f t="shared" si="107"/>
        <v>4.1999999999999997E-3</v>
      </c>
      <c r="V162" s="59">
        <v>750000000</v>
      </c>
      <c r="W162" s="59">
        <v>750000000</v>
      </c>
      <c r="X162" s="59">
        <v>150000000</v>
      </c>
      <c r="Y162" s="59">
        <v>150000000</v>
      </c>
      <c r="Z162" s="63">
        <f t="shared" si="92"/>
        <v>1800000000</v>
      </c>
    </row>
    <row r="163" spans="2:26" ht="36" x14ac:dyDescent="0.2">
      <c r="B163" s="192"/>
      <c r="C163" s="189"/>
      <c r="D163" s="179"/>
      <c r="E163" s="180"/>
      <c r="F163" s="186"/>
      <c r="G163" s="182"/>
      <c r="H163" s="136" t="s">
        <v>155</v>
      </c>
      <c r="I163" s="37" t="s">
        <v>299</v>
      </c>
      <c r="J163" s="10" t="s">
        <v>300</v>
      </c>
      <c r="K163" s="149">
        <v>0.35</v>
      </c>
      <c r="L163" s="27">
        <v>0.1</v>
      </c>
      <c r="M163" s="27">
        <v>0.2</v>
      </c>
      <c r="N163" s="28">
        <v>0.3</v>
      </c>
      <c r="O163" s="18">
        <v>0.3</v>
      </c>
      <c r="P163" s="8">
        <f>+L163+M163+N163+O163</f>
        <v>0.90000000000000013</v>
      </c>
      <c r="Q163" s="14">
        <f t="shared" ref="Q163:Q165" si="116">+$C$147*$E$159*$G$162*K163*(L163/P163)</f>
        <v>4.6666666666666661E-4</v>
      </c>
      <c r="R163" s="14">
        <f t="shared" ref="R163:R165" si="117">+$C$147*$E$159*$G$162*K163*(M163/P163)</f>
        <v>9.3333333333333322E-4</v>
      </c>
      <c r="S163" s="14">
        <f t="shared" ref="S163:S165" si="118">+$C$147*$E$159*$G$162*K163*(N163/P163)</f>
        <v>1.3999999999999996E-3</v>
      </c>
      <c r="T163" s="14">
        <f t="shared" ref="T163:T165" si="119">+$C$147*$E$159*$G$162*K163*(O163/P163)</f>
        <v>1.3999999999999996E-3</v>
      </c>
      <c r="U163" s="14">
        <f t="shared" si="107"/>
        <v>4.1999999999999989E-3</v>
      </c>
      <c r="V163" s="59">
        <v>200000000</v>
      </c>
      <c r="W163" s="59">
        <v>400000000</v>
      </c>
      <c r="X163" s="59">
        <v>500000000</v>
      </c>
      <c r="Y163" s="59">
        <v>500000000</v>
      </c>
      <c r="Z163" s="63">
        <f t="shared" si="92"/>
        <v>1600000000</v>
      </c>
    </row>
    <row r="164" spans="2:26" ht="60" x14ac:dyDescent="0.2">
      <c r="B164" s="192"/>
      <c r="C164" s="189"/>
      <c r="D164" s="179"/>
      <c r="E164" s="180"/>
      <c r="F164" s="186"/>
      <c r="G164" s="182"/>
      <c r="H164" s="136" t="s">
        <v>156</v>
      </c>
      <c r="I164" s="37" t="s">
        <v>301</v>
      </c>
      <c r="J164" s="10" t="s">
        <v>302</v>
      </c>
      <c r="K164" s="149">
        <v>0.15</v>
      </c>
      <c r="L164" s="27">
        <v>1</v>
      </c>
      <c r="M164" s="27">
        <v>1</v>
      </c>
      <c r="N164" s="28">
        <v>1</v>
      </c>
      <c r="O164" s="18">
        <v>1</v>
      </c>
      <c r="P164" s="7"/>
      <c r="Q164" s="14">
        <f>+$C$147*$E$159*$G$162*K164*(1/4)</f>
        <v>4.4999999999999999E-4</v>
      </c>
      <c r="R164" s="14">
        <f>+$C$147*$E$159*$G$162*K164*(1/4)</f>
        <v>4.4999999999999999E-4</v>
      </c>
      <c r="S164" s="14">
        <f>+$C$147*$E$159*$G$162*K164*(1/4)</f>
        <v>4.4999999999999999E-4</v>
      </c>
      <c r="T164" s="14">
        <f>+$C$147*$E$159*$G$162*K164*(1/4)</f>
        <v>4.4999999999999999E-4</v>
      </c>
      <c r="U164" s="14">
        <f t="shared" si="107"/>
        <v>1.8E-3</v>
      </c>
      <c r="V164" s="161">
        <v>462500000</v>
      </c>
      <c r="W164" s="161">
        <v>462500000</v>
      </c>
      <c r="X164" s="161">
        <v>462500000</v>
      </c>
      <c r="Y164" s="161">
        <v>462500000</v>
      </c>
      <c r="Z164" s="162">
        <f t="shared" si="92"/>
        <v>1850000000</v>
      </c>
    </row>
    <row r="165" spans="2:26" ht="36" x14ac:dyDescent="0.2">
      <c r="B165" s="192"/>
      <c r="C165" s="189"/>
      <c r="D165" s="179"/>
      <c r="E165" s="180"/>
      <c r="F165" s="186"/>
      <c r="G165" s="182"/>
      <c r="H165" s="136" t="s">
        <v>157</v>
      </c>
      <c r="I165" s="37" t="s">
        <v>303</v>
      </c>
      <c r="J165" s="10" t="s">
        <v>304</v>
      </c>
      <c r="K165" s="131">
        <v>0.15</v>
      </c>
      <c r="L165" s="123">
        <v>1</v>
      </c>
      <c r="M165" s="123">
        <v>0</v>
      </c>
      <c r="N165" s="17">
        <v>1</v>
      </c>
      <c r="O165" s="17">
        <v>0</v>
      </c>
      <c r="P165" s="7">
        <f t="shared" si="102"/>
        <v>2</v>
      </c>
      <c r="Q165" s="14">
        <f t="shared" si="116"/>
        <v>8.9999999999999998E-4</v>
      </c>
      <c r="R165" s="14">
        <f t="shared" si="117"/>
        <v>0</v>
      </c>
      <c r="S165" s="14">
        <f t="shared" si="118"/>
        <v>8.9999999999999998E-4</v>
      </c>
      <c r="T165" s="14">
        <f t="shared" si="119"/>
        <v>0</v>
      </c>
      <c r="U165" s="14">
        <f t="shared" si="107"/>
        <v>1.8E-3</v>
      </c>
      <c r="V165" s="161"/>
      <c r="W165" s="161"/>
      <c r="X165" s="161"/>
      <c r="Y165" s="161"/>
      <c r="Z165" s="162"/>
    </row>
    <row r="166" spans="2:26" ht="48" x14ac:dyDescent="0.2">
      <c r="B166" s="192"/>
      <c r="C166" s="189"/>
      <c r="D166" s="179" t="s">
        <v>209</v>
      </c>
      <c r="E166" s="180">
        <v>0.1</v>
      </c>
      <c r="F166" s="186" t="s">
        <v>197</v>
      </c>
      <c r="G166" s="182">
        <v>1</v>
      </c>
      <c r="H166" s="136" t="s">
        <v>158</v>
      </c>
      <c r="I166" s="37" t="s">
        <v>305</v>
      </c>
      <c r="J166" s="9" t="s">
        <v>306</v>
      </c>
      <c r="K166" s="131">
        <v>0.25</v>
      </c>
      <c r="L166" s="16">
        <v>4</v>
      </c>
      <c r="M166" s="16">
        <v>5</v>
      </c>
      <c r="N166" s="16">
        <v>5</v>
      </c>
      <c r="O166" s="16">
        <v>6</v>
      </c>
      <c r="P166" s="7">
        <f t="shared" si="102"/>
        <v>20</v>
      </c>
      <c r="Q166" s="14">
        <f>+$C$147*$E$166*$G$166*K166*(L166/P166)</f>
        <v>7.5000000000000002E-4</v>
      </c>
      <c r="R166" s="14">
        <f>+$C$147*$E$166*$G$166*K166*(M166/P166)</f>
        <v>9.3749999999999997E-4</v>
      </c>
      <c r="S166" s="14">
        <f>+$C$147*$E$166*$G$166*K166*(N166/P166)</f>
        <v>9.3749999999999997E-4</v>
      </c>
      <c r="T166" s="14">
        <f>+$C$147*$E$166*$G$166*K166*(O166/P166)</f>
        <v>1.1249999999999999E-3</v>
      </c>
      <c r="U166" s="14">
        <f t="shared" si="107"/>
        <v>3.7499999999999999E-3</v>
      </c>
      <c r="V166" s="161">
        <v>500000000</v>
      </c>
      <c r="W166" s="161">
        <v>500000000</v>
      </c>
      <c r="X166" s="161">
        <v>500000000</v>
      </c>
      <c r="Y166" s="161">
        <v>500000000</v>
      </c>
      <c r="Z166" s="162">
        <f t="shared" si="92"/>
        <v>2000000000</v>
      </c>
    </row>
    <row r="167" spans="2:26" ht="24" x14ac:dyDescent="0.2">
      <c r="B167" s="192"/>
      <c r="C167" s="189"/>
      <c r="D167" s="179"/>
      <c r="E167" s="180"/>
      <c r="F167" s="186"/>
      <c r="G167" s="182"/>
      <c r="H167" s="136" t="s">
        <v>159</v>
      </c>
      <c r="I167" s="37" t="s">
        <v>307</v>
      </c>
      <c r="J167" s="9" t="s">
        <v>667</v>
      </c>
      <c r="K167" s="131">
        <v>0.25</v>
      </c>
      <c r="L167" s="15">
        <v>0.1</v>
      </c>
      <c r="M167" s="15">
        <v>0.1</v>
      </c>
      <c r="N167" s="15">
        <v>0.1</v>
      </c>
      <c r="O167" s="15">
        <v>0.1</v>
      </c>
      <c r="P167" s="8">
        <f>+L167+M167+N167+O167</f>
        <v>0.4</v>
      </c>
      <c r="Q167" s="14">
        <f t="shared" ref="Q167:Q169" si="120">+$C$147*$E$166*$G$166*K167*(L167/P167)</f>
        <v>9.3749999999999997E-4</v>
      </c>
      <c r="R167" s="14">
        <f t="shared" ref="R167:R169" si="121">+$C$147*$E$166*$G$166*K167*(M167/P167)</f>
        <v>9.3749999999999997E-4</v>
      </c>
      <c r="S167" s="14">
        <f t="shared" ref="S167:S169" si="122">+$C$147*$E$166*$G$166*K167*(N167/P167)</f>
        <v>9.3749999999999997E-4</v>
      </c>
      <c r="T167" s="14">
        <f t="shared" ref="T167:T169" si="123">+$C$147*$E$166*$G$166*K167*(O167/P167)</f>
        <v>9.3749999999999997E-4</v>
      </c>
      <c r="U167" s="14">
        <f t="shared" si="107"/>
        <v>3.7499999999999999E-3</v>
      </c>
      <c r="V167" s="161"/>
      <c r="W167" s="161"/>
      <c r="X167" s="161"/>
      <c r="Y167" s="161"/>
      <c r="Z167" s="162"/>
    </row>
    <row r="168" spans="2:26" ht="36" x14ac:dyDescent="0.2">
      <c r="B168" s="192"/>
      <c r="C168" s="189"/>
      <c r="D168" s="179"/>
      <c r="E168" s="180"/>
      <c r="F168" s="186"/>
      <c r="G168" s="182"/>
      <c r="H168" s="136" t="s">
        <v>160</v>
      </c>
      <c r="I168" s="37" t="s">
        <v>308</v>
      </c>
      <c r="J168" s="9" t="s">
        <v>309</v>
      </c>
      <c r="K168" s="131">
        <v>0.25</v>
      </c>
      <c r="L168" s="16">
        <v>2</v>
      </c>
      <c r="M168" s="16">
        <v>4</v>
      </c>
      <c r="N168" s="16">
        <v>6</v>
      </c>
      <c r="O168" s="16">
        <v>6</v>
      </c>
      <c r="P168" s="7">
        <f t="shared" si="102"/>
        <v>18</v>
      </c>
      <c r="Q168" s="14">
        <f t="shared" si="120"/>
        <v>4.1666666666666664E-4</v>
      </c>
      <c r="R168" s="14">
        <f t="shared" si="121"/>
        <v>8.3333333333333328E-4</v>
      </c>
      <c r="S168" s="14">
        <f t="shared" si="122"/>
        <v>1.2499999999999998E-3</v>
      </c>
      <c r="T168" s="14">
        <f t="shared" si="123"/>
        <v>1.2499999999999998E-3</v>
      </c>
      <c r="U168" s="14">
        <f t="shared" si="107"/>
        <v>3.7499999999999994E-3</v>
      </c>
      <c r="V168" s="161"/>
      <c r="W168" s="161"/>
      <c r="X168" s="161"/>
      <c r="Y168" s="161"/>
      <c r="Z168" s="162"/>
    </row>
    <row r="169" spans="2:26" ht="36" x14ac:dyDescent="0.2">
      <c r="B169" s="192"/>
      <c r="C169" s="189"/>
      <c r="D169" s="179"/>
      <c r="E169" s="180"/>
      <c r="F169" s="186"/>
      <c r="G169" s="182"/>
      <c r="H169" s="136" t="s">
        <v>161</v>
      </c>
      <c r="I169" s="37" t="s">
        <v>310</v>
      </c>
      <c r="J169" s="9" t="s">
        <v>311</v>
      </c>
      <c r="K169" s="131">
        <v>0.25</v>
      </c>
      <c r="L169" s="16">
        <v>1000</v>
      </c>
      <c r="M169" s="16">
        <v>1000</v>
      </c>
      <c r="N169" s="16">
        <v>1000</v>
      </c>
      <c r="O169" s="16">
        <v>2000</v>
      </c>
      <c r="P169" s="7">
        <f t="shared" si="102"/>
        <v>5000</v>
      </c>
      <c r="Q169" s="14">
        <f t="shared" si="120"/>
        <v>7.5000000000000002E-4</v>
      </c>
      <c r="R169" s="14">
        <f t="shared" si="121"/>
        <v>7.5000000000000002E-4</v>
      </c>
      <c r="S169" s="14">
        <f t="shared" si="122"/>
        <v>7.5000000000000002E-4</v>
      </c>
      <c r="T169" s="14">
        <f t="shared" si="123"/>
        <v>1.5E-3</v>
      </c>
      <c r="U169" s="14">
        <f t="shared" si="107"/>
        <v>3.7500000000000003E-3</v>
      </c>
      <c r="V169" s="161"/>
      <c r="W169" s="161"/>
      <c r="X169" s="161"/>
      <c r="Y169" s="161"/>
      <c r="Z169" s="162"/>
    </row>
    <row r="170" spans="2:26" ht="24" x14ac:dyDescent="0.2">
      <c r="B170" s="192"/>
      <c r="C170" s="189"/>
      <c r="D170" s="179" t="s">
        <v>210</v>
      </c>
      <c r="E170" s="180">
        <v>0.1</v>
      </c>
      <c r="F170" s="186" t="s">
        <v>198</v>
      </c>
      <c r="G170" s="182">
        <v>1</v>
      </c>
      <c r="H170" s="136" t="s">
        <v>162</v>
      </c>
      <c r="I170" s="37" t="s">
        <v>312</v>
      </c>
      <c r="J170" s="9" t="s">
        <v>313</v>
      </c>
      <c r="K170" s="131">
        <v>0.4</v>
      </c>
      <c r="L170" s="17">
        <v>0</v>
      </c>
      <c r="M170" s="123">
        <v>1</v>
      </c>
      <c r="N170" s="123">
        <v>1</v>
      </c>
      <c r="O170" s="123">
        <v>0</v>
      </c>
      <c r="P170" s="7">
        <f t="shared" si="102"/>
        <v>2</v>
      </c>
      <c r="Q170" s="14">
        <f>+$C$147*$E$170*$G$170*K170*(L170/P170)</f>
        <v>0</v>
      </c>
      <c r="R170" s="14">
        <f>+$C$147*$E$170*$G$170*K170*(M170/P170)</f>
        <v>3.0000000000000001E-3</v>
      </c>
      <c r="S170" s="14">
        <f>+$C$147*$E$170*$G$170*K170*(N170/P170)</f>
        <v>3.0000000000000001E-3</v>
      </c>
      <c r="T170" s="14">
        <f>+$C$147*$E$170*$G$170*K170*(O170/P170)</f>
        <v>0</v>
      </c>
      <c r="U170" s="14">
        <f t="shared" si="107"/>
        <v>6.0000000000000001E-3</v>
      </c>
      <c r="V170" s="161">
        <v>312500000</v>
      </c>
      <c r="W170" s="161">
        <v>312500000</v>
      </c>
      <c r="X170" s="161">
        <v>312500000</v>
      </c>
      <c r="Y170" s="161">
        <v>312500000</v>
      </c>
      <c r="Z170" s="162">
        <f t="shared" si="92"/>
        <v>1250000000</v>
      </c>
    </row>
    <row r="171" spans="2:26" ht="24" x14ac:dyDescent="0.2">
      <c r="B171" s="192"/>
      <c r="C171" s="189"/>
      <c r="D171" s="179"/>
      <c r="E171" s="180"/>
      <c r="F171" s="186"/>
      <c r="G171" s="182"/>
      <c r="H171" s="136" t="s">
        <v>163</v>
      </c>
      <c r="I171" s="37" t="s">
        <v>314</v>
      </c>
      <c r="J171" s="9" t="s">
        <v>315</v>
      </c>
      <c r="K171" s="131">
        <v>0.3</v>
      </c>
      <c r="L171" s="19">
        <v>1</v>
      </c>
      <c r="M171" s="19">
        <v>1</v>
      </c>
      <c r="N171" s="19">
        <v>1</v>
      </c>
      <c r="O171" s="19">
        <v>1</v>
      </c>
      <c r="P171" s="7"/>
      <c r="Q171" s="14">
        <f>+$C$147*$E$170*$G$170*K171*(1/4)</f>
        <v>1.1249999999999999E-3</v>
      </c>
      <c r="R171" s="14">
        <f>+$C$147*$E$170*$G$170*K171*(1/4)</f>
        <v>1.1249999999999999E-3</v>
      </c>
      <c r="S171" s="14">
        <f>+$C$147*$E$170*$G$170*K171*(1/4)</f>
        <v>1.1249999999999999E-3</v>
      </c>
      <c r="T171" s="14">
        <f>+$C$147*$E$170*$G$170*K171*(1/4)</f>
        <v>1.1249999999999999E-3</v>
      </c>
      <c r="U171" s="14">
        <f t="shared" si="107"/>
        <v>4.4999999999999997E-3</v>
      </c>
      <c r="V171" s="161"/>
      <c r="W171" s="161"/>
      <c r="X171" s="161"/>
      <c r="Y171" s="161"/>
      <c r="Z171" s="162"/>
    </row>
    <row r="172" spans="2:26" ht="48" x14ac:dyDescent="0.2">
      <c r="B172" s="192"/>
      <c r="C172" s="189"/>
      <c r="D172" s="179"/>
      <c r="E172" s="180"/>
      <c r="F172" s="186"/>
      <c r="G172" s="182"/>
      <c r="H172" s="136" t="s">
        <v>164</v>
      </c>
      <c r="I172" s="136" t="s">
        <v>316</v>
      </c>
      <c r="J172" s="10" t="s">
        <v>317</v>
      </c>
      <c r="K172" s="131">
        <v>0.3</v>
      </c>
      <c r="L172" s="17">
        <v>0</v>
      </c>
      <c r="M172" s="123">
        <v>1</v>
      </c>
      <c r="N172" s="123">
        <v>0</v>
      </c>
      <c r="O172" s="123">
        <v>0</v>
      </c>
      <c r="P172" s="7">
        <f t="shared" si="102"/>
        <v>1</v>
      </c>
      <c r="Q172" s="14">
        <f t="shared" ref="Q172" si="124">+$C$147*$E$170*$G$170*K172*(L172/P172)</f>
        <v>0</v>
      </c>
      <c r="R172" s="14">
        <f t="shared" ref="R172" si="125">+$C$147*$E$170*$G$170*K172*(M172/P172)</f>
        <v>4.4999999999999997E-3</v>
      </c>
      <c r="S172" s="14">
        <f t="shared" ref="S172" si="126">+$C$147*$E$170*$G$170*K172*(N172/P172)</f>
        <v>0</v>
      </c>
      <c r="T172" s="14">
        <f t="shared" ref="T172" si="127">+$C$147*$E$170*$G$170*K172*(O172/P172)</f>
        <v>0</v>
      </c>
      <c r="U172" s="14">
        <f t="shared" si="107"/>
        <v>4.4999999999999997E-3</v>
      </c>
      <c r="V172" s="59">
        <v>0</v>
      </c>
      <c r="W172" s="59">
        <v>100000000</v>
      </c>
      <c r="X172" s="59">
        <v>0</v>
      </c>
      <c r="Y172" s="59">
        <v>0</v>
      </c>
      <c r="Z172" s="63">
        <f t="shared" si="92"/>
        <v>100000000</v>
      </c>
    </row>
    <row r="173" spans="2:26" ht="36" x14ac:dyDescent="0.2">
      <c r="B173" s="192"/>
      <c r="C173" s="189"/>
      <c r="D173" s="179" t="s">
        <v>211</v>
      </c>
      <c r="E173" s="180">
        <v>0.1</v>
      </c>
      <c r="F173" s="186" t="s">
        <v>199</v>
      </c>
      <c r="G173" s="182">
        <v>0.6</v>
      </c>
      <c r="H173" s="136" t="s">
        <v>165</v>
      </c>
      <c r="I173" s="37" t="s">
        <v>318</v>
      </c>
      <c r="J173" s="9" t="s">
        <v>319</v>
      </c>
      <c r="K173" s="131">
        <v>0.25</v>
      </c>
      <c r="L173" s="124">
        <v>1</v>
      </c>
      <c r="M173" s="124">
        <v>1</v>
      </c>
      <c r="N173" s="18">
        <v>1</v>
      </c>
      <c r="O173" s="18">
        <v>1</v>
      </c>
      <c r="P173" s="7"/>
      <c r="Q173" s="14">
        <f>+$C$147*$E$173*$G$173*K173*(1/4)</f>
        <v>5.6249999999999996E-4</v>
      </c>
      <c r="R173" s="14">
        <f>+$C$147*$E$173*$G$173*K173*(1/4)</f>
        <v>5.6249999999999996E-4</v>
      </c>
      <c r="S173" s="14">
        <f>+$C$147*$E$173*$G$173*K173*(1/4)</f>
        <v>5.6249999999999996E-4</v>
      </c>
      <c r="T173" s="14">
        <f>+$C$147*$E$173*$G$173*K173*(1/4)</f>
        <v>5.6249999999999996E-4</v>
      </c>
      <c r="U173" s="14">
        <f t="shared" si="107"/>
        <v>2.2499999999999998E-3</v>
      </c>
      <c r="V173" s="161">
        <v>354000000</v>
      </c>
      <c r="W173" s="161">
        <v>354000000</v>
      </c>
      <c r="X173" s="161">
        <v>554000000</v>
      </c>
      <c r="Y173" s="161">
        <v>634000000</v>
      </c>
      <c r="Z173" s="162">
        <f t="shared" si="92"/>
        <v>1896000000</v>
      </c>
    </row>
    <row r="174" spans="2:26" ht="72" x14ac:dyDescent="0.2">
      <c r="B174" s="192"/>
      <c r="C174" s="189"/>
      <c r="D174" s="179"/>
      <c r="E174" s="180"/>
      <c r="F174" s="186"/>
      <c r="G174" s="182"/>
      <c r="H174" s="136" t="s">
        <v>166</v>
      </c>
      <c r="I174" s="37" t="s">
        <v>320</v>
      </c>
      <c r="J174" s="9" t="s">
        <v>321</v>
      </c>
      <c r="K174" s="131">
        <v>0.25</v>
      </c>
      <c r="L174" s="124">
        <v>1</v>
      </c>
      <c r="M174" s="124">
        <v>1</v>
      </c>
      <c r="N174" s="18">
        <v>1</v>
      </c>
      <c r="O174" s="18">
        <v>1</v>
      </c>
      <c r="P174" s="7"/>
      <c r="Q174" s="14">
        <f>+$C$147*$E$173*$G$173*K174*(1/4)</f>
        <v>5.6249999999999996E-4</v>
      </c>
      <c r="R174" s="14">
        <f>+$C$147*$E$173*$G$173*K174*(1/4)</f>
        <v>5.6249999999999996E-4</v>
      </c>
      <c r="S174" s="14">
        <f>+$C$147*$E$173*$G$173*K174*(1/4)</f>
        <v>5.6249999999999996E-4</v>
      </c>
      <c r="T174" s="14">
        <f>+$C$147*$E$173*$G$173*K174*(1/4)</f>
        <v>5.6249999999999996E-4</v>
      </c>
      <c r="U174" s="14">
        <f t="shared" si="107"/>
        <v>2.2499999999999998E-3</v>
      </c>
      <c r="V174" s="161"/>
      <c r="W174" s="161"/>
      <c r="X174" s="161"/>
      <c r="Y174" s="161"/>
      <c r="Z174" s="162"/>
    </row>
    <row r="175" spans="2:26" ht="36" x14ac:dyDescent="0.2">
      <c r="B175" s="192"/>
      <c r="C175" s="189"/>
      <c r="D175" s="179"/>
      <c r="E175" s="180"/>
      <c r="F175" s="186"/>
      <c r="G175" s="182"/>
      <c r="H175" s="136" t="s">
        <v>167</v>
      </c>
      <c r="I175" s="37" t="s">
        <v>322</v>
      </c>
      <c r="J175" s="9" t="s">
        <v>323</v>
      </c>
      <c r="K175" s="131">
        <v>0.2</v>
      </c>
      <c r="L175" s="123">
        <v>0</v>
      </c>
      <c r="M175" s="123">
        <v>0</v>
      </c>
      <c r="N175" s="17">
        <v>1</v>
      </c>
      <c r="O175" s="17">
        <v>0</v>
      </c>
      <c r="P175" s="7">
        <f t="shared" si="102"/>
        <v>1</v>
      </c>
      <c r="Q175" s="14">
        <f>+$C$147*$E$173*$G$173*K175*(L175/P175)</f>
        <v>0</v>
      </c>
      <c r="R175" s="14">
        <f t="shared" ref="R175:R177" si="128">+$C$147*$E$173*$G$173*K175*(M175/P175)</f>
        <v>0</v>
      </c>
      <c r="S175" s="14">
        <f t="shared" ref="S175:S177" si="129">+$C$147*$E$173*$G$173*K175*(N175/P175)</f>
        <v>1.8E-3</v>
      </c>
      <c r="T175" s="14">
        <f t="shared" ref="T175:T177" si="130">+$C$147*$E$173*$G$173*K175*(O175/P175)</f>
        <v>0</v>
      </c>
      <c r="U175" s="14">
        <f t="shared" si="107"/>
        <v>1.8E-3</v>
      </c>
      <c r="V175" s="161"/>
      <c r="W175" s="161"/>
      <c r="X175" s="161"/>
      <c r="Y175" s="161"/>
      <c r="Z175" s="162"/>
    </row>
    <row r="176" spans="2:26" ht="36" x14ac:dyDescent="0.2">
      <c r="B176" s="192"/>
      <c r="C176" s="189"/>
      <c r="D176" s="179"/>
      <c r="E176" s="180"/>
      <c r="F176" s="186"/>
      <c r="G176" s="182"/>
      <c r="H176" s="136" t="s">
        <v>266</v>
      </c>
      <c r="I176" s="37" t="s">
        <v>324</v>
      </c>
      <c r="J176" s="9" t="s">
        <v>323</v>
      </c>
      <c r="K176" s="131">
        <v>0.2</v>
      </c>
      <c r="L176" s="123">
        <v>0</v>
      </c>
      <c r="M176" s="123">
        <v>0</v>
      </c>
      <c r="N176" s="17">
        <v>1</v>
      </c>
      <c r="O176" s="17">
        <v>0</v>
      </c>
      <c r="P176" s="7">
        <f t="shared" si="102"/>
        <v>1</v>
      </c>
      <c r="Q176" s="14">
        <f t="shared" ref="Q176:Q177" si="131">+$C$147*$E$173*$G$173*K176*(L176/P176)</f>
        <v>0</v>
      </c>
      <c r="R176" s="14">
        <f t="shared" si="128"/>
        <v>0</v>
      </c>
      <c r="S176" s="14">
        <f t="shared" si="129"/>
        <v>1.8E-3</v>
      </c>
      <c r="T176" s="14">
        <f t="shared" si="130"/>
        <v>0</v>
      </c>
      <c r="U176" s="14">
        <f t="shared" si="107"/>
        <v>1.8E-3</v>
      </c>
      <c r="V176" s="161"/>
      <c r="W176" s="161"/>
      <c r="X176" s="161"/>
      <c r="Y176" s="161"/>
      <c r="Z176" s="162"/>
    </row>
    <row r="177" spans="2:26" ht="48" x14ac:dyDescent="0.2">
      <c r="B177" s="192"/>
      <c r="C177" s="189"/>
      <c r="D177" s="179"/>
      <c r="E177" s="180"/>
      <c r="F177" s="186"/>
      <c r="G177" s="182"/>
      <c r="H177" s="136" t="s">
        <v>168</v>
      </c>
      <c r="I177" s="37" t="s">
        <v>325</v>
      </c>
      <c r="J177" s="9" t="s">
        <v>326</v>
      </c>
      <c r="K177" s="131">
        <v>0.1</v>
      </c>
      <c r="L177" s="123">
        <v>0</v>
      </c>
      <c r="M177" s="123">
        <v>1</v>
      </c>
      <c r="N177" s="17">
        <v>1</v>
      </c>
      <c r="O177" s="17">
        <v>1</v>
      </c>
      <c r="P177" s="7">
        <f>+L177+M177+N177+O177</f>
        <v>3</v>
      </c>
      <c r="Q177" s="14">
        <f t="shared" si="131"/>
        <v>0</v>
      </c>
      <c r="R177" s="14">
        <f t="shared" si="128"/>
        <v>2.9999999999999997E-4</v>
      </c>
      <c r="S177" s="14">
        <f t="shared" si="129"/>
        <v>2.9999999999999997E-4</v>
      </c>
      <c r="T177" s="14">
        <f t="shared" si="130"/>
        <v>2.9999999999999997E-4</v>
      </c>
      <c r="U177" s="14">
        <f t="shared" si="107"/>
        <v>8.9999999999999998E-4</v>
      </c>
      <c r="V177" s="59">
        <v>0</v>
      </c>
      <c r="W177" s="59">
        <v>100000000</v>
      </c>
      <c r="X177" s="59">
        <v>50000000</v>
      </c>
      <c r="Y177" s="59">
        <v>50000000</v>
      </c>
      <c r="Z177" s="63">
        <f t="shared" si="92"/>
        <v>200000000</v>
      </c>
    </row>
    <row r="178" spans="2:26" ht="48" x14ac:dyDescent="0.2">
      <c r="B178" s="192"/>
      <c r="C178" s="189"/>
      <c r="D178" s="179"/>
      <c r="E178" s="180"/>
      <c r="F178" s="186" t="s">
        <v>200</v>
      </c>
      <c r="G178" s="182">
        <v>0.4</v>
      </c>
      <c r="H178" s="136" t="s">
        <v>169</v>
      </c>
      <c r="I178" s="37" t="s">
        <v>327</v>
      </c>
      <c r="J178" s="9" t="s">
        <v>328</v>
      </c>
      <c r="K178" s="131">
        <v>0.6</v>
      </c>
      <c r="L178" s="124">
        <v>0.2</v>
      </c>
      <c r="M178" s="124">
        <v>0.5</v>
      </c>
      <c r="N178" s="18">
        <v>0.7</v>
      </c>
      <c r="O178" s="18">
        <v>1</v>
      </c>
      <c r="P178" s="7"/>
      <c r="Q178" s="14">
        <f>+$C$147*$E$173*$G$178*K178*(1/4)</f>
        <v>8.9999999999999998E-4</v>
      </c>
      <c r="R178" s="14">
        <f>+$C$147*$E$173*$G$178*K178*(1/4)</f>
        <v>8.9999999999999998E-4</v>
      </c>
      <c r="S178" s="14">
        <f>+$C$147*$E$173*$G$178*K178*(1/4)</f>
        <v>8.9999999999999998E-4</v>
      </c>
      <c r="T178" s="14">
        <f>+$C$147*$E$173*$G$178*K178*(1/4)</f>
        <v>8.9999999999999998E-4</v>
      </c>
      <c r="U178" s="14">
        <f t="shared" si="107"/>
        <v>3.5999999999999999E-3</v>
      </c>
      <c r="V178" s="59">
        <v>80000000</v>
      </c>
      <c r="W178" s="59">
        <v>300000000</v>
      </c>
      <c r="X178" s="59">
        <v>300000000</v>
      </c>
      <c r="Y178" s="59">
        <v>420000000</v>
      </c>
      <c r="Z178" s="63">
        <f t="shared" si="92"/>
        <v>1100000000</v>
      </c>
    </row>
    <row r="179" spans="2:26" ht="48" x14ac:dyDescent="0.2">
      <c r="B179" s="192"/>
      <c r="C179" s="189"/>
      <c r="D179" s="179"/>
      <c r="E179" s="180"/>
      <c r="F179" s="186"/>
      <c r="G179" s="182"/>
      <c r="H179" s="136" t="s">
        <v>170</v>
      </c>
      <c r="I179" s="37" t="s">
        <v>329</v>
      </c>
      <c r="J179" s="9" t="s">
        <v>330</v>
      </c>
      <c r="K179" s="131">
        <v>0.4</v>
      </c>
      <c r="L179" s="124">
        <v>1</v>
      </c>
      <c r="M179" s="124">
        <v>1</v>
      </c>
      <c r="N179" s="18">
        <v>1</v>
      </c>
      <c r="O179" s="18">
        <v>1</v>
      </c>
      <c r="P179" s="7"/>
      <c r="Q179" s="14">
        <f>+$C$147*$E$173*$G$178*K179*(1/4)</f>
        <v>6.0000000000000006E-4</v>
      </c>
      <c r="R179" s="14">
        <f>+$C$147*$E$173*$G$178*K179*(1/4)</f>
        <v>6.0000000000000006E-4</v>
      </c>
      <c r="S179" s="14">
        <f>+$C$147*$E$173*$G$178*K179*(1/4)</f>
        <v>6.0000000000000006E-4</v>
      </c>
      <c r="T179" s="14">
        <f>+$C$147*$E$173*$G$178*K179*(1/4)</f>
        <v>6.0000000000000006E-4</v>
      </c>
      <c r="U179" s="14">
        <f t="shared" si="107"/>
        <v>2.4000000000000002E-3</v>
      </c>
      <c r="V179" s="59">
        <v>112500000</v>
      </c>
      <c r="W179" s="59">
        <v>112500000</v>
      </c>
      <c r="X179" s="59">
        <v>112500000</v>
      </c>
      <c r="Y179" s="59">
        <v>112500000</v>
      </c>
      <c r="Z179" s="63">
        <f t="shared" si="92"/>
        <v>450000000</v>
      </c>
    </row>
    <row r="180" spans="2:26" ht="24" x14ac:dyDescent="0.2">
      <c r="B180" s="192"/>
      <c r="C180" s="189"/>
      <c r="D180" s="179" t="s">
        <v>212</v>
      </c>
      <c r="E180" s="180">
        <v>0.1</v>
      </c>
      <c r="F180" s="181" t="s">
        <v>201</v>
      </c>
      <c r="G180" s="182">
        <v>0.6</v>
      </c>
      <c r="H180" s="136" t="s">
        <v>171</v>
      </c>
      <c r="I180" s="37" t="s">
        <v>331</v>
      </c>
      <c r="J180" s="9" t="s">
        <v>332</v>
      </c>
      <c r="K180" s="131">
        <v>0.25</v>
      </c>
      <c r="L180" s="123">
        <v>1</v>
      </c>
      <c r="M180" s="123">
        <v>1</v>
      </c>
      <c r="N180" s="17">
        <v>1</v>
      </c>
      <c r="O180" s="17">
        <v>1</v>
      </c>
      <c r="P180" s="7">
        <f t="shared" si="102"/>
        <v>4</v>
      </c>
      <c r="Q180" s="14">
        <f>+$C$147*$E$180*$G$180*K180*(L180/P180)</f>
        <v>5.6249999999999996E-4</v>
      </c>
      <c r="R180" s="14">
        <f>+$C$147*$E$180*$G$180*K180*(M180/P180)</f>
        <v>5.6249999999999996E-4</v>
      </c>
      <c r="S180" s="14">
        <f>+$C$147*$E$180*$G$180*K180*(N180/P180)</f>
        <v>5.6249999999999996E-4</v>
      </c>
      <c r="T180" s="14">
        <f>+$C$147*$E$180*$G$180*K180*(O180/P180)</f>
        <v>5.6249999999999996E-4</v>
      </c>
      <c r="U180" s="14">
        <f t="shared" si="107"/>
        <v>2.2499999999999998E-3</v>
      </c>
      <c r="V180" s="161">
        <v>250000000</v>
      </c>
      <c r="W180" s="161">
        <v>250000000</v>
      </c>
      <c r="X180" s="161">
        <v>250000000</v>
      </c>
      <c r="Y180" s="161">
        <v>250000000</v>
      </c>
      <c r="Z180" s="162">
        <f t="shared" si="92"/>
        <v>1000000000</v>
      </c>
    </row>
    <row r="181" spans="2:26" ht="36" x14ac:dyDescent="0.2">
      <c r="B181" s="192"/>
      <c r="C181" s="189"/>
      <c r="D181" s="179"/>
      <c r="E181" s="180"/>
      <c r="F181" s="181"/>
      <c r="G181" s="182"/>
      <c r="H181" s="136" t="s">
        <v>172</v>
      </c>
      <c r="I181" s="37" t="s">
        <v>333</v>
      </c>
      <c r="J181" s="9" t="s">
        <v>334</v>
      </c>
      <c r="K181" s="131">
        <v>0.25</v>
      </c>
      <c r="L181" s="123">
        <v>1</v>
      </c>
      <c r="M181" s="123">
        <v>1</v>
      </c>
      <c r="N181" s="17">
        <v>1</v>
      </c>
      <c r="O181" s="17">
        <v>1</v>
      </c>
      <c r="P181" s="7">
        <v>1</v>
      </c>
      <c r="Q181" s="14">
        <f>+$C$147*$E$180*$G$180*K181*(1/4)</f>
        <v>5.6249999999999996E-4</v>
      </c>
      <c r="R181" s="14">
        <f>+$C$147*$E$180*$G$180*K181*(1/4)</f>
        <v>5.6249999999999996E-4</v>
      </c>
      <c r="S181" s="14">
        <f>+$C$147*$E$180*$G$180*K181*(1/4)</f>
        <v>5.6249999999999996E-4</v>
      </c>
      <c r="T181" s="14">
        <f>+$C$147*$E$180*$G$180*K181*(1/4)</f>
        <v>5.6249999999999996E-4</v>
      </c>
      <c r="U181" s="14">
        <f t="shared" si="107"/>
        <v>2.2499999999999998E-3</v>
      </c>
      <c r="V181" s="161"/>
      <c r="W181" s="161"/>
      <c r="X181" s="161"/>
      <c r="Y181" s="161"/>
      <c r="Z181" s="162"/>
    </row>
    <row r="182" spans="2:26" ht="50" customHeight="1" x14ac:dyDescent="0.2">
      <c r="B182" s="192"/>
      <c r="C182" s="189"/>
      <c r="D182" s="179"/>
      <c r="E182" s="180"/>
      <c r="F182" s="181"/>
      <c r="G182" s="182"/>
      <c r="H182" s="136" t="s">
        <v>173</v>
      </c>
      <c r="I182" s="37" t="s">
        <v>335</v>
      </c>
      <c r="J182" s="9" t="s">
        <v>336</v>
      </c>
      <c r="K182" s="131">
        <v>0.25</v>
      </c>
      <c r="L182" s="123">
        <v>0</v>
      </c>
      <c r="M182" s="123">
        <v>1</v>
      </c>
      <c r="N182" s="17">
        <v>1</v>
      </c>
      <c r="O182" s="17">
        <v>1</v>
      </c>
      <c r="P182" s="7">
        <v>1</v>
      </c>
      <c r="Q182" s="14">
        <f>+$C$147*$E$180*$G$180*K182*(L182/3)</f>
        <v>0</v>
      </c>
      <c r="R182" s="14">
        <f>+$C$147*$E$180*$G$180*K182*(1/3)</f>
        <v>7.4999999999999991E-4</v>
      </c>
      <c r="S182" s="14">
        <f>+$C$147*$E$180*$G$180*K182*(1/3)</f>
        <v>7.4999999999999991E-4</v>
      </c>
      <c r="T182" s="14">
        <f>+$C$147*$E$180*$G$180*K182*(1/3)</f>
        <v>7.4999999999999991E-4</v>
      </c>
      <c r="U182" s="14">
        <f t="shared" si="107"/>
        <v>2.2499999999999998E-3</v>
      </c>
      <c r="V182" s="161"/>
      <c r="W182" s="161"/>
      <c r="X182" s="161"/>
      <c r="Y182" s="161"/>
      <c r="Z182" s="162"/>
    </row>
    <row r="183" spans="2:26" ht="42" x14ac:dyDescent="0.2">
      <c r="B183" s="192"/>
      <c r="C183" s="189"/>
      <c r="D183" s="179"/>
      <c r="E183" s="180"/>
      <c r="F183" s="181"/>
      <c r="G183" s="182"/>
      <c r="H183" s="136" t="s">
        <v>174</v>
      </c>
      <c r="I183" s="37" t="s">
        <v>337</v>
      </c>
      <c r="J183" s="153" t="s">
        <v>338</v>
      </c>
      <c r="K183" s="131">
        <v>0.25</v>
      </c>
      <c r="L183" s="151">
        <v>0</v>
      </c>
      <c r="M183" s="151">
        <v>1</v>
      </c>
      <c r="N183" s="152">
        <v>1</v>
      </c>
      <c r="O183" s="17">
        <v>1</v>
      </c>
      <c r="P183" s="7">
        <v>1</v>
      </c>
      <c r="Q183" s="14">
        <f>+$C$147*$E$180*$G$180*K183*(L183/3)</f>
        <v>0</v>
      </c>
      <c r="R183" s="14">
        <f>+$C$147*$E$180*$G$180*K183*(1/3)</f>
        <v>7.4999999999999991E-4</v>
      </c>
      <c r="S183" s="14">
        <f>+$C$147*$E$180*$G$180*K183*(1/3)</f>
        <v>7.4999999999999991E-4</v>
      </c>
      <c r="T183" s="14">
        <f>+$C$147*$E$180*$G$180*K183*(1/3)</f>
        <v>7.4999999999999991E-4</v>
      </c>
      <c r="U183" s="14">
        <f t="shared" si="107"/>
        <v>2.2499999999999998E-3</v>
      </c>
      <c r="V183" s="161"/>
      <c r="W183" s="161"/>
      <c r="X183" s="161"/>
      <c r="Y183" s="161"/>
      <c r="Z183" s="162"/>
    </row>
    <row r="184" spans="2:26" ht="24" x14ac:dyDescent="0.2">
      <c r="B184" s="192"/>
      <c r="C184" s="189"/>
      <c r="D184" s="179"/>
      <c r="E184" s="180"/>
      <c r="F184" s="123" t="s">
        <v>190</v>
      </c>
      <c r="G184" s="133">
        <v>0.2</v>
      </c>
      <c r="H184" s="136" t="s">
        <v>175</v>
      </c>
      <c r="I184" s="37" t="s">
        <v>339</v>
      </c>
      <c r="J184" s="9" t="s">
        <v>340</v>
      </c>
      <c r="K184" s="131">
        <v>1</v>
      </c>
      <c r="L184" s="151">
        <v>0</v>
      </c>
      <c r="M184" s="151">
        <v>1</v>
      </c>
      <c r="N184" s="152">
        <v>1</v>
      </c>
      <c r="O184" s="17">
        <v>1</v>
      </c>
      <c r="P184" s="7">
        <v>1</v>
      </c>
      <c r="Q184" s="14">
        <f>+$C$147*$E$180*$G$184*K184*(L184/3)</f>
        <v>0</v>
      </c>
      <c r="R184" s="14">
        <f>+$C$147*$E$180*$G$184*K184*(1/3)</f>
        <v>1E-3</v>
      </c>
      <c r="S184" s="14">
        <f>+$C$147*$E$180*$G$184*K184*(1/3)</f>
        <v>1E-3</v>
      </c>
      <c r="T184" s="14">
        <f>+$C$147*$E$180*$G$184*K184*(1/3)</f>
        <v>1E-3</v>
      </c>
      <c r="U184" s="14">
        <f t="shared" si="107"/>
        <v>3.0000000000000001E-3</v>
      </c>
      <c r="V184" s="59">
        <v>55000000</v>
      </c>
      <c r="W184" s="59">
        <v>85000000</v>
      </c>
      <c r="X184" s="59">
        <v>85000000</v>
      </c>
      <c r="Y184" s="59">
        <v>75000000</v>
      </c>
      <c r="Z184" s="63">
        <f t="shared" si="92"/>
        <v>300000000</v>
      </c>
    </row>
    <row r="185" spans="2:26" ht="24" x14ac:dyDescent="0.2">
      <c r="B185" s="192"/>
      <c r="C185" s="189"/>
      <c r="D185" s="179"/>
      <c r="E185" s="180"/>
      <c r="F185" s="123" t="s">
        <v>191</v>
      </c>
      <c r="G185" s="133">
        <v>0.2</v>
      </c>
      <c r="H185" s="136" t="s">
        <v>176</v>
      </c>
      <c r="I185" s="37" t="s">
        <v>341</v>
      </c>
      <c r="J185" s="9" t="s">
        <v>342</v>
      </c>
      <c r="K185" s="131">
        <v>1</v>
      </c>
      <c r="L185" s="151">
        <v>0</v>
      </c>
      <c r="M185" s="151">
        <v>0</v>
      </c>
      <c r="N185" s="152">
        <v>1</v>
      </c>
      <c r="O185" s="17">
        <v>1</v>
      </c>
      <c r="P185" s="7">
        <v>1</v>
      </c>
      <c r="Q185" s="14">
        <f>+$C$147*$E$180*$G$185*K185*(L185/2)</f>
        <v>0</v>
      </c>
      <c r="R185" s="14">
        <f>+$C$147*$E$180*$G$185*K185*(M185/2)</f>
        <v>0</v>
      </c>
      <c r="S185" s="14">
        <f>+$C$147*$E$180*$G$185*K185*(1/2)</f>
        <v>1.5E-3</v>
      </c>
      <c r="T185" s="14">
        <f>+$C$147*$E$180*$G$185*K185*(1/2)</f>
        <v>1.5E-3</v>
      </c>
      <c r="U185" s="14">
        <f t="shared" si="107"/>
        <v>3.0000000000000001E-3</v>
      </c>
      <c r="V185" s="59">
        <v>0</v>
      </c>
      <c r="W185" s="59">
        <v>150000000</v>
      </c>
      <c r="X185" s="59">
        <v>150000000</v>
      </c>
      <c r="Y185" s="59">
        <v>150000000</v>
      </c>
      <c r="Z185" s="63">
        <f t="shared" si="92"/>
        <v>450000000</v>
      </c>
    </row>
    <row r="186" spans="2:26" ht="48" x14ac:dyDescent="0.2">
      <c r="B186" s="192"/>
      <c r="C186" s="189"/>
      <c r="D186" s="179" t="s">
        <v>213</v>
      </c>
      <c r="E186" s="180">
        <v>0.1</v>
      </c>
      <c r="F186" s="186" t="s">
        <v>192</v>
      </c>
      <c r="G186" s="197">
        <v>1</v>
      </c>
      <c r="H186" s="136" t="s">
        <v>177</v>
      </c>
      <c r="I186" s="37" t="s">
        <v>343</v>
      </c>
      <c r="J186" s="9" t="s">
        <v>344</v>
      </c>
      <c r="K186" s="131">
        <v>0.25</v>
      </c>
      <c r="L186" s="27">
        <v>0.5</v>
      </c>
      <c r="M186" s="27">
        <v>0.7</v>
      </c>
      <c r="N186" s="27">
        <v>0.7</v>
      </c>
      <c r="O186" s="124">
        <v>0.7</v>
      </c>
      <c r="P186" s="7"/>
      <c r="Q186" s="14">
        <f>+$C$147*$E$186*$G$186*K186*(1/4)</f>
        <v>9.3749999999999997E-4</v>
      </c>
      <c r="R186" s="14">
        <f>+$C$147*$E$186*$G$186*K186*(1/4)</f>
        <v>9.3749999999999997E-4</v>
      </c>
      <c r="S186" s="14">
        <f>+$C$147*$E$186*$G$186*K186*(1/4)</f>
        <v>9.3749999999999997E-4</v>
      </c>
      <c r="T186" s="14">
        <f>+$C$147*$E$186*$G$186*K186*(1/4)</f>
        <v>9.3749999999999997E-4</v>
      </c>
      <c r="U186" s="14">
        <f t="shared" si="107"/>
        <v>3.7499999999999999E-3</v>
      </c>
      <c r="V186" s="161">
        <v>325000000</v>
      </c>
      <c r="W186" s="161">
        <v>395000000</v>
      </c>
      <c r="X186" s="161">
        <v>395000000</v>
      </c>
      <c r="Y186" s="161">
        <v>385000000</v>
      </c>
      <c r="Z186" s="162">
        <f t="shared" si="92"/>
        <v>1500000000</v>
      </c>
    </row>
    <row r="187" spans="2:26" ht="36" x14ac:dyDescent="0.2">
      <c r="B187" s="192"/>
      <c r="C187" s="189"/>
      <c r="D187" s="179"/>
      <c r="E187" s="180"/>
      <c r="F187" s="186"/>
      <c r="G187" s="198"/>
      <c r="H187" s="136" t="s">
        <v>178</v>
      </c>
      <c r="I187" s="37" t="s">
        <v>345</v>
      </c>
      <c r="J187" s="9" t="s">
        <v>346</v>
      </c>
      <c r="K187" s="131">
        <v>0.25</v>
      </c>
      <c r="L187" s="27">
        <v>0.1</v>
      </c>
      <c r="M187" s="27">
        <v>0.2</v>
      </c>
      <c r="N187" s="27">
        <v>0.2</v>
      </c>
      <c r="O187" s="124">
        <v>0.2</v>
      </c>
      <c r="P187" s="7"/>
      <c r="Q187" s="14">
        <f>+$C$147*$E$186*$G$186*K187*(1/4)</f>
        <v>9.3749999999999997E-4</v>
      </c>
      <c r="R187" s="14">
        <f>+$C$147*$E$186*$G$186*K187*(1/4)</f>
        <v>9.3749999999999997E-4</v>
      </c>
      <c r="S187" s="14">
        <f>+$C$147*$E$186*$G$186*K187*(1/4)</f>
        <v>9.3749999999999997E-4</v>
      </c>
      <c r="T187" s="14">
        <f>+$C$147*$E$186*$G$186*K187*(1/4)</f>
        <v>9.3749999999999997E-4</v>
      </c>
      <c r="U187" s="14">
        <f t="shared" si="107"/>
        <v>3.7499999999999999E-3</v>
      </c>
      <c r="V187" s="161"/>
      <c r="W187" s="161"/>
      <c r="X187" s="161"/>
      <c r="Y187" s="161"/>
      <c r="Z187" s="162"/>
    </row>
    <row r="188" spans="2:26" ht="48" x14ac:dyDescent="0.2">
      <c r="B188" s="192"/>
      <c r="C188" s="189"/>
      <c r="D188" s="179"/>
      <c r="E188" s="180"/>
      <c r="F188" s="186"/>
      <c r="G188" s="198"/>
      <c r="H188" s="136" t="s">
        <v>179</v>
      </c>
      <c r="I188" s="37" t="s">
        <v>347</v>
      </c>
      <c r="J188" s="9" t="s">
        <v>348</v>
      </c>
      <c r="K188" s="131">
        <v>0.1</v>
      </c>
      <c r="L188" s="148">
        <v>0</v>
      </c>
      <c r="M188" s="151">
        <v>1</v>
      </c>
      <c r="N188" s="148">
        <v>0</v>
      </c>
      <c r="O188" s="148">
        <v>0</v>
      </c>
      <c r="P188" s="7">
        <f t="shared" si="102"/>
        <v>1</v>
      </c>
      <c r="Q188" s="14">
        <f t="shared" ref="Q188:Q190" si="132">+$C$147*$E$186*$G$186*K188*(L188/P188)</f>
        <v>0</v>
      </c>
      <c r="R188" s="14">
        <f t="shared" ref="R188:R190" si="133">+$C$147*$E$186*$G$186*K188*(M188/P188)</f>
        <v>1.5E-3</v>
      </c>
      <c r="S188" s="14">
        <f t="shared" ref="S188:S190" si="134">+$C$147*$E$186*$G$186*K188*(N188/P188)</f>
        <v>0</v>
      </c>
      <c r="T188" s="14">
        <f t="shared" ref="T188:T190" si="135">+$C$147*$E$186*$G$186*K188*(O188/P188)</f>
        <v>0</v>
      </c>
      <c r="U188" s="14">
        <f t="shared" si="107"/>
        <v>1.5E-3</v>
      </c>
      <c r="V188" s="161">
        <v>100000000</v>
      </c>
      <c r="W188" s="161">
        <v>100000000</v>
      </c>
      <c r="X188" s="161">
        <v>200000000</v>
      </c>
      <c r="Y188" s="161">
        <v>200000000</v>
      </c>
      <c r="Z188" s="162">
        <f t="shared" si="92"/>
        <v>600000000</v>
      </c>
    </row>
    <row r="189" spans="2:26" ht="84" x14ac:dyDescent="0.2">
      <c r="B189" s="192"/>
      <c r="C189" s="189"/>
      <c r="D189" s="179"/>
      <c r="E189" s="180"/>
      <c r="F189" s="186"/>
      <c r="G189" s="198"/>
      <c r="H189" s="136" t="s">
        <v>180</v>
      </c>
      <c r="I189" s="37" t="s">
        <v>349</v>
      </c>
      <c r="J189" s="9" t="s">
        <v>350</v>
      </c>
      <c r="K189" s="131">
        <v>0.1</v>
      </c>
      <c r="L189" s="123">
        <v>3</v>
      </c>
      <c r="M189" s="123">
        <v>2</v>
      </c>
      <c r="N189" s="123">
        <v>2</v>
      </c>
      <c r="O189" s="123">
        <v>1</v>
      </c>
      <c r="P189" s="7">
        <f t="shared" si="102"/>
        <v>8</v>
      </c>
      <c r="Q189" s="14">
        <f t="shared" si="132"/>
        <v>5.6250000000000007E-4</v>
      </c>
      <c r="R189" s="14">
        <f t="shared" si="133"/>
        <v>3.7500000000000001E-4</v>
      </c>
      <c r="S189" s="14">
        <f t="shared" si="134"/>
        <v>3.7500000000000001E-4</v>
      </c>
      <c r="T189" s="14">
        <f t="shared" si="135"/>
        <v>1.875E-4</v>
      </c>
      <c r="U189" s="14">
        <f t="shared" si="107"/>
        <v>1.5E-3</v>
      </c>
      <c r="V189" s="161"/>
      <c r="W189" s="161"/>
      <c r="X189" s="161"/>
      <c r="Y189" s="161"/>
      <c r="Z189" s="162"/>
    </row>
    <row r="190" spans="2:26" ht="36" x14ac:dyDescent="0.2">
      <c r="B190" s="192"/>
      <c r="C190" s="189"/>
      <c r="D190" s="179"/>
      <c r="E190" s="180"/>
      <c r="F190" s="186"/>
      <c r="G190" s="198"/>
      <c r="H190" s="136" t="s">
        <v>181</v>
      </c>
      <c r="I190" s="37" t="s">
        <v>351</v>
      </c>
      <c r="J190" s="9" t="s">
        <v>352</v>
      </c>
      <c r="K190" s="131">
        <v>0.1</v>
      </c>
      <c r="L190" s="123">
        <v>3</v>
      </c>
      <c r="M190" s="123">
        <v>4</v>
      </c>
      <c r="N190" s="123">
        <v>7</v>
      </c>
      <c r="O190" s="123">
        <v>7</v>
      </c>
      <c r="P190" s="7">
        <f t="shared" si="102"/>
        <v>21</v>
      </c>
      <c r="Q190" s="14">
        <f t="shared" si="132"/>
        <v>2.1428571428571427E-4</v>
      </c>
      <c r="R190" s="14">
        <f t="shared" si="133"/>
        <v>2.8571428571428568E-4</v>
      </c>
      <c r="S190" s="14">
        <f t="shared" si="134"/>
        <v>5.0000000000000001E-4</v>
      </c>
      <c r="T190" s="14">
        <f t="shared" si="135"/>
        <v>5.0000000000000001E-4</v>
      </c>
      <c r="U190" s="14">
        <f t="shared" si="107"/>
        <v>1.5E-3</v>
      </c>
      <c r="V190" s="161"/>
      <c r="W190" s="161"/>
      <c r="X190" s="161"/>
      <c r="Y190" s="161"/>
      <c r="Z190" s="162"/>
    </row>
    <row r="191" spans="2:26" ht="24" x14ac:dyDescent="0.2">
      <c r="B191" s="192"/>
      <c r="C191" s="189"/>
      <c r="D191" s="179"/>
      <c r="E191" s="180"/>
      <c r="F191" s="186"/>
      <c r="G191" s="198"/>
      <c r="H191" s="136" t="s">
        <v>182</v>
      </c>
      <c r="I191" s="136" t="s">
        <v>353</v>
      </c>
      <c r="J191" s="9" t="s">
        <v>354</v>
      </c>
      <c r="K191" s="131">
        <v>0.2</v>
      </c>
      <c r="L191" s="15">
        <v>1</v>
      </c>
      <c r="M191" s="15">
        <v>1</v>
      </c>
      <c r="N191" s="15">
        <v>1</v>
      </c>
      <c r="O191" s="15">
        <v>1</v>
      </c>
      <c r="P191" s="7"/>
      <c r="Q191" s="14">
        <f>+$C$147*$E$186*$G$186*K191*(1/4)</f>
        <v>7.5000000000000002E-4</v>
      </c>
      <c r="R191" s="14">
        <f>+$C$147*$E$186*$G$186*K191*(1/4)</f>
        <v>7.5000000000000002E-4</v>
      </c>
      <c r="S191" s="14">
        <f>+$C$147*$E$186*$G$186*K191*(1/4)</f>
        <v>7.5000000000000002E-4</v>
      </c>
      <c r="T191" s="14">
        <f>+$C$147*$E$186*$G$186*K191*(1/4)</f>
        <v>7.5000000000000002E-4</v>
      </c>
      <c r="U191" s="14">
        <f t="shared" si="107"/>
        <v>3.0000000000000001E-3</v>
      </c>
      <c r="V191" s="59">
        <v>250000000</v>
      </c>
      <c r="W191" s="59">
        <v>250000000</v>
      </c>
      <c r="X191" s="59">
        <v>250000000</v>
      </c>
      <c r="Y191" s="59">
        <v>250000000</v>
      </c>
      <c r="Z191" s="63">
        <f t="shared" si="92"/>
        <v>1000000000</v>
      </c>
    </row>
    <row r="192" spans="2:26" ht="24" x14ac:dyDescent="0.2">
      <c r="B192" s="192"/>
      <c r="C192" s="189"/>
      <c r="D192" s="179" t="s">
        <v>214</v>
      </c>
      <c r="E192" s="180">
        <v>0.1</v>
      </c>
      <c r="F192" s="181" t="s">
        <v>202</v>
      </c>
      <c r="G192" s="199">
        <v>0.4</v>
      </c>
      <c r="H192" s="136" t="s">
        <v>219</v>
      </c>
      <c r="I192" s="37" t="s">
        <v>355</v>
      </c>
      <c r="J192" s="9" t="s">
        <v>356</v>
      </c>
      <c r="K192" s="131">
        <v>0.8</v>
      </c>
      <c r="L192" s="124">
        <v>1</v>
      </c>
      <c r="M192" s="124">
        <v>1</v>
      </c>
      <c r="N192" s="18">
        <v>1</v>
      </c>
      <c r="O192" s="18">
        <v>1</v>
      </c>
      <c r="P192" s="7"/>
      <c r="Q192" s="14">
        <f>+$C$147*$E$192*$G$192*K192*(1/4)</f>
        <v>1.2000000000000001E-3</v>
      </c>
      <c r="R192" s="14">
        <f>+$C$147*$E$192*$G$192*K192*(1/4)</f>
        <v>1.2000000000000001E-3</v>
      </c>
      <c r="S192" s="14">
        <f>+$C$147*$E$192*$G$192*K192*(1/4)</f>
        <v>1.2000000000000001E-3</v>
      </c>
      <c r="T192" s="14">
        <f>+$C$147*$E$192*$G$192*K192*(1/4)</f>
        <v>1.2000000000000001E-3</v>
      </c>
      <c r="U192" s="14">
        <f t="shared" si="107"/>
        <v>4.8000000000000004E-3</v>
      </c>
      <c r="V192" s="161">
        <v>300000000</v>
      </c>
      <c r="W192" s="161">
        <v>375000000</v>
      </c>
      <c r="X192" s="161">
        <v>375000000</v>
      </c>
      <c r="Y192" s="161">
        <v>350000000</v>
      </c>
      <c r="Z192" s="162">
        <f t="shared" si="92"/>
        <v>1400000000</v>
      </c>
    </row>
    <row r="193" spans="2:27" ht="24" x14ac:dyDescent="0.2">
      <c r="B193" s="192"/>
      <c r="C193" s="189"/>
      <c r="D193" s="179"/>
      <c r="E193" s="180"/>
      <c r="F193" s="181"/>
      <c r="G193" s="199"/>
      <c r="H193" s="49" t="s">
        <v>183</v>
      </c>
      <c r="I193" s="145" t="s">
        <v>357</v>
      </c>
      <c r="J193" s="146" t="s">
        <v>358</v>
      </c>
      <c r="K193" s="131">
        <v>0.2</v>
      </c>
      <c r="L193" s="27">
        <v>0.5</v>
      </c>
      <c r="M193" s="27">
        <v>1</v>
      </c>
      <c r="N193" s="28">
        <v>0.5</v>
      </c>
      <c r="O193" s="28">
        <v>1</v>
      </c>
      <c r="P193" s="7"/>
      <c r="Q193" s="14">
        <f>+$C$147*$E$192*$G$192*K193*(1/4)</f>
        <v>3.0000000000000003E-4</v>
      </c>
      <c r="R193" s="14">
        <f>+$C$147*$E$192*$G$192*K193*(1/4)</f>
        <v>3.0000000000000003E-4</v>
      </c>
      <c r="S193" s="14">
        <f>+$C$147*$E$192*$G$192*K193*(1/4)</f>
        <v>3.0000000000000003E-4</v>
      </c>
      <c r="T193" s="14">
        <f>+$C$147*$E$192*$G$192*K193*(1/4)</f>
        <v>3.0000000000000003E-4</v>
      </c>
      <c r="U193" s="14">
        <f t="shared" si="107"/>
        <v>1.2000000000000001E-3</v>
      </c>
      <c r="V193" s="161"/>
      <c r="W193" s="161"/>
      <c r="X193" s="161"/>
      <c r="Y193" s="161"/>
      <c r="Z193" s="162"/>
    </row>
    <row r="194" spans="2:27" x14ac:dyDescent="0.2">
      <c r="B194" s="192"/>
      <c r="C194" s="189"/>
      <c r="D194" s="179"/>
      <c r="E194" s="180"/>
      <c r="F194" s="123" t="s">
        <v>193</v>
      </c>
      <c r="G194" s="133">
        <v>0.2</v>
      </c>
      <c r="H194" s="136" t="s">
        <v>218</v>
      </c>
      <c r="I194" s="37" t="s">
        <v>359</v>
      </c>
      <c r="J194" s="9" t="s">
        <v>360</v>
      </c>
      <c r="K194" s="131">
        <v>1</v>
      </c>
      <c r="L194" s="124">
        <v>1</v>
      </c>
      <c r="M194" s="124">
        <v>1</v>
      </c>
      <c r="N194" s="18">
        <v>1</v>
      </c>
      <c r="O194" s="18">
        <v>1</v>
      </c>
      <c r="P194" s="7"/>
      <c r="Q194" s="14">
        <f>+$C$147*$E$192*$G$194*K194*(1/4)</f>
        <v>7.5000000000000002E-4</v>
      </c>
      <c r="R194" s="14">
        <f>+$C$147*$E$192*$G$194*K194*(1/4)</f>
        <v>7.5000000000000002E-4</v>
      </c>
      <c r="S194" s="14">
        <f>+$C$147*$E$192*$G$194*K194*(1/4)</f>
        <v>7.5000000000000002E-4</v>
      </c>
      <c r="T194" s="14">
        <f>+$C$147*$E$192*$G$194*K194*(1/4)</f>
        <v>7.5000000000000002E-4</v>
      </c>
      <c r="U194" s="14">
        <f t="shared" si="107"/>
        <v>3.0000000000000001E-3</v>
      </c>
      <c r="V194" s="59">
        <v>100000000</v>
      </c>
      <c r="W194" s="59">
        <v>100000000</v>
      </c>
      <c r="X194" s="59">
        <v>100000000</v>
      </c>
      <c r="Y194" s="59">
        <v>100000000</v>
      </c>
      <c r="Z194" s="63">
        <f t="shared" si="92"/>
        <v>400000000</v>
      </c>
    </row>
    <row r="195" spans="2:27" ht="36" x14ac:dyDescent="0.2">
      <c r="B195" s="192"/>
      <c r="C195" s="189"/>
      <c r="D195" s="179"/>
      <c r="E195" s="180"/>
      <c r="F195" s="123" t="s">
        <v>203</v>
      </c>
      <c r="G195" s="133">
        <v>0.4</v>
      </c>
      <c r="H195" s="136" t="s">
        <v>184</v>
      </c>
      <c r="I195" s="37" t="s">
        <v>361</v>
      </c>
      <c r="J195" s="9" t="s">
        <v>362</v>
      </c>
      <c r="K195" s="131">
        <v>1</v>
      </c>
      <c r="L195" s="124">
        <v>1</v>
      </c>
      <c r="M195" s="124">
        <v>1</v>
      </c>
      <c r="N195" s="18">
        <v>1</v>
      </c>
      <c r="O195" s="18">
        <v>1</v>
      </c>
      <c r="P195" s="7"/>
      <c r="Q195" s="14">
        <f>+$C$147*$E$192*$G$195*K195*(1/4)</f>
        <v>1.5E-3</v>
      </c>
      <c r="R195" s="14">
        <f>+$C$147*$E$192*$G$195*K195*(1/4)</f>
        <v>1.5E-3</v>
      </c>
      <c r="S195" s="14">
        <f>+$C$147*$E$192*$G$195*K195*(1/4)</f>
        <v>1.5E-3</v>
      </c>
      <c r="T195" s="14">
        <f>+$C$147*$E$192*$G$195*K195*(1/4)</f>
        <v>1.5E-3</v>
      </c>
      <c r="U195" s="14">
        <f t="shared" si="107"/>
        <v>6.0000000000000001E-3</v>
      </c>
      <c r="V195" s="59">
        <v>250000000</v>
      </c>
      <c r="W195" s="59">
        <v>325000000</v>
      </c>
      <c r="X195" s="59">
        <v>325000000</v>
      </c>
      <c r="Y195" s="59">
        <v>300000000</v>
      </c>
      <c r="Z195" s="63">
        <f t="shared" si="92"/>
        <v>1200000000</v>
      </c>
    </row>
    <row r="196" spans="2:27" ht="84" x14ac:dyDescent="0.2">
      <c r="B196" s="192"/>
      <c r="C196" s="189"/>
      <c r="D196" s="179" t="s">
        <v>215</v>
      </c>
      <c r="E196" s="180">
        <v>0.1</v>
      </c>
      <c r="F196" s="123" t="s">
        <v>204</v>
      </c>
      <c r="G196" s="133">
        <v>0.05</v>
      </c>
      <c r="H196" s="136" t="s">
        <v>185</v>
      </c>
      <c r="I196" s="12" t="s">
        <v>363</v>
      </c>
      <c r="J196" s="13" t="s">
        <v>364</v>
      </c>
      <c r="K196" s="131">
        <v>1</v>
      </c>
      <c r="L196" s="148">
        <v>0</v>
      </c>
      <c r="M196" s="148">
        <v>1</v>
      </c>
      <c r="N196" s="150">
        <v>0</v>
      </c>
      <c r="O196" s="150">
        <v>1</v>
      </c>
      <c r="P196" s="7">
        <f t="shared" si="102"/>
        <v>2</v>
      </c>
      <c r="Q196" s="14">
        <f>+$C$147*$E$196*$G$196*K196*(L196/P196)</f>
        <v>0</v>
      </c>
      <c r="R196" s="14">
        <f>+$C$147*$E$196*$G$196*K196*(M196/P196)</f>
        <v>3.7500000000000001E-4</v>
      </c>
      <c r="S196" s="14">
        <f>+$C$147*$E$196*$G$196*K196*(N196/P196)</f>
        <v>0</v>
      </c>
      <c r="T196" s="14">
        <f>+$C$147*$E$196*$G$196*K196*(O196/P196)</f>
        <v>3.7500000000000001E-4</v>
      </c>
      <c r="U196" s="14">
        <f t="shared" si="107"/>
        <v>7.5000000000000002E-4</v>
      </c>
      <c r="V196" s="59">
        <v>0</v>
      </c>
      <c r="W196" s="59">
        <v>120000000</v>
      </c>
      <c r="X196" s="59">
        <v>0</v>
      </c>
      <c r="Y196" s="59">
        <v>120000000</v>
      </c>
      <c r="Z196" s="63">
        <f t="shared" si="92"/>
        <v>240000000</v>
      </c>
    </row>
    <row r="197" spans="2:27" ht="72" x14ac:dyDescent="0.2">
      <c r="B197" s="192"/>
      <c r="C197" s="189"/>
      <c r="D197" s="179"/>
      <c r="E197" s="180"/>
      <c r="F197" s="181" t="s">
        <v>205</v>
      </c>
      <c r="G197" s="199">
        <v>0.95</v>
      </c>
      <c r="H197" s="136" t="s">
        <v>186</v>
      </c>
      <c r="I197" s="37" t="s">
        <v>365</v>
      </c>
      <c r="J197" s="9" t="s">
        <v>366</v>
      </c>
      <c r="K197" s="131">
        <v>0.4</v>
      </c>
      <c r="L197" s="124">
        <v>1</v>
      </c>
      <c r="M197" s="124">
        <v>1</v>
      </c>
      <c r="N197" s="124">
        <v>1</v>
      </c>
      <c r="O197" s="124">
        <v>1</v>
      </c>
      <c r="P197" s="7"/>
      <c r="Q197" s="14">
        <f>+$C$147*$E$196*$G$197*K197*(1/4)</f>
        <v>1.4250000000000001E-3</v>
      </c>
      <c r="R197" s="14">
        <f>+$C$147*$E$196*$G$197*K197*(1/4)</f>
        <v>1.4250000000000001E-3</v>
      </c>
      <c r="S197" s="14">
        <f>+$C$147*$E$196*$G$197*K197*(1/4)</f>
        <v>1.4250000000000001E-3</v>
      </c>
      <c r="T197" s="14">
        <f>+$C$147*$E$196*$G$197*K197*(1/4)</f>
        <v>1.4250000000000001E-3</v>
      </c>
      <c r="U197" s="14">
        <f t="shared" si="107"/>
        <v>5.7000000000000002E-3</v>
      </c>
      <c r="V197" s="59">
        <v>185000000</v>
      </c>
      <c r="W197" s="59">
        <v>220000000</v>
      </c>
      <c r="X197" s="59">
        <v>220000000</v>
      </c>
      <c r="Y197" s="59">
        <v>220000000</v>
      </c>
      <c r="Z197" s="63">
        <f t="shared" si="92"/>
        <v>845000000</v>
      </c>
    </row>
    <row r="198" spans="2:27" ht="36" x14ac:dyDescent="0.2">
      <c r="B198" s="192"/>
      <c r="C198" s="189"/>
      <c r="D198" s="179"/>
      <c r="E198" s="180"/>
      <c r="F198" s="181"/>
      <c r="G198" s="199"/>
      <c r="H198" s="136" t="s">
        <v>187</v>
      </c>
      <c r="I198" s="37" t="s">
        <v>367</v>
      </c>
      <c r="J198" s="9" t="s">
        <v>368</v>
      </c>
      <c r="K198" s="131">
        <v>0.4</v>
      </c>
      <c r="L198" s="124">
        <v>1</v>
      </c>
      <c r="M198" s="124">
        <v>1</v>
      </c>
      <c r="N198" s="124">
        <v>1</v>
      </c>
      <c r="O198" s="124">
        <v>1</v>
      </c>
      <c r="P198" s="7"/>
      <c r="Q198" s="14">
        <f>+$C$147*$E$196*$G$197*K198*(1/4)</f>
        <v>1.4250000000000001E-3</v>
      </c>
      <c r="R198" s="14">
        <f>+$C$147*$E$196*$G$197*K198*(1/4)</f>
        <v>1.4250000000000001E-3</v>
      </c>
      <c r="S198" s="14">
        <f>+$C$147*$E$196*$G$197*K198*(1/4)</f>
        <v>1.4250000000000001E-3</v>
      </c>
      <c r="T198" s="14">
        <f>+$C$147*$E$196*$G$197*K198*(1/4)</f>
        <v>1.4250000000000001E-3</v>
      </c>
      <c r="U198" s="14">
        <f t="shared" si="107"/>
        <v>5.7000000000000002E-3</v>
      </c>
      <c r="V198" s="59">
        <v>400000000</v>
      </c>
      <c r="W198" s="59">
        <v>1200000000</v>
      </c>
      <c r="X198" s="59">
        <v>1200000000</v>
      </c>
      <c r="Y198" s="59">
        <v>4700000000</v>
      </c>
      <c r="Z198" s="63">
        <f t="shared" si="92"/>
        <v>7500000000</v>
      </c>
    </row>
    <row r="199" spans="2:27" ht="25" thickBot="1" x14ac:dyDescent="0.25">
      <c r="B199" s="193"/>
      <c r="C199" s="190"/>
      <c r="D199" s="194"/>
      <c r="E199" s="187"/>
      <c r="F199" s="202"/>
      <c r="G199" s="200"/>
      <c r="H199" s="3" t="s">
        <v>188</v>
      </c>
      <c r="I199" s="144" t="s">
        <v>369</v>
      </c>
      <c r="J199" s="21" t="s">
        <v>370</v>
      </c>
      <c r="K199" s="6">
        <v>0.2</v>
      </c>
      <c r="L199" s="132">
        <v>0</v>
      </c>
      <c r="M199" s="132">
        <v>4</v>
      </c>
      <c r="N199" s="132">
        <v>0</v>
      </c>
      <c r="O199" s="132">
        <v>0</v>
      </c>
      <c r="P199" s="22">
        <f t="shared" si="102"/>
        <v>4</v>
      </c>
      <c r="Q199" s="26">
        <f>+$C$147*$E$196*$G$197*K199*(L199/P199)</f>
        <v>0</v>
      </c>
      <c r="R199" s="26">
        <f>+$C$147*$E$196*$G$197*K199*(M199/P199)</f>
        <v>2.8500000000000001E-3</v>
      </c>
      <c r="S199" s="26">
        <f>+$C$147*$E$196*$G$197*K199*(N199/P199)</f>
        <v>0</v>
      </c>
      <c r="T199" s="26">
        <f>+$C$147*$E$196*$G$197*K199*(O199/P199)</f>
        <v>0</v>
      </c>
      <c r="U199" s="26">
        <f t="shared" si="107"/>
        <v>2.8500000000000001E-3</v>
      </c>
      <c r="V199" s="64">
        <v>0</v>
      </c>
      <c r="W199" s="64">
        <v>700000000</v>
      </c>
      <c r="X199" s="64">
        <v>0</v>
      </c>
      <c r="Y199" s="64">
        <v>0</v>
      </c>
      <c r="Z199" s="65">
        <f t="shared" si="92"/>
        <v>700000000</v>
      </c>
    </row>
    <row r="200" spans="2:27" ht="19" customHeight="1" thickBot="1" x14ac:dyDescent="0.25">
      <c r="B200" s="176"/>
      <c r="C200" s="177"/>
      <c r="D200" s="177"/>
      <c r="E200" s="177"/>
      <c r="F200" s="177"/>
      <c r="G200" s="177"/>
      <c r="H200" s="177"/>
      <c r="I200" s="177"/>
      <c r="J200" s="177"/>
      <c r="K200" s="177"/>
      <c r="L200" s="177"/>
      <c r="M200" s="177"/>
      <c r="N200" s="177"/>
      <c r="O200" s="177"/>
      <c r="P200" s="178"/>
      <c r="Q200" s="80">
        <f t="shared" ref="Q200:Z200" si="136">SUM(Q7:Q199)</f>
        <v>0.19580191892941873</v>
      </c>
      <c r="R200" s="80">
        <f t="shared" si="136"/>
        <v>0.2753894954912125</v>
      </c>
      <c r="S200" s="80">
        <f t="shared" si="136"/>
        <v>0.27238358828311882</v>
      </c>
      <c r="T200" s="80">
        <f t="shared" si="136"/>
        <v>0.25642499729625001</v>
      </c>
      <c r="U200" s="81">
        <f t="shared" si="136"/>
        <v>1</v>
      </c>
      <c r="V200" s="82">
        <f t="shared" si="136"/>
        <v>84537570625</v>
      </c>
      <c r="W200" s="82">
        <f t="shared" si="136"/>
        <v>81514612687.800003</v>
      </c>
      <c r="X200" s="82">
        <f t="shared" si="136"/>
        <v>80963466576.100006</v>
      </c>
      <c r="Y200" s="82">
        <f t="shared" si="136"/>
        <v>90203801065.099991</v>
      </c>
      <c r="Z200" s="83">
        <f t="shared" si="136"/>
        <v>337219450954</v>
      </c>
    </row>
    <row r="201" spans="2:27" ht="21" customHeight="1" thickBot="1" x14ac:dyDescent="0.25">
      <c r="V201" s="165">
        <f>+V200+W200</f>
        <v>166052183312.79999</v>
      </c>
      <c r="W201" s="166"/>
      <c r="X201" s="165">
        <f>+X200+Y200</f>
        <v>171167267641.20001</v>
      </c>
      <c r="Y201" s="166"/>
    </row>
    <row r="203" spans="2:27" ht="16" thickBot="1" x14ac:dyDescent="0.25">
      <c r="V203" s="90"/>
    </row>
    <row r="204" spans="2:27" ht="32.25" customHeight="1" thickBot="1" x14ac:dyDescent="0.25">
      <c r="X204" s="113" t="s">
        <v>641</v>
      </c>
      <c r="Y204" s="114" t="s">
        <v>643</v>
      </c>
      <c r="Z204" s="115" t="s">
        <v>644</v>
      </c>
      <c r="AA204" s="115" t="s">
        <v>645</v>
      </c>
    </row>
    <row r="205" spans="2:27" ht="16" x14ac:dyDescent="0.2">
      <c r="V205" s="84"/>
      <c r="X205" s="116">
        <v>2020</v>
      </c>
      <c r="Y205" s="85">
        <v>84537570625</v>
      </c>
      <c r="Z205" s="159">
        <f>+Y205+Y206</f>
        <v>166052183312.79999</v>
      </c>
      <c r="AA205" s="159">
        <f>+Z205-V201</f>
        <v>0</v>
      </c>
    </row>
    <row r="206" spans="2:27" ht="17" thickBot="1" x14ac:dyDescent="0.25">
      <c r="V206" s="84"/>
      <c r="X206" s="117">
        <v>2021</v>
      </c>
      <c r="Y206" s="86">
        <v>81514612687.800003</v>
      </c>
      <c r="Z206" s="160"/>
      <c r="AA206" s="160"/>
    </row>
    <row r="207" spans="2:27" ht="16" x14ac:dyDescent="0.2">
      <c r="V207" s="90"/>
      <c r="X207" s="116">
        <v>2022</v>
      </c>
      <c r="Y207" s="87">
        <v>80963466576.100006</v>
      </c>
      <c r="Z207" s="163">
        <f>+Y207+Y208</f>
        <v>171167267641.20001</v>
      </c>
      <c r="AA207" s="159">
        <f>+Z207-X201</f>
        <v>0</v>
      </c>
    </row>
    <row r="208" spans="2:27" ht="17" thickBot="1" x14ac:dyDescent="0.25">
      <c r="V208" s="90"/>
      <c r="X208" s="117">
        <v>2023</v>
      </c>
      <c r="Y208" s="88">
        <v>90203801065.099991</v>
      </c>
      <c r="Z208" s="164"/>
      <c r="AA208" s="160"/>
    </row>
    <row r="209" spans="24:31" ht="17" thickBot="1" x14ac:dyDescent="0.25">
      <c r="X209" s="112" t="s">
        <v>642</v>
      </c>
      <c r="Y209" s="111">
        <v>337219450954</v>
      </c>
      <c r="Z209" s="111">
        <f>SUM(Z205:Z208)</f>
        <v>337219450954</v>
      </c>
    </row>
    <row r="210" spans="24:31" ht="17" thickBot="1" x14ac:dyDescent="0.25">
      <c r="Y210" s="103" t="s">
        <v>657</v>
      </c>
      <c r="Z210" s="95">
        <f>351949966+5025325122+37029511724+2352192080</f>
        <v>44758978892</v>
      </c>
    </row>
    <row r="211" spans="24:31" ht="17" thickBot="1" x14ac:dyDescent="0.25">
      <c r="Z211" s="110">
        <f>+Z209+Z210</f>
        <v>381978429846</v>
      </c>
    </row>
    <row r="214" spans="24:31" ht="16" thickBot="1" x14ac:dyDescent="0.25">
      <c r="Z214" s="90"/>
    </row>
    <row r="215" spans="24:31" ht="17" thickBot="1" x14ac:dyDescent="0.25">
      <c r="X215" s="221" t="s">
        <v>646</v>
      </c>
      <c r="Y215" s="222"/>
      <c r="Z215" s="92">
        <v>39180761805</v>
      </c>
      <c r="AA215" s="93" t="s">
        <v>647</v>
      </c>
      <c r="AB215" s="91"/>
      <c r="AD215" s="91"/>
    </row>
    <row r="216" spans="24:31" ht="17" thickBot="1" x14ac:dyDescent="0.25">
      <c r="X216" s="221" t="s">
        <v>648</v>
      </c>
      <c r="Y216" s="222"/>
      <c r="Z216" s="94">
        <f>180296892820-39180761805</f>
        <v>141116131015</v>
      </c>
      <c r="AA216" s="97"/>
      <c r="AB216" s="91"/>
      <c r="AD216" s="91"/>
      <c r="AE216" s="91"/>
    </row>
    <row r="217" spans="24:31" ht="17" thickBot="1" x14ac:dyDescent="0.25">
      <c r="X217" s="221" t="s">
        <v>649</v>
      </c>
      <c r="Y217" s="222"/>
      <c r="Z217" s="95">
        <v>79992319939</v>
      </c>
      <c r="AA217" s="97"/>
      <c r="AB217" s="91"/>
      <c r="AD217" s="91"/>
      <c r="AE217" s="91"/>
    </row>
    <row r="218" spans="24:31" ht="17" thickBot="1" x14ac:dyDescent="0.25">
      <c r="X218" s="102"/>
      <c r="Y218" s="103" t="s">
        <v>657</v>
      </c>
      <c r="Z218" s="95">
        <f>351949966+5025325122+37029511724+2352192080</f>
        <v>44758978892</v>
      </c>
      <c r="AA218" s="97"/>
      <c r="AB218" s="91"/>
      <c r="AD218" s="91"/>
      <c r="AE218" s="91"/>
    </row>
    <row r="219" spans="24:31" ht="17" thickBot="1" x14ac:dyDescent="0.25">
      <c r="Y219" s="98"/>
      <c r="Z219" s="96">
        <f>SUM(Z216:Z218)</f>
        <v>265867429846</v>
      </c>
      <c r="AA219" s="98"/>
      <c r="AB219" s="91"/>
      <c r="AD219" s="91"/>
      <c r="AE219" s="91"/>
    </row>
    <row r="220" spans="24:31" ht="16" x14ac:dyDescent="0.2">
      <c r="Y220" s="98"/>
      <c r="Z220" s="100"/>
      <c r="AA220" s="98"/>
      <c r="AB220" s="91"/>
      <c r="AD220" s="91"/>
      <c r="AE220" s="91"/>
    </row>
    <row r="221" spans="24:31" ht="17" thickBot="1" x14ac:dyDescent="0.25">
      <c r="Y221" s="98"/>
      <c r="Z221" s="100"/>
      <c r="AA221" s="98"/>
      <c r="AB221" s="91"/>
      <c r="AD221" s="91"/>
      <c r="AE221" s="91"/>
    </row>
    <row r="222" spans="24:31" ht="17" thickBot="1" x14ac:dyDescent="0.25">
      <c r="X222" s="219" t="s">
        <v>656</v>
      </c>
      <c r="Y222" s="220"/>
      <c r="Z222" s="101" t="s">
        <v>655</v>
      </c>
      <c r="AA222" s="98"/>
    </row>
    <row r="223" spans="24:31" ht="17" thickBot="1" x14ac:dyDescent="0.25">
      <c r="X223" s="223" t="s">
        <v>652</v>
      </c>
      <c r="Y223" s="224"/>
      <c r="Z223" s="104">
        <f>SUM(Z7:Z43)</f>
        <v>221108450954</v>
      </c>
      <c r="AA223" s="99"/>
    </row>
    <row r="224" spans="24:31" ht="17" thickBot="1" x14ac:dyDescent="0.25">
      <c r="X224" s="215" t="s">
        <v>651</v>
      </c>
      <c r="Y224" s="216"/>
      <c r="Z224" s="105">
        <f>SUM(Z44:Z74)</f>
        <v>26000000000</v>
      </c>
      <c r="AA224" s="98"/>
    </row>
    <row r="225" spans="24:27" ht="17" thickBot="1" x14ac:dyDescent="0.25">
      <c r="X225" s="215" t="s">
        <v>650</v>
      </c>
      <c r="Y225" s="216"/>
      <c r="Z225" s="106">
        <f>SUM(Z75:Z105)</f>
        <v>30000000000</v>
      </c>
      <c r="AA225" s="98"/>
    </row>
    <row r="226" spans="24:27" ht="17" thickBot="1" x14ac:dyDescent="0.25">
      <c r="X226" s="215" t="s">
        <v>653</v>
      </c>
      <c r="Y226" s="216"/>
      <c r="Z226" s="107">
        <f>SUM(Z106:Z146)</f>
        <v>26440000000</v>
      </c>
    </row>
    <row r="227" spans="24:27" ht="17" thickBot="1" x14ac:dyDescent="0.25">
      <c r="X227" s="215" t="s">
        <v>654</v>
      </c>
      <c r="Y227" s="216"/>
      <c r="Z227" s="108">
        <f>SUM(Z147:Z199)</f>
        <v>33671000000</v>
      </c>
    </row>
    <row r="228" spans="24:27" ht="17" thickBot="1" x14ac:dyDescent="0.25">
      <c r="X228" s="217" t="s">
        <v>267</v>
      </c>
      <c r="Y228" s="218"/>
      <c r="Z228" s="109">
        <f>SUM(Z223:Z227)</f>
        <v>337219450954</v>
      </c>
    </row>
  </sheetData>
  <mergeCells count="250">
    <mergeCell ref="X226:Y226"/>
    <mergeCell ref="X227:Y227"/>
    <mergeCell ref="X228:Y228"/>
    <mergeCell ref="X222:Y222"/>
    <mergeCell ref="X215:Y215"/>
    <mergeCell ref="X216:Y216"/>
    <mergeCell ref="X217:Y217"/>
    <mergeCell ref="X223:Y223"/>
    <mergeCell ref="X224:Y224"/>
    <mergeCell ref="X225:Y225"/>
    <mergeCell ref="D7:D25"/>
    <mergeCell ref="B7:B43"/>
    <mergeCell ref="C7:C43"/>
    <mergeCell ref="E7:E25"/>
    <mergeCell ref="E39:E43"/>
    <mergeCell ref="F21:F25"/>
    <mergeCell ref="F19:F20"/>
    <mergeCell ref="F7:F18"/>
    <mergeCell ref="F26:F28"/>
    <mergeCell ref="F39:F43"/>
    <mergeCell ref="D39:D43"/>
    <mergeCell ref="F29:F35"/>
    <mergeCell ref="G7:G18"/>
    <mergeCell ref="G44:G48"/>
    <mergeCell ref="G57:G58"/>
    <mergeCell ref="G59:G69"/>
    <mergeCell ref="G70:G73"/>
    <mergeCell ref="G49:G53"/>
    <mergeCell ref="G39:G43"/>
    <mergeCell ref="G29:G35"/>
    <mergeCell ref="G26:G28"/>
    <mergeCell ref="G21:G25"/>
    <mergeCell ref="G19:G20"/>
    <mergeCell ref="C44:C74"/>
    <mergeCell ref="B44:B74"/>
    <mergeCell ref="D44:D53"/>
    <mergeCell ref="D54:D58"/>
    <mergeCell ref="D59:D74"/>
    <mergeCell ref="E59:E74"/>
    <mergeCell ref="G85:G86"/>
    <mergeCell ref="G83:G84"/>
    <mergeCell ref="E44:E53"/>
    <mergeCell ref="E54:E58"/>
    <mergeCell ref="G75:G77"/>
    <mergeCell ref="F70:F73"/>
    <mergeCell ref="F59:F69"/>
    <mergeCell ref="F57:F58"/>
    <mergeCell ref="F44:F48"/>
    <mergeCell ref="F49:F53"/>
    <mergeCell ref="F54:F55"/>
    <mergeCell ref="G54:G55"/>
    <mergeCell ref="C75:C105"/>
    <mergeCell ref="B75:B105"/>
    <mergeCell ref="E103:E105"/>
    <mergeCell ref="E99:E102"/>
    <mergeCell ref="G99:G102"/>
    <mergeCell ref="G92:G97"/>
    <mergeCell ref="D99:D102"/>
    <mergeCell ref="D75:D86"/>
    <mergeCell ref="D87:D98"/>
    <mergeCell ref="D103:D105"/>
    <mergeCell ref="F103:F104"/>
    <mergeCell ref="G89:G91"/>
    <mergeCell ref="G87:G88"/>
    <mergeCell ref="E142:E145"/>
    <mergeCell ref="E133:E141"/>
    <mergeCell ref="E115:E132"/>
    <mergeCell ref="F89:F91"/>
    <mergeCell ref="F92:F97"/>
    <mergeCell ref="F99:F102"/>
    <mergeCell ref="F75:F77"/>
    <mergeCell ref="F83:F84"/>
    <mergeCell ref="F85:F86"/>
    <mergeCell ref="F87:F88"/>
    <mergeCell ref="E87:E98"/>
    <mergeCell ref="E75:E86"/>
    <mergeCell ref="C106:C146"/>
    <mergeCell ref="B106:B146"/>
    <mergeCell ref="E107:E109"/>
    <mergeCell ref="E110:E114"/>
    <mergeCell ref="G115:G121"/>
    <mergeCell ref="G123:G126"/>
    <mergeCell ref="G127:G132"/>
    <mergeCell ref="G133:G140"/>
    <mergeCell ref="G142:G145"/>
    <mergeCell ref="D107:D109"/>
    <mergeCell ref="D110:D114"/>
    <mergeCell ref="D115:D132"/>
    <mergeCell ref="D133:D141"/>
    <mergeCell ref="D142:D145"/>
    <mergeCell ref="F110:F111"/>
    <mergeCell ref="F115:F121"/>
    <mergeCell ref="F123:F126"/>
    <mergeCell ref="F127:F132"/>
    <mergeCell ref="F133:F140"/>
    <mergeCell ref="F142:F145"/>
    <mergeCell ref="G110:G111"/>
    <mergeCell ref="F173:F177"/>
    <mergeCell ref="F178:F179"/>
    <mergeCell ref="F180:F183"/>
    <mergeCell ref="F186:F191"/>
    <mergeCell ref="F192:F193"/>
    <mergeCell ref="F197:F199"/>
    <mergeCell ref="F147:F150"/>
    <mergeCell ref="F151:F157"/>
    <mergeCell ref="F159:F161"/>
    <mergeCell ref="F162:F165"/>
    <mergeCell ref="F166:F169"/>
    <mergeCell ref="F170:F172"/>
    <mergeCell ref="H125:H126"/>
    <mergeCell ref="G173:G177"/>
    <mergeCell ref="G178:G179"/>
    <mergeCell ref="G180:G183"/>
    <mergeCell ref="G186:G191"/>
    <mergeCell ref="G192:G193"/>
    <mergeCell ref="G197:G199"/>
    <mergeCell ref="G147:G150"/>
    <mergeCell ref="G151:G157"/>
    <mergeCell ref="G159:G161"/>
    <mergeCell ref="G162:G165"/>
    <mergeCell ref="G166:G169"/>
    <mergeCell ref="G170:G172"/>
    <mergeCell ref="E180:E185"/>
    <mergeCell ref="E186:E191"/>
    <mergeCell ref="E192:E195"/>
    <mergeCell ref="E196:E199"/>
    <mergeCell ref="C147:C199"/>
    <mergeCell ref="B147:B199"/>
    <mergeCell ref="D180:D185"/>
    <mergeCell ref="D186:D191"/>
    <mergeCell ref="D192:D195"/>
    <mergeCell ref="D196:D199"/>
    <mergeCell ref="E147:E150"/>
    <mergeCell ref="E151:E158"/>
    <mergeCell ref="E159:E165"/>
    <mergeCell ref="E166:E169"/>
    <mergeCell ref="E170:E172"/>
    <mergeCell ref="E173:E179"/>
    <mergeCell ref="D147:D150"/>
    <mergeCell ref="D151:D158"/>
    <mergeCell ref="D159:D165"/>
    <mergeCell ref="D166:D169"/>
    <mergeCell ref="D170:D172"/>
    <mergeCell ref="D173:D179"/>
    <mergeCell ref="K125:K126"/>
    <mergeCell ref="B5:K5"/>
    <mergeCell ref="L5:P5"/>
    <mergeCell ref="Q5:U5"/>
    <mergeCell ref="B200:P200"/>
    <mergeCell ref="D26:D38"/>
    <mergeCell ref="E26:E38"/>
    <mergeCell ref="F36:F38"/>
    <mergeCell ref="G36:G38"/>
    <mergeCell ref="H37:H38"/>
    <mergeCell ref="K37:K38"/>
    <mergeCell ref="H81:H82"/>
    <mergeCell ref="G78:G82"/>
    <mergeCell ref="F78:F82"/>
    <mergeCell ref="H89:H90"/>
    <mergeCell ref="K89:K90"/>
    <mergeCell ref="K81:K82"/>
    <mergeCell ref="H92:H93"/>
    <mergeCell ref="K92:K93"/>
    <mergeCell ref="H96:H97"/>
    <mergeCell ref="K96:K97"/>
    <mergeCell ref="G103:G104"/>
    <mergeCell ref="H103:H104"/>
    <mergeCell ref="K103:K104"/>
    <mergeCell ref="V5:Z5"/>
    <mergeCell ref="V37:V38"/>
    <mergeCell ref="W37:W38"/>
    <mergeCell ref="X37:X38"/>
    <mergeCell ref="Y37:Y38"/>
    <mergeCell ref="Z37:Z38"/>
    <mergeCell ref="V41:V42"/>
    <mergeCell ref="W41:W42"/>
    <mergeCell ref="X41:X42"/>
    <mergeCell ref="Y41:Y42"/>
    <mergeCell ref="Z41:Z42"/>
    <mergeCell ref="V128:V130"/>
    <mergeCell ref="W128:W130"/>
    <mergeCell ref="X128:X130"/>
    <mergeCell ref="Y128:Y130"/>
    <mergeCell ref="Z128:Z130"/>
    <mergeCell ref="V133:V134"/>
    <mergeCell ref="W133:W134"/>
    <mergeCell ref="X133:X134"/>
    <mergeCell ref="Y133:Y134"/>
    <mergeCell ref="Z133:Z134"/>
    <mergeCell ref="V138:V139"/>
    <mergeCell ref="W138:W139"/>
    <mergeCell ref="X138:X139"/>
    <mergeCell ref="Y138:Y139"/>
    <mergeCell ref="Z138:Z139"/>
    <mergeCell ref="V152:V154"/>
    <mergeCell ref="W152:W154"/>
    <mergeCell ref="X152:X154"/>
    <mergeCell ref="Y152:Y154"/>
    <mergeCell ref="Z152:Z154"/>
    <mergeCell ref="V159:V161"/>
    <mergeCell ref="W159:W161"/>
    <mergeCell ref="X159:X161"/>
    <mergeCell ref="Y159:Y161"/>
    <mergeCell ref="Z159:Z161"/>
    <mergeCell ref="V164:V165"/>
    <mergeCell ref="W164:W165"/>
    <mergeCell ref="X164:X165"/>
    <mergeCell ref="Y164:Y165"/>
    <mergeCell ref="Z164:Z165"/>
    <mergeCell ref="V166:V169"/>
    <mergeCell ref="V170:V171"/>
    <mergeCell ref="W166:W169"/>
    <mergeCell ref="X166:X169"/>
    <mergeCell ref="Y166:Y169"/>
    <mergeCell ref="Z166:Z169"/>
    <mergeCell ref="Z170:Z171"/>
    <mergeCell ref="Y170:Y171"/>
    <mergeCell ref="X170:X171"/>
    <mergeCell ref="W170:W171"/>
    <mergeCell ref="V173:V176"/>
    <mergeCell ref="W173:W176"/>
    <mergeCell ref="X173:X176"/>
    <mergeCell ref="Y173:Y176"/>
    <mergeCell ref="Z173:Z176"/>
    <mergeCell ref="V180:V183"/>
    <mergeCell ref="W180:W183"/>
    <mergeCell ref="X180:X183"/>
    <mergeCell ref="Y180:Y183"/>
    <mergeCell ref="Z180:Z183"/>
    <mergeCell ref="V186:V187"/>
    <mergeCell ref="W186:W187"/>
    <mergeCell ref="X186:X187"/>
    <mergeCell ref="Y186:Y187"/>
    <mergeCell ref="Z186:Z187"/>
    <mergeCell ref="V188:V190"/>
    <mergeCell ref="W188:W190"/>
    <mergeCell ref="X188:X190"/>
    <mergeCell ref="Y188:Y190"/>
    <mergeCell ref="Z188:Z190"/>
    <mergeCell ref="AA205:AA206"/>
    <mergeCell ref="AA207:AA208"/>
    <mergeCell ref="V192:V193"/>
    <mergeCell ref="W192:W193"/>
    <mergeCell ref="X192:X193"/>
    <mergeCell ref="Y192:Y193"/>
    <mergeCell ref="Z192:Z193"/>
    <mergeCell ref="Z205:Z206"/>
    <mergeCell ref="Z207:Z208"/>
    <mergeCell ref="V201:W201"/>
    <mergeCell ref="X201:Y201"/>
  </mergeCells>
  <hyperlinks>
    <hyperlink ref="J135" location="'22Autor'!_Toc467769489" display="Porcentaje de autorizaciones ambientales con seguimiento" xr:uid="{5496056D-0381-4DC5-A2D1-EB4EB9B81A93}"/>
  </hyperlinks>
  <pageMargins left="0.7" right="0.7" top="0.75" bottom="0.75" header="0.3" footer="0.3"/>
  <pageSetup orientation="portrait" r:id="rId1"/>
  <ignoredErrors>
    <ignoredError sqref="Q149:T149 Q160:T160 Q164:T164 Q171:T171 Q191:T191 Q29:Q30 Q38 Q81:T81 Q96 R96:T96 Q112 Q116:T116 Q118:T118 Q117:T117 Q119:T119 Q128:T128 Q136:T136"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Escaf</dc:creator>
  <cp:lastModifiedBy>Microsoft Office User</cp:lastModifiedBy>
  <dcterms:created xsi:type="dcterms:W3CDTF">2020-05-16T01:13:44Z</dcterms:created>
  <dcterms:modified xsi:type="dcterms:W3CDTF">2020-08-27T15:15:13Z</dcterms:modified>
</cp:coreProperties>
</file>